
<file path=[Content_Types].xml><?xml version="1.0" encoding="utf-8"?>
<Types xmlns="http://schemas.openxmlformats.org/package/2006/content-types">
  <Default Extension="bin" ContentType="application/vnd.openxmlformats-officedocument.spreadsheetml.printerSettings"/>
  <Default Extension="gif" ContentType="image/gi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harts/chart2.xml" ContentType="application/vnd.openxmlformats-officedocument.drawingml.chart+xml"/>
  <Override PartName="/xl/drawings/drawing11.xml" ContentType="application/vnd.openxmlformats-officedocument.drawing+xml"/>
  <Override PartName="/xl/charts/chart3.xml" ContentType="application/vnd.openxmlformats-officedocument.drawingml.chart+xml"/>
  <Override PartName="/xl/drawings/drawing12.xml" ContentType="application/vnd.openxmlformats-officedocument.drawing+xml"/>
  <Override PartName="/xl/charts/chart4.xml" ContentType="application/vnd.openxmlformats-officedocument.drawingml.chart+xml"/>
  <Override PartName="/xl/drawings/drawing13.xml" ContentType="application/vnd.openxmlformats-officedocument.drawing+xml"/>
  <Override PartName="/xl/charts/chart5.xml" ContentType="application/vnd.openxmlformats-officedocument.drawingml.chart+xml"/>
  <Override PartName="/xl/drawings/drawing14.xml" ContentType="application/vnd.openxmlformats-officedocument.drawing+xml"/>
  <Override PartName="/xl/charts/chart6.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oray\Desktop\HEIG-VD\VisualDon\Exercices\projet\data\"/>
    </mc:Choice>
  </mc:AlternateContent>
  <xr:revisionPtr revIDLastSave="0" documentId="8_{69F73A06-5804-420F-9372-21C0A635AEA0}" xr6:coauthVersionLast="44" xr6:coauthVersionMax="44" xr10:uidLastSave="{00000000-0000-0000-0000-000000000000}"/>
  <bookViews>
    <workbookView xWindow="19090" yWindow="-5670" windowWidth="38620" windowHeight="21220" xr2:uid="{00000000-000D-0000-FFFF-FFFF00000000}"/>
  </bookViews>
  <sheets>
    <sheet name="Chiffres - Monde" sheetId="1" r:id="rId1"/>
    <sheet name="Carte du Monde" sheetId="2" r:id="rId2"/>
    <sheet name="SuisseSwitzerland" sheetId="3" r:id="rId3"/>
    <sheet name="Europe" sheetId="4" r:id="rId4"/>
    <sheet name="Afrique" sheetId="5" r:id="rId5"/>
    <sheet name="Amérique" sheetId="6" r:id="rId6"/>
    <sheet name="Asie" sheetId="7" r:id="rId7"/>
    <sheet name="Océanieautres" sheetId="8" r:id="rId8"/>
    <sheet name="Population Suisse à risque" sheetId="9" r:id="rId9"/>
    <sheet name="Morts en Suisse - Graphique" sheetId="10" r:id="rId10"/>
    <sheet name="Intubations en Suisse - Graphiq" sheetId="11" r:id="rId11"/>
    <sheet name="Morts en Europe - Graphique" sheetId="12" r:id="rId12"/>
    <sheet name="Contaminés - Graphique" sheetId="13" r:id="rId13"/>
    <sheet name="Morts hors Chine - Graphique" sheetId="14" r:id="rId14"/>
    <sheet name="Morts dans le Monde - Graphique" sheetId="15" r:id="rId15"/>
    <sheet name="Situation du Monde - Graphique" sheetId="16" r:id="rId16"/>
    <sheet name="Evolution dans le Monde - Graph" sheetId="17" r:id="rId17"/>
    <sheet name="Taux de létalité global - Graph" sheetId="18" r:id="rId1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8" i="1" l="1"/>
  <c r="H4" i="1"/>
  <c r="I4" i="1"/>
  <c r="J4" i="1"/>
  <c r="K4" i="1"/>
  <c r="L4" i="1"/>
  <c r="M4" i="1"/>
  <c r="N4" i="1"/>
  <c r="O4" i="1"/>
  <c r="P4" i="1"/>
  <c r="Q4" i="1"/>
  <c r="R4" i="1"/>
  <c r="S4" i="1"/>
  <c r="T4" i="1"/>
  <c r="U4" i="1"/>
  <c r="V4" i="1"/>
  <c r="H5" i="1"/>
  <c r="I5" i="1"/>
  <c r="J5" i="1"/>
  <c r="K5" i="1"/>
  <c r="L5" i="1"/>
  <c r="M5" i="1"/>
  <c r="N5" i="1"/>
  <c r="O5" i="1"/>
  <c r="P5" i="1"/>
  <c r="Q5" i="1"/>
  <c r="R5" i="1"/>
  <c r="S5" i="1"/>
  <c r="T5" i="1"/>
  <c r="U5" i="1"/>
  <c r="V5" i="1"/>
  <c r="H6" i="1"/>
  <c r="I6" i="1"/>
  <c r="J6" i="1"/>
  <c r="K6" i="1"/>
  <c r="L6" i="1"/>
  <c r="M6" i="1"/>
  <c r="N6" i="1"/>
  <c r="O6" i="1"/>
  <c r="P6" i="1"/>
  <c r="Q6" i="1"/>
  <c r="R6" i="1"/>
  <c r="S6" i="1"/>
  <c r="T6" i="1"/>
  <c r="U6" i="1"/>
  <c r="V6" i="1"/>
  <c r="H7" i="1"/>
  <c r="I7" i="1"/>
  <c r="J7" i="1"/>
  <c r="K7" i="1"/>
  <c r="L7" i="1"/>
  <c r="M7" i="1"/>
  <c r="N7" i="1"/>
  <c r="O7" i="1"/>
  <c r="P7" i="1"/>
  <c r="Q7" i="1"/>
  <c r="R7" i="1"/>
  <c r="S7" i="1"/>
  <c r="T7" i="1"/>
  <c r="U7" i="1"/>
  <c r="V7" i="1"/>
  <c r="H8" i="1"/>
  <c r="I8" i="1"/>
  <c r="J8" i="1"/>
  <c r="K8" i="1"/>
  <c r="L8" i="1"/>
  <c r="M8" i="1"/>
  <c r="N8" i="1"/>
  <c r="O8" i="1"/>
  <c r="P8" i="1"/>
  <c r="Q8" i="1"/>
  <c r="R8" i="1"/>
  <c r="S8" i="1"/>
  <c r="T8" i="1"/>
  <c r="U8" i="1"/>
  <c r="V8" i="1"/>
  <c r="H9" i="1"/>
  <c r="I9" i="1"/>
  <c r="J9" i="1"/>
  <c r="K9" i="1"/>
  <c r="L9" i="1"/>
  <c r="M9" i="1"/>
  <c r="N9" i="1"/>
  <c r="O9" i="1"/>
  <c r="P9" i="1"/>
  <c r="Q9" i="1"/>
  <c r="R9" i="1"/>
  <c r="S9" i="1"/>
  <c r="T9" i="1"/>
  <c r="U9" i="1"/>
  <c r="V9" i="1"/>
  <c r="H10" i="1"/>
  <c r="I10" i="1"/>
  <c r="J10" i="1"/>
  <c r="K10" i="1"/>
  <c r="L10" i="1"/>
  <c r="M10" i="1"/>
  <c r="N10" i="1"/>
  <c r="O10" i="1"/>
  <c r="P10" i="1"/>
  <c r="Q10" i="1"/>
  <c r="R10" i="1"/>
  <c r="S10" i="1"/>
  <c r="T10" i="1"/>
  <c r="U10" i="1"/>
  <c r="V10" i="1"/>
  <c r="H11" i="1"/>
  <c r="I11" i="1"/>
  <c r="J11" i="1"/>
  <c r="K11" i="1"/>
  <c r="L11" i="1"/>
  <c r="M11" i="1"/>
  <c r="N11" i="1"/>
  <c r="O11" i="1"/>
  <c r="P11" i="1"/>
  <c r="Q11" i="1"/>
  <c r="R11" i="1"/>
  <c r="S11" i="1"/>
  <c r="T11" i="1"/>
  <c r="U11" i="1"/>
  <c r="V11" i="1"/>
  <c r="H12" i="1"/>
  <c r="I12" i="1"/>
  <c r="J12" i="1"/>
  <c r="K12" i="1"/>
  <c r="L12" i="1"/>
  <c r="M12" i="1"/>
  <c r="N12" i="1"/>
  <c r="O12" i="1"/>
  <c r="P12" i="1"/>
  <c r="Q12" i="1"/>
  <c r="R12" i="1"/>
  <c r="S12" i="1"/>
  <c r="T12" i="1"/>
  <c r="U12" i="1"/>
  <c r="V12" i="1"/>
  <c r="H13" i="1"/>
  <c r="I13" i="1"/>
  <c r="J13" i="1"/>
  <c r="K13" i="1"/>
  <c r="L13" i="1"/>
  <c r="M13" i="1"/>
  <c r="N13" i="1"/>
  <c r="O13" i="1"/>
  <c r="P13" i="1"/>
  <c r="Q13" i="1"/>
  <c r="R13" i="1"/>
  <c r="S13" i="1"/>
  <c r="T13" i="1"/>
  <c r="U13" i="1"/>
  <c r="V13" i="1"/>
  <c r="H14" i="1"/>
  <c r="I14" i="1"/>
  <c r="J14" i="1"/>
  <c r="K14" i="1"/>
  <c r="L14" i="1"/>
  <c r="M14" i="1"/>
  <c r="N14" i="1"/>
  <c r="O14" i="1"/>
  <c r="P14" i="1"/>
  <c r="Q14" i="1"/>
  <c r="R14" i="1"/>
  <c r="S14" i="1"/>
  <c r="T14" i="1"/>
  <c r="U14" i="1"/>
  <c r="V14" i="1"/>
  <c r="H15" i="1"/>
  <c r="I15" i="1"/>
  <c r="J15" i="1"/>
  <c r="K15" i="1"/>
  <c r="L15" i="1"/>
  <c r="M15" i="1"/>
  <c r="N15" i="1"/>
  <c r="O15" i="1"/>
  <c r="P15" i="1"/>
  <c r="Q15" i="1"/>
  <c r="R15" i="1"/>
  <c r="S15" i="1"/>
  <c r="T15" i="1"/>
  <c r="U15" i="1"/>
  <c r="V15" i="1"/>
  <c r="H16" i="1"/>
  <c r="I16" i="1"/>
  <c r="J16" i="1"/>
  <c r="K16" i="1"/>
  <c r="L16" i="1"/>
  <c r="M16" i="1"/>
  <c r="N16" i="1"/>
  <c r="O16" i="1"/>
  <c r="P16" i="1"/>
  <c r="Q16" i="1"/>
  <c r="R16" i="1"/>
  <c r="S16" i="1"/>
  <c r="T16" i="1"/>
  <c r="U16" i="1"/>
  <c r="V16" i="1"/>
  <c r="H17" i="1"/>
  <c r="I17" i="1"/>
  <c r="J17" i="1"/>
  <c r="K17" i="1"/>
  <c r="L17" i="1"/>
  <c r="M17" i="1"/>
  <c r="N17" i="1"/>
  <c r="O17" i="1"/>
  <c r="P17" i="1"/>
  <c r="Q17" i="1"/>
  <c r="R17" i="1"/>
  <c r="S17" i="1"/>
  <c r="T17" i="1"/>
  <c r="U17" i="1"/>
  <c r="V17" i="1"/>
  <c r="H18" i="1"/>
  <c r="I18" i="1"/>
  <c r="J18" i="1"/>
  <c r="K18" i="1"/>
  <c r="L18" i="1"/>
  <c r="M18" i="1"/>
  <c r="N18" i="1"/>
  <c r="O18" i="1"/>
  <c r="P18" i="1"/>
  <c r="Q18" i="1"/>
  <c r="R18" i="1"/>
  <c r="S18" i="1"/>
  <c r="T18" i="1"/>
  <c r="U18" i="1"/>
  <c r="V18" i="1"/>
  <c r="H19" i="1"/>
  <c r="I19" i="1"/>
  <c r="J19" i="1"/>
  <c r="K19" i="1"/>
  <c r="L19" i="1"/>
  <c r="M19" i="1"/>
  <c r="N19" i="1"/>
  <c r="O19" i="1"/>
  <c r="P19" i="1"/>
  <c r="Q19" i="1"/>
  <c r="R19" i="1"/>
  <c r="S19" i="1"/>
  <c r="T19" i="1"/>
  <c r="U19" i="1"/>
  <c r="V19" i="1"/>
  <c r="H20" i="1"/>
  <c r="I20" i="1"/>
  <c r="J20" i="1"/>
  <c r="K20" i="1"/>
  <c r="L20" i="1"/>
  <c r="M20" i="1"/>
  <c r="N20" i="1"/>
  <c r="O20" i="1"/>
  <c r="P20" i="1"/>
  <c r="Q20" i="1"/>
  <c r="R20" i="1"/>
  <c r="S20" i="1"/>
  <c r="T20" i="1"/>
  <c r="U20" i="1"/>
  <c r="V20" i="1"/>
  <c r="H21" i="1"/>
  <c r="I21" i="1"/>
  <c r="J21" i="1"/>
  <c r="K21" i="1"/>
  <c r="L21" i="1"/>
  <c r="M21" i="1"/>
  <c r="N21" i="1"/>
  <c r="O21" i="1"/>
  <c r="P21" i="1"/>
  <c r="Q21" i="1"/>
  <c r="R21" i="1"/>
  <c r="S21" i="1"/>
  <c r="T21" i="1"/>
  <c r="U21" i="1"/>
  <c r="V21" i="1"/>
  <c r="H22" i="1"/>
  <c r="I22" i="1"/>
  <c r="J22" i="1"/>
  <c r="K22" i="1"/>
  <c r="L22" i="1"/>
  <c r="M22" i="1"/>
  <c r="N22" i="1"/>
  <c r="O22" i="1"/>
  <c r="P22" i="1"/>
  <c r="Q22" i="1"/>
  <c r="R22" i="1"/>
  <c r="S22" i="1"/>
  <c r="T22" i="1"/>
  <c r="U22" i="1"/>
  <c r="V22" i="1"/>
  <c r="H23" i="1"/>
  <c r="I23" i="1"/>
  <c r="J23" i="1"/>
  <c r="K23" i="1"/>
  <c r="L23" i="1"/>
  <c r="M23" i="1"/>
  <c r="N23" i="1"/>
  <c r="O23" i="1"/>
  <c r="P23" i="1"/>
  <c r="Q23" i="1"/>
  <c r="R23" i="1"/>
  <c r="S23" i="1"/>
  <c r="T23" i="1"/>
  <c r="U23" i="1"/>
  <c r="V23" i="1"/>
  <c r="H24" i="1"/>
  <c r="I24" i="1"/>
  <c r="J24" i="1"/>
  <c r="K24" i="1"/>
  <c r="L24" i="1"/>
  <c r="M24" i="1"/>
  <c r="N24" i="1"/>
  <c r="O24" i="1"/>
  <c r="P24" i="1"/>
  <c r="Q24" i="1"/>
  <c r="R24" i="1"/>
  <c r="S24" i="1"/>
  <c r="T24" i="1"/>
  <c r="U24" i="1"/>
  <c r="V24" i="1"/>
  <c r="H25" i="1"/>
  <c r="I25" i="1"/>
  <c r="J25" i="1"/>
  <c r="K25" i="1"/>
  <c r="L25" i="1"/>
  <c r="M25" i="1"/>
  <c r="N25" i="1"/>
  <c r="O25" i="1"/>
  <c r="P25" i="1"/>
  <c r="Q25" i="1"/>
  <c r="R25" i="1"/>
  <c r="S25" i="1"/>
  <c r="T25" i="1"/>
  <c r="U25" i="1"/>
  <c r="V25" i="1"/>
  <c r="H26" i="1"/>
  <c r="I26" i="1"/>
  <c r="J26" i="1"/>
  <c r="K26" i="1"/>
  <c r="L26" i="1"/>
  <c r="M26" i="1"/>
  <c r="N26" i="1"/>
  <c r="O26" i="1"/>
  <c r="P26" i="1"/>
  <c r="Q26" i="1"/>
  <c r="R26" i="1"/>
  <c r="S26" i="1"/>
  <c r="T26" i="1"/>
  <c r="U26" i="1"/>
  <c r="V26" i="1"/>
  <c r="H27" i="1"/>
  <c r="I27" i="1"/>
  <c r="J27" i="1"/>
  <c r="K27" i="1"/>
  <c r="L27" i="1"/>
  <c r="M27" i="1"/>
  <c r="N27" i="1"/>
  <c r="O27" i="1"/>
  <c r="P27" i="1"/>
  <c r="Q27" i="1"/>
  <c r="R27" i="1"/>
  <c r="S27" i="1"/>
  <c r="T27" i="1"/>
  <c r="U27" i="1"/>
  <c r="V27" i="1"/>
  <c r="H28" i="1"/>
  <c r="I28" i="1"/>
  <c r="J28" i="1"/>
  <c r="K28" i="1"/>
  <c r="L28" i="1"/>
  <c r="M28" i="1"/>
  <c r="N28" i="1"/>
  <c r="O28" i="1"/>
  <c r="P28" i="1"/>
  <c r="Q28" i="1"/>
  <c r="R28" i="1"/>
  <c r="S28" i="1"/>
  <c r="T28" i="1"/>
  <c r="U28" i="1"/>
  <c r="V28" i="1"/>
  <c r="H29" i="1"/>
  <c r="I29" i="1"/>
  <c r="J29" i="1"/>
  <c r="K29" i="1"/>
  <c r="L29" i="1"/>
  <c r="M29" i="1"/>
  <c r="N29" i="1"/>
  <c r="O29" i="1"/>
  <c r="P29" i="1"/>
  <c r="Q29" i="1"/>
  <c r="R29" i="1"/>
  <c r="S29" i="1"/>
  <c r="T29" i="1"/>
  <c r="U29" i="1"/>
  <c r="V29" i="1"/>
  <c r="H30" i="1"/>
  <c r="I30" i="1"/>
  <c r="J30" i="1"/>
  <c r="K30" i="1"/>
  <c r="L30" i="1"/>
  <c r="M30" i="1"/>
  <c r="N30" i="1"/>
  <c r="O30" i="1"/>
  <c r="P30" i="1"/>
  <c r="Q30" i="1"/>
  <c r="R30" i="1"/>
  <c r="S30" i="1"/>
  <c r="T30" i="1"/>
  <c r="U30" i="1"/>
  <c r="V30" i="1"/>
  <c r="H31" i="1"/>
  <c r="I31" i="1"/>
  <c r="J31" i="1"/>
  <c r="K31" i="1"/>
  <c r="L31" i="1"/>
  <c r="M31" i="1"/>
  <c r="N31" i="1"/>
  <c r="O31" i="1"/>
  <c r="P31" i="1"/>
  <c r="Q31" i="1"/>
  <c r="R31" i="1"/>
  <c r="S31" i="1"/>
  <c r="T31" i="1"/>
  <c r="U31" i="1"/>
  <c r="V31" i="1"/>
  <c r="H32" i="1"/>
  <c r="I32" i="1"/>
  <c r="J32" i="1"/>
  <c r="K32" i="1"/>
  <c r="L32" i="1"/>
  <c r="M32" i="1"/>
  <c r="N32" i="1"/>
  <c r="O32" i="1"/>
  <c r="P32" i="1"/>
  <c r="Q32" i="1"/>
  <c r="R32" i="1"/>
  <c r="S32" i="1"/>
  <c r="T32" i="1"/>
  <c r="U32" i="1"/>
  <c r="V32" i="1"/>
  <c r="H33" i="1"/>
  <c r="I33" i="1"/>
  <c r="J33" i="1"/>
  <c r="K33" i="1"/>
  <c r="L33" i="1"/>
  <c r="M33" i="1"/>
  <c r="N33" i="1"/>
  <c r="O33" i="1"/>
  <c r="P33" i="1"/>
  <c r="Q33" i="1"/>
  <c r="R33" i="1"/>
  <c r="S33" i="1"/>
  <c r="T33" i="1"/>
  <c r="U33" i="1"/>
  <c r="V33" i="1"/>
  <c r="H34" i="1"/>
  <c r="I34" i="1"/>
  <c r="J34" i="1"/>
  <c r="K34" i="1"/>
  <c r="L34" i="1"/>
  <c r="M34" i="1"/>
  <c r="N34" i="1"/>
  <c r="O34" i="1"/>
  <c r="P34" i="1"/>
  <c r="Q34" i="1"/>
  <c r="R34" i="1"/>
  <c r="S34" i="1"/>
  <c r="T34" i="1"/>
  <c r="U34" i="1"/>
  <c r="V34" i="1"/>
  <c r="H35" i="1"/>
  <c r="I35" i="1"/>
  <c r="J35" i="1"/>
  <c r="K35" i="1"/>
  <c r="L35" i="1"/>
  <c r="M35" i="1"/>
  <c r="N35" i="1"/>
  <c r="O35" i="1"/>
  <c r="P35" i="1"/>
  <c r="Q35" i="1"/>
  <c r="R35" i="1"/>
  <c r="S35" i="1"/>
  <c r="T35" i="1"/>
  <c r="U35" i="1"/>
  <c r="V35" i="1"/>
  <c r="H36" i="1"/>
  <c r="I36" i="1"/>
  <c r="J36" i="1"/>
  <c r="K36" i="1"/>
  <c r="L36" i="1"/>
  <c r="M36" i="1"/>
  <c r="N36" i="1"/>
  <c r="O36" i="1"/>
  <c r="P36" i="1"/>
  <c r="Q36" i="1"/>
  <c r="R36" i="1"/>
  <c r="S36" i="1"/>
  <c r="T36" i="1"/>
  <c r="U36" i="1"/>
  <c r="V36" i="1"/>
  <c r="H37" i="1"/>
  <c r="I37" i="1"/>
  <c r="J37" i="1"/>
  <c r="K37" i="1"/>
  <c r="L37" i="1"/>
  <c r="M37" i="1"/>
  <c r="N37" i="1"/>
  <c r="O37" i="1"/>
  <c r="P37" i="1"/>
  <c r="Q37" i="1"/>
  <c r="R37" i="1"/>
  <c r="S37" i="1"/>
  <c r="T37" i="1"/>
  <c r="U37" i="1"/>
  <c r="V37" i="1"/>
  <c r="H38" i="1"/>
  <c r="I38" i="1"/>
  <c r="J38" i="1"/>
  <c r="K38" i="1"/>
  <c r="L38" i="1"/>
  <c r="M38" i="1"/>
  <c r="N38" i="1"/>
  <c r="O38" i="1"/>
  <c r="P38" i="1"/>
  <c r="Q38" i="1"/>
  <c r="R38" i="1"/>
  <c r="S38" i="1"/>
  <c r="T38" i="1"/>
  <c r="U38" i="1"/>
  <c r="V38" i="1"/>
  <c r="H39" i="1"/>
  <c r="I39" i="1"/>
  <c r="J39" i="1"/>
  <c r="K39" i="1"/>
  <c r="L39" i="1"/>
  <c r="M39" i="1"/>
  <c r="N39" i="1"/>
  <c r="O39" i="1"/>
  <c r="P39" i="1"/>
  <c r="Q39" i="1"/>
  <c r="R39" i="1"/>
  <c r="S39" i="1"/>
  <c r="T39" i="1"/>
  <c r="U39" i="1"/>
  <c r="V39" i="1"/>
  <c r="H40" i="1"/>
  <c r="I40" i="1"/>
  <c r="J40" i="1"/>
  <c r="K40" i="1"/>
  <c r="L40" i="1"/>
  <c r="M40" i="1"/>
  <c r="N40" i="1"/>
  <c r="O40" i="1"/>
  <c r="P40" i="1"/>
  <c r="Q40" i="1"/>
  <c r="R40" i="1"/>
  <c r="S40" i="1"/>
  <c r="T40" i="1"/>
  <c r="U40" i="1"/>
  <c r="V40" i="1"/>
  <c r="H41" i="1"/>
  <c r="I41" i="1"/>
  <c r="J41" i="1"/>
  <c r="K41" i="1"/>
  <c r="L41" i="1"/>
  <c r="M41" i="1"/>
  <c r="N41" i="1"/>
  <c r="O41" i="1"/>
  <c r="P41" i="1"/>
  <c r="Q41" i="1"/>
  <c r="R41" i="1"/>
  <c r="S41" i="1"/>
  <c r="T41" i="1"/>
  <c r="U41" i="1"/>
  <c r="V41" i="1"/>
  <c r="H42" i="1"/>
  <c r="I42" i="1"/>
  <c r="J42" i="1"/>
  <c r="K42" i="1"/>
  <c r="L42" i="1"/>
  <c r="M42" i="1"/>
  <c r="N42" i="1"/>
  <c r="O42" i="1"/>
  <c r="P42" i="1"/>
  <c r="Q42" i="1"/>
  <c r="R42" i="1"/>
  <c r="S42" i="1"/>
  <c r="T42" i="1"/>
  <c r="U42" i="1"/>
  <c r="V42" i="1"/>
  <c r="H43" i="1"/>
  <c r="I43" i="1"/>
  <c r="J43" i="1"/>
  <c r="K43" i="1"/>
  <c r="L43" i="1"/>
  <c r="M43" i="1"/>
  <c r="N43" i="1"/>
  <c r="O43" i="1"/>
  <c r="P43" i="1"/>
  <c r="Q43" i="1"/>
  <c r="R43" i="1"/>
  <c r="S43" i="1"/>
  <c r="T43" i="1"/>
  <c r="U43" i="1"/>
  <c r="V43" i="1"/>
  <c r="H44" i="1"/>
  <c r="I44" i="1"/>
  <c r="J44" i="1"/>
  <c r="K44" i="1"/>
  <c r="L44" i="1"/>
  <c r="M44" i="1"/>
  <c r="N44" i="1"/>
  <c r="O44" i="1"/>
  <c r="P44" i="1"/>
  <c r="Q44" i="1"/>
  <c r="R44" i="1"/>
  <c r="S44" i="1"/>
  <c r="T44" i="1"/>
  <c r="U44" i="1"/>
  <c r="V44" i="1"/>
  <c r="H45" i="1"/>
  <c r="I45" i="1"/>
  <c r="J45" i="1"/>
  <c r="K45" i="1"/>
  <c r="L45" i="1"/>
  <c r="M45" i="1"/>
  <c r="N45" i="1"/>
  <c r="O45" i="1"/>
  <c r="P45" i="1"/>
  <c r="Q45" i="1"/>
  <c r="R45" i="1"/>
  <c r="S45" i="1"/>
  <c r="T45" i="1"/>
  <c r="U45" i="1"/>
  <c r="V45" i="1"/>
  <c r="H46" i="1"/>
  <c r="I46" i="1"/>
  <c r="J46" i="1"/>
  <c r="K46" i="1"/>
  <c r="L46" i="1"/>
  <c r="M46" i="1"/>
  <c r="N46" i="1"/>
  <c r="O46" i="1"/>
  <c r="P46" i="1"/>
  <c r="Q46" i="1"/>
  <c r="R46" i="1"/>
  <c r="S46" i="1"/>
  <c r="T46" i="1"/>
  <c r="U46" i="1"/>
  <c r="V46" i="1"/>
  <c r="H47" i="1"/>
  <c r="I47" i="1"/>
  <c r="J47" i="1"/>
  <c r="K47" i="1"/>
  <c r="L47" i="1"/>
  <c r="M47" i="1"/>
  <c r="N47" i="1"/>
  <c r="O47" i="1"/>
  <c r="P47" i="1"/>
  <c r="Q47" i="1"/>
  <c r="R47" i="1"/>
  <c r="S47" i="1"/>
  <c r="T47" i="1"/>
  <c r="U47" i="1"/>
  <c r="V47" i="1"/>
  <c r="H48" i="1"/>
  <c r="I48" i="1"/>
  <c r="J48" i="1"/>
  <c r="K48" i="1"/>
  <c r="L48" i="1"/>
  <c r="M48" i="1"/>
  <c r="N48" i="1"/>
  <c r="O48" i="1"/>
  <c r="P48" i="1"/>
  <c r="Q48" i="1"/>
  <c r="R48" i="1"/>
  <c r="S48" i="1"/>
  <c r="T48" i="1"/>
  <c r="U48" i="1"/>
  <c r="V48" i="1"/>
  <c r="H49" i="1"/>
  <c r="I49" i="1"/>
  <c r="J49" i="1"/>
  <c r="K49" i="1"/>
  <c r="L49" i="1"/>
  <c r="M49" i="1"/>
  <c r="N49" i="1"/>
  <c r="O49" i="1"/>
  <c r="P49" i="1"/>
  <c r="Q49" i="1"/>
  <c r="R49" i="1"/>
  <c r="S49" i="1"/>
  <c r="T49" i="1"/>
  <c r="U49" i="1"/>
  <c r="V49" i="1"/>
  <c r="H50" i="1"/>
  <c r="I50" i="1"/>
  <c r="J50" i="1"/>
  <c r="K50" i="1"/>
  <c r="L50" i="1"/>
  <c r="M50" i="1"/>
  <c r="N50" i="1"/>
  <c r="O50" i="1"/>
  <c r="P50" i="1"/>
  <c r="Q50" i="1"/>
  <c r="R50" i="1"/>
  <c r="S50" i="1"/>
  <c r="T50" i="1"/>
  <c r="U50" i="1"/>
  <c r="V50" i="1"/>
  <c r="H51" i="1"/>
  <c r="I51" i="1"/>
  <c r="J51" i="1"/>
  <c r="K51" i="1"/>
  <c r="L51" i="1"/>
  <c r="M51" i="1"/>
  <c r="N51" i="1"/>
  <c r="O51" i="1"/>
  <c r="P51" i="1"/>
  <c r="Q51" i="1"/>
  <c r="R51" i="1"/>
  <c r="S51" i="1"/>
  <c r="T51" i="1"/>
  <c r="U51" i="1"/>
  <c r="V51" i="1"/>
  <c r="H52" i="1"/>
  <c r="I52" i="1"/>
  <c r="J52" i="1"/>
  <c r="K52" i="1"/>
  <c r="L52" i="1"/>
  <c r="M52" i="1"/>
  <c r="N52" i="1"/>
  <c r="O52" i="1"/>
  <c r="P52" i="1"/>
  <c r="Q52" i="1"/>
  <c r="R52" i="1"/>
  <c r="S52" i="1"/>
  <c r="T52" i="1"/>
  <c r="U52" i="1"/>
  <c r="V52" i="1"/>
  <c r="H53" i="1"/>
  <c r="I53" i="1"/>
  <c r="J53" i="1"/>
  <c r="K53" i="1"/>
  <c r="L53" i="1"/>
  <c r="M53" i="1"/>
  <c r="N53" i="1"/>
  <c r="O53" i="1"/>
  <c r="P53" i="1"/>
  <c r="Q53" i="1"/>
  <c r="R53" i="1"/>
  <c r="S53" i="1"/>
  <c r="T53" i="1"/>
  <c r="U53" i="1"/>
  <c r="V53" i="1"/>
  <c r="H54" i="1"/>
  <c r="I54" i="1"/>
  <c r="J54" i="1"/>
  <c r="K54" i="1"/>
  <c r="L54" i="1"/>
  <c r="M54" i="1"/>
  <c r="N54" i="1"/>
  <c r="O54" i="1"/>
  <c r="P54" i="1"/>
  <c r="Q54" i="1"/>
  <c r="R54" i="1"/>
  <c r="S54" i="1"/>
  <c r="T54" i="1"/>
  <c r="U54" i="1"/>
  <c r="V54" i="1"/>
  <c r="H55" i="1"/>
  <c r="I55" i="1"/>
  <c r="J55" i="1"/>
  <c r="K55" i="1"/>
  <c r="L55" i="1"/>
  <c r="M55" i="1"/>
  <c r="N55" i="1"/>
  <c r="O55" i="1"/>
  <c r="P55" i="1"/>
  <c r="Q55" i="1"/>
  <c r="R55" i="1"/>
  <c r="S55" i="1"/>
  <c r="T55" i="1"/>
  <c r="U55" i="1"/>
  <c r="V55" i="1"/>
  <c r="H56" i="1"/>
  <c r="I56" i="1"/>
  <c r="J56" i="1"/>
  <c r="K56" i="1"/>
  <c r="L56" i="1"/>
  <c r="M56" i="1"/>
  <c r="N56" i="1"/>
  <c r="O56" i="1"/>
  <c r="P56" i="1"/>
  <c r="Q56" i="1"/>
  <c r="R56" i="1"/>
  <c r="S56" i="1"/>
  <c r="T56" i="1"/>
  <c r="U56" i="1"/>
  <c r="V56" i="1"/>
  <c r="H57" i="1"/>
  <c r="I57" i="1"/>
  <c r="J57" i="1"/>
  <c r="K57" i="1"/>
  <c r="L57" i="1"/>
  <c r="M57" i="1"/>
  <c r="N57" i="1"/>
  <c r="O57" i="1"/>
  <c r="P57" i="1"/>
  <c r="Q57" i="1"/>
  <c r="R57" i="1"/>
  <c r="S57" i="1"/>
  <c r="T57" i="1"/>
  <c r="U57" i="1"/>
  <c r="V57" i="1"/>
  <c r="H58" i="1"/>
  <c r="I58" i="1"/>
  <c r="J58" i="1"/>
  <c r="K58" i="1"/>
  <c r="L58" i="1"/>
  <c r="M58" i="1"/>
  <c r="N58" i="1"/>
  <c r="O58" i="1"/>
  <c r="P58" i="1"/>
  <c r="Q58" i="1"/>
  <c r="R58" i="1"/>
  <c r="S58" i="1"/>
  <c r="T58" i="1"/>
  <c r="U58" i="1"/>
  <c r="V58" i="1"/>
  <c r="H59" i="1"/>
  <c r="I59" i="1"/>
  <c r="J59" i="1"/>
  <c r="K59" i="1"/>
  <c r="L59" i="1"/>
  <c r="M59" i="1"/>
  <c r="N59" i="1"/>
  <c r="O59" i="1"/>
  <c r="P59" i="1"/>
  <c r="Q59" i="1"/>
  <c r="R59" i="1"/>
  <c r="S59" i="1"/>
  <c r="T59" i="1"/>
  <c r="U59" i="1"/>
  <c r="V59" i="1"/>
  <c r="H60" i="1"/>
  <c r="I60" i="1"/>
  <c r="J60" i="1"/>
  <c r="K60" i="1"/>
  <c r="L60" i="1"/>
  <c r="M60" i="1"/>
  <c r="N60" i="1"/>
  <c r="O60" i="1"/>
  <c r="P60" i="1"/>
  <c r="Q60" i="1"/>
  <c r="R60" i="1"/>
  <c r="S60" i="1"/>
  <c r="T60" i="1"/>
  <c r="U60" i="1"/>
  <c r="V60" i="1"/>
  <c r="H61" i="1"/>
  <c r="I61" i="1"/>
  <c r="J61" i="1"/>
  <c r="K61" i="1"/>
  <c r="L61" i="1"/>
  <c r="M61" i="1"/>
  <c r="N61" i="1"/>
  <c r="O61" i="1"/>
  <c r="P61" i="1"/>
  <c r="Q61" i="1"/>
  <c r="R61" i="1"/>
  <c r="S61" i="1"/>
  <c r="T61" i="1"/>
  <c r="U61" i="1"/>
  <c r="V61" i="1"/>
  <c r="H62" i="1"/>
  <c r="I62" i="1"/>
  <c r="J62" i="1"/>
  <c r="K62" i="1"/>
  <c r="L62" i="1"/>
  <c r="M62" i="1"/>
  <c r="N62" i="1"/>
  <c r="O62" i="1"/>
  <c r="P62" i="1"/>
  <c r="Q62" i="1"/>
  <c r="R62" i="1"/>
  <c r="S62" i="1"/>
  <c r="T62" i="1"/>
  <c r="U62" i="1"/>
  <c r="V62" i="1"/>
  <c r="H63" i="1"/>
  <c r="I63" i="1"/>
  <c r="J63" i="1"/>
  <c r="K63" i="1"/>
  <c r="L63" i="1"/>
  <c r="M63" i="1"/>
  <c r="N63" i="1"/>
  <c r="O63" i="1"/>
  <c r="P63" i="1"/>
  <c r="Q63" i="1"/>
  <c r="R63" i="1"/>
  <c r="S63" i="1"/>
  <c r="T63" i="1"/>
  <c r="U63" i="1"/>
  <c r="V63" i="1"/>
  <c r="H64" i="1"/>
  <c r="I64" i="1"/>
  <c r="J64" i="1"/>
  <c r="K64" i="1"/>
  <c r="L64" i="1"/>
  <c r="M64" i="1"/>
  <c r="N64" i="1"/>
  <c r="O64" i="1"/>
  <c r="P64" i="1"/>
  <c r="Q64" i="1"/>
  <c r="R64" i="1"/>
  <c r="S64" i="1"/>
  <c r="T64" i="1"/>
  <c r="U64" i="1"/>
  <c r="V64" i="1"/>
  <c r="H65" i="1"/>
  <c r="I65" i="1"/>
  <c r="J65" i="1"/>
  <c r="K65" i="1"/>
  <c r="L65" i="1"/>
  <c r="M65" i="1"/>
  <c r="N65" i="1"/>
  <c r="O65" i="1"/>
  <c r="P65" i="1"/>
  <c r="Q65" i="1"/>
  <c r="R65" i="1"/>
  <c r="S65" i="1"/>
  <c r="T65" i="1"/>
  <c r="U65" i="1"/>
  <c r="V65" i="1"/>
  <c r="H66" i="1"/>
  <c r="I66" i="1"/>
  <c r="J66" i="1"/>
  <c r="K66" i="1"/>
  <c r="L66" i="1"/>
  <c r="M66" i="1"/>
  <c r="N66" i="1"/>
  <c r="O66" i="1"/>
  <c r="P66" i="1"/>
  <c r="Q66" i="1"/>
  <c r="R66" i="1"/>
  <c r="S66" i="1"/>
  <c r="T66" i="1"/>
  <c r="U66" i="1"/>
  <c r="V66" i="1"/>
  <c r="H67" i="1"/>
  <c r="I67" i="1"/>
  <c r="J67" i="1"/>
  <c r="K67" i="1"/>
  <c r="L67" i="1"/>
  <c r="M67" i="1"/>
  <c r="N67" i="1"/>
  <c r="O67" i="1"/>
  <c r="P67" i="1"/>
  <c r="Q67" i="1"/>
  <c r="R67" i="1"/>
  <c r="S67" i="1"/>
  <c r="T67" i="1"/>
  <c r="U67" i="1"/>
  <c r="V67" i="1"/>
  <c r="H68" i="1"/>
  <c r="I68" i="1"/>
  <c r="J68" i="1"/>
  <c r="K68" i="1"/>
  <c r="L68" i="1"/>
  <c r="M68" i="1"/>
  <c r="N68" i="1"/>
  <c r="O68" i="1"/>
  <c r="P68" i="1"/>
  <c r="Q68" i="1"/>
  <c r="R68" i="1"/>
  <c r="S68" i="1"/>
  <c r="T68" i="1"/>
  <c r="U68" i="1"/>
  <c r="V68" i="1"/>
  <c r="H69" i="1"/>
  <c r="I69" i="1"/>
  <c r="J69" i="1"/>
  <c r="K69" i="1"/>
  <c r="L69" i="1"/>
  <c r="M69" i="1"/>
  <c r="N69" i="1"/>
  <c r="O69" i="1"/>
  <c r="P69" i="1"/>
  <c r="Q69" i="1"/>
  <c r="R69" i="1"/>
  <c r="S69" i="1"/>
  <c r="T69" i="1"/>
  <c r="U69" i="1"/>
  <c r="V69" i="1"/>
  <c r="H70" i="1"/>
  <c r="I70" i="1"/>
  <c r="J70" i="1"/>
  <c r="K70" i="1"/>
  <c r="L70" i="1"/>
  <c r="M70" i="1"/>
  <c r="N70" i="1"/>
  <c r="O70" i="1"/>
  <c r="P70" i="1"/>
  <c r="Q70" i="1"/>
  <c r="R70" i="1"/>
  <c r="S70" i="1"/>
  <c r="T70" i="1"/>
  <c r="U70" i="1"/>
  <c r="V70" i="1"/>
  <c r="H71" i="1"/>
  <c r="I71" i="1"/>
  <c r="J71" i="1"/>
  <c r="K71" i="1"/>
  <c r="L71" i="1"/>
  <c r="M71" i="1"/>
  <c r="N71" i="1"/>
  <c r="O71" i="1"/>
  <c r="P71" i="1"/>
  <c r="Q71" i="1"/>
  <c r="R71" i="1"/>
  <c r="S71" i="1"/>
  <c r="T71" i="1"/>
  <c r="U71" i="1"/>
  <c r="V71" i="1"/>
  <c r="H72" i="1"/>
  <c r="I72" i="1"/>
  <c r="J72" i="1"/>
  <c r="K72" i="1"/>
  <c r="L72" i="1"/>
  <c r="M72" i="1"/>
  <c r="N72" i="1"/>
  <c r="O72" i="1"/>
  <c r="P72" i="1"/>
  <c r="Q72" i="1"/>
  <c r="R72" i="1"/>
  <c r="S72" i="1"/>
  <c r="T72" i="1"/>
  <c r="U72" i="1"/>
  <c r="V72" i="1"/>
  <c r="H73" i="1"/>
  <c r="I73" i="1"/>
  <c r="J73" i="1"/>
  <c r="K73" i="1"/>
  <c r="L73" i="1"/>
  <c r="M73" i="1"/>
  <c r="N73" i="1"/>
  <c r="O73" i="1"/>
  <c r="P73" i="1"/>
  <c r="Q73" i="1"/>
  <c r="R73" i="1"/>
  <c r="S73" i="1"/>
  <c r="T73" i="1"/>
  <c r="U73" i="1"/>
  <c r="V73" i="1"/>
  <c r="H74" i="1"/>
  <c r="I74" i="1"/>
  <c r="J74" i="1"/>
  <c r="K74" i="1"/>
  <c r="L74" i="1"/>
  <c r="M74" i="1"/>
  <c r="N74" i="1"/>
  <c r="O74" i="1"/>
  <c r="P74" i="1"/>
  <c r="Q74" i="1"/>
  <c r="R74" i="1"/>
  <c r="S74" i="1"/>
  <c r="T74" i="1"/>
  <c r="U74" i="1"/>
  <c r="V74" i="1"/>
  <c r="H75" i="1"/>
  <c r="I75" i="1"/>
  <c r="J75" i="1"/>
  <c r="K75" i="1"/>
  <c r="L75" i="1"/>
  <c r="M75" i="1"/>
  <c r="N75" i="1"/>
  <c r="O75" i="1"/>
  <c r="P75" i="1"/>
  <c r="Q75" i="1"/>
  <c r="R75" i="1"/>
  <c r="S75" i="1"/>
  <c r="T75" i="1"/>
  <c r="U75" i="1"/>
  <c r="V75" i="1"/>
  <c r="H76" i="1"/>
  <c r="I76" i="1"/>
  <c r="J76" i="1"/>
  <c r="K76" i="1"/>
  <c r="L76" i="1"/>
  <c r="M76" i="1"/>
  <c r="N76" i="1"/>
  <c r="O76" i="1"/>
  <c r="P76" i="1"/>
  <c r="Q76" i="1"/>
  <c r="R76" i="1"/>
  <c r="S76" i="1"/>
  <c r="T76" i="1"/>
  <c r="U76" i="1"/>
  <c r="V76" i="1"/>
  <c r="H77" i="1"/>
  <c r="I77" i="1"/>
  <c r="J77" i="1"/>
  <c r="K77" i="1"/>
  <c r="L77" i="1"/>
  <c r="M77" i="1"/>
  <c r="N77" i="1"/>
  <c r="O77" i="1"/>
  <c r="P77" i="1"/>
  <c r="Q77" i="1"/>
  <c r="R77" i="1"/>
  <c r="S77" i="1"/>
  <c r="T77" i="1"/>
  <c r="U77" i="1"/>
  <c r="V77" i="1"/>
  <c r="H78" i="1"/>
  <c r="I78" i="1"/>
  <c r="J78" i="1"/>
  <c r="K78" i="1"/>
  <c r="L78" i="1"/>
  <c r="M78" i="1"/>
  <c r="N78" i="1"/>
  <c r="O78" i="1"/>
  <c r="P78" i="1"/>
  <c r="Q78" i="1"/>
  <c r="R78" i="1"/>
  <c r="S78" i="1"/>
  <c r="T78" i="1"/>
  <c r="U78" i="1"/>
  <c r="V78" i="1"/>
  <c r="H79" i="1"/>
  <c r="I79" i="1"/>
  <c r="J79" i="1"/>
  <c r="K79" i="1"/>
  <c r="L79" i="1"/>
  <c r="M79" i="1"/>
  <c r="N79" i="1"/>
  <c r="O79" i="1"/>
  <c r="P79" i="1"/>
  <c r="Q79" i="1"/>
  <c r="R79" i="1"/>
  <c r="S79" i="1"/>
  <c r="T79" i="1"/>
  <c r="U79" i="1"/>
  <c r="V79" i="1"/>
  <c r="H80" i="1"/>
  <c r="I80" i="1"/>
  <c r="J80" i="1"/>
  <c r="K80" i="1"/>
  <c r="L80" i="1"/>
  <c r="M80" i="1"/>
  <c r="N80" i="1"/>
  <c r="O80" i="1"/>
  <c r="P80" i="1"/>
  <c r="Q80" i="1"/>
  <c r="R80" i="1"/>
  <c r="S80" i="1"/>
  <c r="T80" i="1"/>
  <c r="U80" i="1"/>
  <c r="V80" i="1"/>
  <c r="H81" i="1"/>
  <c r="I81" i="1"/>
  <c r="J81" i="1"/>
  <c r="K81" i="1"/>
  <c r="L81" i="1"/>
  <c r="M81" i="1"/>
  <c r="N81" i="1"/>
  <c r="O81" i="1"/>
  <c r="P81" i="1"/>
  <c r="Q81" i="1"/>
  <c r="R81" i="1"/>
  <c r="S81" i="1"/>
  <c r="T81" i="1"/>
  <c r="U81" i="1"/>
  <c r="V81" i="1"/>
  <c r="H82" i="1"/>
  <c r="I82" i="1"/>
  <c r="J82" i="1"/>
  <c r="K82" i="1"/>
  <c r="L82" i="1"/>
  <c r="M82" i="1"/>
  <c r="N82" i="1"/>
  <c r="O82" i="1"/>
  <c r="P82" i="1"/>
  <c r="Q82" i="1"/>
  <c r="R82" i="1"/>
  <c r="S82" i="1"/>
  <c r="T82" i="1"/>
  <c r="U82" i="1"/>
  <c r="V82" i="1"/>
  <c r="H83" i="1"/>
  <c r="I83" i="1"/>
  <c r="J83" i="1"/>
  <c r="K83" i="1"/>
  <c r="L83" i="1"/>
  <c r="M83" i="1"/>
  <c r="N83" i="1"/>
  <c r="O83" i="1"/>
  <c r="P83" i="1"/>
  <c r="Q83" i="1"/>
  <c r="R83" i="1"/>
  <c r="S83" i="1"/>
  <c r="T83" i="1"/>
  <c r="U83" i="1"/>
  <c r="V83" i="1"/>
  <c r="H84" i="1"/>
  <c r="I84" i="1"/>
  <c r="J84" i="1"/>
  <c r="K84" i="1"/>
  <c r="L84" i="1"/>
  <c r="M84" i="1"/>
  <c r="N84" i="1"/>
  <c r="O84" i="1"/>
  <c r="P84" i="1"/>
  <c r="Q84" i="1"/>
  <c r="R84" i="1"/>
  <c r="S84" i="1"/>
  <c r="T84" i="1"/>
  <c r="U84" i="1"/>
  <c r="V84" i="1"/>
  <c r="H85" i="1"/>
  <c r="I85" i="1"/>
  <c r="J85" i="1"/>
  <c r="K85" i="1"/>
  <c r="L85" i="1"/>
  <c r="M85" i="1"/>
  <c r="N85" i="1"/>
  <c r="O85" i="1"/>
  <c r="P85" i="1"/>
  <c r="Q85" i="1"/>
  <c r="R85" i="1"/>
  <c r="S85" i="1"/>
  <c r="T85" i="1"/>
  <c r="U85" i="1"/>
  <c r="V85" i="1"/>
  <c r="H86" i="1"/>
  <c r="I86" i="1"/>
  <c r="J86" i="1"/>
  <c r="K86" i="1"/>
  <c r="L86" i="1"/>
  <c r="M86" i="1"/>
  <c r="N86" i="1"/>
  <c r="O86" i="1"/>
  <c r="P86" i="1"/>
  <c r="Q86" i="1"/>
  <c r="R86" i="1"/>
  <c r="S86" i="1"/>
  <c r="T86" i="1"/>
  <c r="U86" i="1"/>
  <c r="V86" i="1"/>
  <c r="H87" i="1"/>
  <c r="I87" i="1"/>
  <c r="J87" i="1"/>
  <c r="K87" i="1"/>
  <c r="L87" i="1"/>
  <c r="M87" i="1"/>
  <c r="N87" i="1"/>
  <c r="O87" i="1"/>
  <c r="P87" i="1"/>
  <c r="Q87" i="1"/>
  <c r="R87" i="1"/>
  <c r="S87" i="1"/>
  <c r="T87" i="1"/>
  <c r="U87" i="1"/>
  <c r="V87" i="1"/>
  <c r="H88" i="1"/>
  <c r="I88" i="1"/>
  <c r="J88" i="1"/>
  <c r="K88" i="1"/>
  <c r="L88" i="1"/>
  <c r="M88" i="1"/>
  <c r="N88" i="1"/>
  <c r="O88" i="1"/>
  <c r="P88" i="1"/>
  <c r="Q88" i="1"/>
  <c r="R88" i="1"/>
  <c r="S88" i="1"/>
  <c r="T88" i="1"/>
  <c r="U88" i="1"/>
  <c r="V88" i="1"/>
  <c r="H89" i="1"/>
  <c r="I89" i="1"/>
  <c r="J89" i="1"/>
  <c r="K89" i="1"/>
  <c r="L89" i="1"/>
  <c r="M89" i="1"/>
  <c r="N89" i="1"/>
  <c r="O89" i="1"/>
  <c r="P89" i="1"/>
  <c r="Q89" i="1"/>
  <c r="R89" i="1"/>
  <c r="S89" i="1"/>
  <c r="T89" i="1"/>
  <c r="U89" i="1"/>
  <c r="V89" i="1"/>
  <c r="H90" i="1"/>
  <c r="I90" i="1"/>
  <c r="J90" i="1"/>
  <c r="K90" i="1"/>
  <c r="L90" i="1"/>
  <c r="M90" i="1"/>
  <c r="N90" i="1"/>
  <c r="O90" i="1"/>
  <c r="P90" i="1"/>
  <c r="Q90" i="1"/>
  <c r="R90" i="1"/>
  <c r="S90" i="1"/>
  <c r="T90" i="1"/>
  <c r="U90" i="1"/>
  <c r="V90" i="1"/>
  <c r="H91" i="1"/>
  <c r="I91" i="1"/>
  <c r="J91" i="1"/>
  <c r="K91" i="1"/>
  <c r="L91" i="1"/>
  <c r="M91" i="1"/>
  <c r="N91" i="1"/>
  <c r="O91" i="1"/>
  <c r="P91" i="1"/>
  <c r="Q91" i="1"/>
  <c r="R91" i="1"/>
  <c r="S91" i="1"/>
  <c r="T91" i="1"/>
  <c r="U91" i="1"/>
  <c r="V91" i="1"/>
  <c r="H92" i="1"/>
  <c r="I92" i="1"/>
  <c r="J92" i="1"/>
  <c r="K92" i="1"/>
  <c r="L92" i="1"/>
  <c r="M92" i="1"/>
  <c r="N92" i="1"/>
  <c r="O92" i="1"/>
  <c r="P92" i="1"/>
  <c r="Q92" i="1"/>
  <c r="R92" i="1"/>
  <c r="S92" i="1"/>
  <c r="T92" i="1"/>
  <c r="U92" i="1"/>
  <c r="V92" i="1"/>
  <c r="H93" i="1"/>
  <c r="I93" i="1"/>
  <c r="J93" i="1"/>
  <c r="K93" i="1"/>
  <c r="L93" i="1"/>
  <c r="M93" i="1"/>
  <c r="N93" i="1"/>
  <c r="O93" i="1"/>
  <c r="P93" i="1"/>
  <c r="Q93" i="1"/>
  <c r="R93" i="1"/>
  <c r="S93" i="1"/>
  <c r="T93" i="1"/>
  <c r="U93" i="1"/>
  <c r="V93" i="1"/>
  <c r="H94" i="1"/>
  <c r="I94" i="1"/>
  <c r="J94" i="1"/>
  <c r="K94" i="1"/>
  <c r="L94" i="1"/>
  <c r="M94" i="1"/>
  <c r="N94" i="1"/>
  <c r="O94" i="1"/>
  <c r="P94" i="1"/>
  <c r="Q94" i="1"/>
  <c r="R94" i="1"/>
  <c r="S94" i="1"/>
  <c r="T94" i="1"/>
  <c r="U94" i="1"/>
  <c r="V94" i="1"/>
  <c r="H95" i="1"/>
  <c r="I95" i="1"/>
  <c r="J95" i="1"/>
  <c r="K95" i="1"/>
  <c r="L95" i="1"/>
  <c r="M95" i="1"/>
  <c r="N95" i="1"/>
  <c r="O95" i="1"/>
  <c r="P95" i="1"/>
  <c r="Q95" i="1"/>
  <c r="R95" i="1"/>
  <c r="S95" i="1"/>
  <c r="T95" i="1"/>
  <c r="U95" i="1"/>
  <c r="V95" i="1"/>
  <c r="H96" i="1"/>
  <c r="I96" i="1"/>
  <c r="J96" i="1"/>
  <c r="K96" i="1"/>
  <c r="L96" i="1"/>
  <c r="M96" i="1"/>
  <c r="N96" i="1"/>
  <c r="O96" i="1"/>
  <c r="P96" i="1"/>
  <c r="Q96" i="1"/>
  <c r="R96" i="1"/>
  <c r="S96" i="1"/>
  <c r="T96" i="1"/>
  <c r="U96" i="1"/>
  <c r="V96" i="1"/>
  <c r="H97" i="1"/>
  <c r="I97" i="1"/>
  <c r="J97" i="1"/>
  <c r="K97" i="1"/>
  <c r="L97" i="1"/>
  <c r="M97" i="1"/>
  <c r="N97" i="1"/>
  <c r="O97" i="1"/>
  <c r="P97" i="1"/>
  <c r="Q97" i="1"/>
  <c r="R97" i="1"/>
  <c r="S97" i="1"/>
  <c r="T97" i="1"/>
  <c r="U97" i="1"/>
  <c r="V97" i="1"/>
  <c r="H98" i="1"/>
  <c r="I98" i="1"/>
  <c r="J98" i="1"/>
  <c r="K98" i="1"/>
  <c r="L98" i="1"/>
  <c r="M98" i="1"/>
  <c r="N98" i="1"/>
  <c r="O98" i="1"/>
  <c r="P98" i="1"/>
  <c r="Q98" i="1"/>
  <c r="R98" i="1"/>
  <c r="S98" i="1"/>
  <c r="T98" i="1"/>
  <c r="U98" i="1"/>
  <c r="V98" i="1"/>
  <c r="H99" i="1"/>
  <c r="I99" i="1"/>
  <c r="J99" i="1"/>
  <c r="K99" i="1"/>
  <c r="L99" i="1"/>
  <c r="M99" i="1"/>
  <c r="N99" i="1"/>
  <c r="O99" i="1"/>
  <c r="P99" i="1"/>
  <c r="Q99" i="1"/>
  <c r="R99" i="1"/>
  <c r="S99" i="1"/>
  <c r="T99" i="1"/>
  <c r="U99" i="1"/>
  <c r="V99" i="1"/>
  <c r="H100" i="1"/>
  <c r="I100" i="1"/>
  <c r="J100" i="1"/>
  <c r="K100" i="1"/>
  <c r="L100" i="1"/>
  <c r="M100" i="1"/>
  <c r="N100" i="1"/>
  <c r="O100" i="1"/>
  <c r="P100" i="1"/>
  <c r="Q100" i="1"/>
  <c r="R100" i="1"/>
  <c r="S100" i="1"/>
  <c r="T100" i="1"/>
  <c r="U100" i="1"/>
  <c r="V100" i="1"/>
  <c r="H101" i="1"/>
  <c r="I101" i="1"/>
  <c r="J101" i="1"/>
  <c r="K101" i="1"/>
  <c r="L101" i="1"/>
  <c r="M101" i="1"/>
  <c r="N101" i="1"/>
  <c r="O101" i="1"/>
  <c r="P101" i="1"/>
  <c r="Q101" i="1"/>
  <c r="R101" i="1"/>
  <c r="S101" i="1"/>
  <c r="T101" i="1"/>
  <c r="U101" i="1"/>
  <c r="V101" i="1"/>
  <c r="H102" i="1"/>
  <c r="I102" i="1"/>
  <c r="J102" i="1"/>
  <c r="K102" i="1"/>
  <c r="L102" i="1"/>
  <c r="M102" i="1"/>
  <c r="N102" i="1"/>
  <c r="O102" i="1"/>
  <c r="P102" i="1"/>
  <c r="Q102" i="1"/>
  <c r="R102" i="1"/>
  <c r="S102" i="1"/>
  <c r="T102" i="1"/>
  <c r="U102" i="1"/>
  <c r="V102" i="1"/>
  <c r="H103" i="1"/>
  <c r="I103" i="1"/>
  <c r="J103" i="1"/>
  <c r="K103" i="1"/>
  <c r="L103" i="1"/>
  <c r="M103" i="1"/>
  <c r="N103" i="1"/>
  <c r="O103" i="1"/>
  <c r="P103" i="1"/>
  <c r="Q103" i="1"/>
  <c r="R103" i="1"/>
  <c r="S103" i="1"/>
  <c r="T103" i="1"/>
  <c r="U103" i="1"/>
  <c r="V103" i="1"/>
  <c r="H104" i="1"/>
  <c r="I104" i="1"/>
  <c r="J104" i="1"/>
  <c r="K104" i="1"/>
  <c r="L104" i="1"/>
  <c r="M104" i="1"/>
  <c r="N104" i="1"/>
  <c r="O104" i="1"/>
  <c r="P104" i="1"/>
  <c r="Q104" i="1"/>
  <c r="R104" i="1"/>
  <c r="S104" i="1"/>
  <c r="T104" i="1"/>
  <c r="U104" i="1"/>
  <c r="V104" i="1"/>
  <c r="H105" i="1"/>
  <c r="I105" i="1"/>
  <c r="J105" i="1"/>
  <c r="K105" i="1"/>
  <c r="L105" i="1"/>
  <c r="M105" i="1"/>
  <c r="N105" i="1"/>
  <c r="O105" i="1"/>
  <c r="P105" i="1"/>
  <c r="Q105" i="1"/>
  <c r="R105" i="1"/>
  <c r="S105" i="1"/>
  <c r="T105" i="1"/>
  <c r="U105" i="1"/>
  <c r="V105" i="1"/>
  <c r="H106" i="1"/>
  <c r="I106" i="1"/>
  <c r="J106" i="1"/>
  <c r="K106" i="1"/>
  <c r="L106" i="1"/>
  <c r="M106" i="1"/>
  <c r="N106" i="1"/>
  <c r="O106" i="1"/>
  <c r="P106" i="1"/>
  <c r="Q106" i="1"/>
  <c r="R106" i="1"/>
  <c r="S106" i="1"/>
  <c r="T106" i="1"/>
  <c r="U106" i="1"/>
  <c r="V106" i="1"/>
  <c r="H107" i="1"/>
  <c r="I107" i="1"/>
  <c r="J107" i="1"/>
  <c r="K107" i="1"/>
  <c r="L107" i="1"/>
  <c r="M107" i="1"/>
  <c r="N107" i="1"/>
  <c r="O107" i="1"/>
  <c r="P107" i="1"/>
  <c r="Q107" i="1"/>
  <c r="R107" i="1"/>
  <c r="S107" i="1"/>
  <c r="T107" i="1"/>
  <c r="U107" i="1"/>
  <c r="V107" i="1"/>
  <c r="H108" i="1"/>
  <c r="I108" i="1"/>
  <c r="J108" i="1"/>
  <c r="K108" i="1"/>
  <c r="L108" i="1"/>
  <c r="M108" i="1"/>
  <c r="N108" i="1"/>
  <c r="O108" i="1"/>
  <c r="P108" i="1"/>
  <c r="Q108" i="1"/>
  <c r="R108" i="1"/>
  <c r="S108" i="1"/>
  <c r="T108" i="1"/>
  <c r="U108" i="1"/>
  <c r="V108" i="1"/>
  <c r="E4" i="1"/>
  <c r="B4" i="1" s="1"/>
  <c r="F4" i="1"/>
  <c r="C4" i="1" s="1"/>
  <c r="G4" i="1"/>
  <c r="D4" i="1" s="1"/>
  <c r="E5" i="1"/>
  <c r="B5" i="1" s="1"/>
  <c r="F5" i="1"/>
  <c r="C5" i="1" s="1"/>
  <c r="G5" i="1"/>
  <c r="D5" i="1" s="1"/>
  <c r="E6" i="1"/>
  <c r="B6" i="1" s="1"/>
  <c r="F6" i="1"/>
  <c r="C6" i="1" s="1"/>
  <c r="G6" i="1"/>
  <c r="D6" i="1" s="1"/>
  <c r="E7" i="1"/>
  <c r="B7" i="1" s="1"/>
  <c r="F7" i="1"/>
  <c r="C7" i="1" s="1"/>
  <c r="G7" i="1"/>
  <c r="D7" i="1" s="1"/>
  <c r="E8" i="1"/>
  <c r="B8" i="1" s="1"/>
  <c r="F8" i="1"/>
  <c r="C8" i="1" s="1"/>
  <c r="G8" i="1"/>
  <c r="D8" i="1" s="1"/>
  <c r="E9" i="1"/>
  <c r="B9" i="1" s="1"/>
  <c r="F9" i="1"/>
  <c r="C9" i="1" s="1"/>
  <c r="G9" i="1"/>
  <c r="D9" i="1" s="1"/>
  <c r="E10" i="1"/>
  <c r="B10" i="1" s="1"/>
  <c r="F10" i="1"/>
  <c r="C10" i="1" s="1"/>
  <c r="G10" i="1"/>
  <c r="D10" i="1" s="1"/>
  <c r="E11" i="1"/>
  <c r="B11" i="1" s="1"/>
  <c r="F11" i="1"/>
  <c r="C11" i="1" s="1"/>
  <c r="G11" i="1"/>
  <c r="D11" i="1" s="1"/>
  <c r="E12" i="1"/>
  <c r="B12" i="1" s="1"/>
  <c r="F12" i="1"/>
  <c r="C12" i="1" s="1"/>
  <c r="G12" i="1"/>
  <c r="D12" i="1" s="1"/>
  <c r="E13" i="1"/>
  <c r="B13" i="1" s="1"/>
  <c r="F13" i="1"/>
  <c r="C13" i="1" s="1"/>
  <c r="G13" i="1"/>
  <c r="D13" i="1" s="1"/>
  <c r="E14" i="1"/>
  <c r="B14" i="1" s="1"/>
  <c r="F14" i="1"/>
  <c r="C14" i="1" s="1"/>
  <c r="G14" i="1"/>
  <c r="D14" i="1" s="1"/>
  <c r="E15" i="1"/>
  <c r="B15" i="1" s="1"/>
  <c r="F15" i="1"/>
  <c r="C15" i="1" s="1"/>
  <c r="G15" i="1"/>
  <c r="D15" i="1" s="1"/>
  <c r="E16" i="1"/>
  <c r="B16" i="1" s="1"/>
  <c r="F16" i="1"/>
  <c r="C16" i="1" s="1"/>
  <c r="G16" i="1"/>
  <c r="D16" i="1" s="1"/>
  <c r="E17" i="1"/>
  <c r="B17" i="1" s="1"/>
  <c r="F17" i="1"/>
  <c r="C17" i="1" s="1"/>
  <c r="G17" i="1"/>
  <c r="D17" i="1" s="1"/>
  <c r="E18" i="1"/>
  <c r="B18" i="1" s="1"/>
  <c r="F18" i="1"/>
  <c r="C18" i="1" s="1"/>
  <c r="G18" i="1"/>
  <c r="D18" i="1" s="1"/>
  <c r="E19" i="1"/>
  <c r="B19" i="1" s="1"/>
  <c r="F19" i="1"/>
  <c r="C19" i="1" s="1"/>
  <c r="G19" i="1"/>
  <c r="D19" i="1" s="1"/>
  <c r="E20" i="1"/>
  <c r="B20" i="1" s="1"/>
  <c r="F20" i="1"/>
  <c r="C20" i="1" s="1"/>
  <c r="G20" i="1"/>
  <c r="D20" i="1" s="1"/>
  <c r="E21" i="1"/>
  <c r="B21" i="1" s="1"/>
  <c r="F21" i="1"/>
  <c r="C21" i="1" s="1"/>
  <c r="G21" i="1"/>
  <c r="D21" i="1" s="1"/>
  <c r="E22" i="1"/>
  <c r="B22" i="1" s="1"/>
  <c r="F22" i="1"/>
  <c r="C22" i="1" s="1"/>
  <c r="G22" i="1"/>
  <c r="D22" i="1" s="1"/>
  <c r="E23" i="1"/>
  <c r="B23" i="1" s="1"/>
  <c r="F23" i="1"/>
  <c r="C23" i="1" s="1"/>
  <c r="G23" i="1"/>
  <c r="D23" i="1" s="1"/>
  <c r="E24" i="1"/>
  <c r="B24" i="1" s="1"/>
  <c r="F24" i="1"/>
  <c r="C24" i="1" s="1"/>
  <c r="G24" i="1"/>
  <c r="D24" i="1" s="1"/>
  <c r="E25" i="1"/>
  <c r="B25" i="1" s="1"/>
  <c r="F25" i="1"/>
  <c r="C25" i="1" s="1"/>
  <c r="G25" i="1"/>
  <c r="D25" i="1" s="1"/>
  <c r="E26" i="1"/>
  <c r="B26" i="1" s="1"/>
  <c r="F26" i="1"/>
  <c r="C26" i="1" s="1"/>
  <c r="G26" i="1"/>
  <c r="D26" i="1" s="1"/>
  <c r="E27" i="1"/>
  <c r="B27" i="1" s="1"/>
  <c r="F27" i="1"/>
  <c r="C27" i="1" s="1"/>
  <c r="G27" i="1"/>
  <c r="D27" i="1" s="1"/>
  <c r="E28" i="1"/>
  <c r="B28" i="1" s="1"/>
  <c r="F28" i="1"/>
  <c r="C28" i="1" s="1"/>
  <c r="G28" i="1"/>
  <c r="D28" i="1" s="1"/>
  <c r="E29" i="1"/>
  <c r="B29" i="1" s="1"/>
  <c r="F29" i="1"/>
  <c r="C29" i="1" s="1"/>
  <c r="G29" i="1"/>
  <c r="D29" i="1" s="1"/>
  <c r="E30" i="1"/>
  <c r="B30" i="1" s="1"/>
  <c r="F30" i="1"/>
  <c r="C30" i="1" s="1"/>
  <c r="G30" i="1"/>
  <c r="D30" i="1" s="1"/>
  <c r="E31" i="1"/>
  <c r="B31" i="1" s="1"/>
  <c r="F31" i="1"/>
  <c r="C31" i="1" s="1"/>
  <c r="G31" i="1"/>
  <c r="D31" i="1" s="1"/>
  <c r="E32" i="1"/>
  <c r="B32" i="1" s="1"/>
  <c r="F32" i="1"/>
  <c r="C32" i="1" s="1"/>
  <c r="G32" i="1"/>
  <c r="D32" i="1" s="1"/>
  <c r="E33" i="1"/>
  <c r="B33" i="1" s="1"/>
  <c r="F33" i="1"/>
  <c r="C33" i="1" s="1"/>
  <c r="G33" i="1"/>
  <c r="D33" i="1" s="1"/>
  <c r="E34" i="1"/>
  <c r="B34" i="1" s="1"/>
  <c r="F34" i="1"/>
  <c r="C34" i="1" s="1"/>
  <c r="G34" i="1"/>
  <c r="D34" i="1" s="1"/>
  <c r="E35" i="1"/>
  <c r="B35" i="1" s="1"/>
  <c r="F35" i="1"/>
  <c r="C35" i="1" s="1"/>
  <c r="G35" i="1"/>
  <c r="D35" i="1" s="1"/>
  <c r="E36" i="1"/>
  <c r="B36" i="1" s="1"/>
  <c r="F36" i="1"/>
  <c r="C36" i="1" s="1"/>
  <c r="G36" i="1"/>
  <c r="D36" i="1" s="1"/>
  <c r="E37" i="1"/>
  <c r="B37" i="1" s="1"/>
  <c r="F37" i="1"/>
  <c r="C37" i="1" s="1"/>
  <c r="G37" i="1"/>
  <c r="D37" i="1" s="1"/>
  <c r="E38" i="1"/>
  <c r="B38" i="1" s="1"/>
  <c r="F38" i="1"/>
  <c r="C38" i="1" s="1"/>
  <c r="G38" i="1"/>
  <c r="D38" i="1" s="1"/>
  <c r="E39" i="1"/>
  <c r="B39" i="1" s="1"/>
  <c r="F39" i="1"/>
  <c r="C39" i="1" s="1"/>
  <c r="G39" i="1"/>
  <c r="D39" i="1" s="1"/>
  <c r="E40" i="1"/>
  <c r="B40" i="1" s="1"/>
  <c r="F40" i="1"/>
  <c r="C40" i="1" s="1"/>
  <c r="G40" i="1"/>
  <c r="D40" i="1" s="1"/>
  <c r="E41" i="1"/>
  <c r="B41" i="1" s="1"/>
  <c r="F41" i="1"/>
  <c r="C41" i="1" s="1"/>
  <c r="G41" i="1"/>
  <c r="D41" i="1" s="1"/>
  <c r="E42" i="1"/>
  <c r="B42" i="1" s="1"/>
  <c r="F42" i="1"/>
  <c r="C42" i="1" s="1"/>
  <c r="G42" i="1"/>
  <c r="D42" i="1" s="1"/>
  <c r="E43" i="1"/>
  <c r="B43" i="1" s="1"/>
  <c r="F43" i="1"/>
  <c r="C43" i="1" s="1"/>
  <c r="G43" i="1"/>
  <c r="D43" i="1" s="1"/>
  <c r="E44" i="1"/>
  <c r="B44" i="1" s="1"/>
  <c r="F44" i="1"/>
  <c r="C44" i="1" s="1"/>
  <c r="G44" i="1"/>
  <c r="D44" i="1" s="1"/>
  <c r="E45" i="1"/>
  <c r="B45" i="1" s="1"/>
  <c r="F45" i="1"/>
  <c r="C45" i="1" s="1"/>
  <c r="G45" i="1"/>
  <c r="D45" i="1" s="1"/>
  <c r="E46" i="1"/>
  <c r="B46" i="1" s="1"/>
  <c r="F46" i="1"/>
  <c r="C46" i="1" s="1"/>
  <c r="G46" i="1"/>
  <c r="D46" i="1" s="1"/>
  <c r="E47" i="1"/>
  <c r="B47" i="1" s="1"/>
  <c r="F47" i="1"/>
  <c r="C47" i="1" s="1"/>
  <c r="G47" i="1"/>
  <c r="D47" i="1" s="1"/>
  <c r="E48" i="1"/>
  <c r="B48" i="1" s="1"/>
  <c r="F48" i="1"/>
  <c r="C48" i="1" s="1"/>
  <c r="G48" i="1"/>
  <c r="D48" i="1" s="1"/>
  <c r="E49" i="1"/>
  <c r="B49" i="1" s="1"/>
  <c r="F49" i="1"/>
  <c r="C49" i="1" s="1"/>
  <c r="G49" i="1"/>
  <c r="D49" i="1" s="1"/>
  <c r="E50" i="1"/>
  <c r="B50" i="1" s="1"/>
  <c r="F50" i="1"/>
  <c r="C50" i="1" s="1"/>
  <c r="G50" i="1"/>
  <c r="D50" i="1" s="1"/>
  <c r="E51" i="1"/>
  <c r="B51" i="1" s="1"/>
  <c r="F51" i="1"/>
  <c r="C51" i="1" s="1"/>
  <c r="G51" i="1"/>
  <c r="D51" i="1" s="1"/>
  <c r="E52" i="1"/>
  <c r="B52" i="1" s="1"/>
  <c r="F52" i="1"/>
  <c r="C52" i="1" s="1"/>
  <c r="G52" i="1"/>
  <c r="D52" i="1" s="1"/>
  <c r="E53" i="1"/>
  <c r="B53" i="1" s="1"/>
  <c r="F53" i="1"/>
  <c r="C53" i="1" s="1"/>
  <c r="G53" i="1"/>
  <c r="D53" i="1" s="1"/>
  <c r="E54" i="1"/>
  <c r="B54" i="1" s="1"/>
  <c r="F54" i="1"/>
  <c r="C54" i="1" s="1"/>
  <c r="G54" i="1"/>
  <c r="D54" i="1" s="1"/>
  <c r="E55" i="1"/>
  <c r="B55" i="1" s="1"/>
  <c r="F55" i="1"/>
  <c r="C55" i="1" s="1"/>
  <c r="G55" i="1"/>
  <c r="D55" i="1" s="1"/>
  <c r="E56" i="1"/>
  <c r="B56" i="1" s="1"/>
  <c r="F56" i="1"/>
  <c r="C56" i="1" s="1"/>
  <c r="G56" i="1"/>
  <c r="D56" i="1" s="1"/>
  <c r="E57" i="1"/>
  <c r="B57" i="1" s="1"/>
  <c r="F57" i="1"/>
  <c r="C57" i="1" s="1"/>
  <c r="G57" i="1"/>
  <c r="D57" i="1" s="1"/>
  <c r="E58" i="1"/>
  <c r="B58" i="1" s="1"/>
  <c r="F58" i="1"/>
  <c r="C58" i="1" s="1"/>
  <c r="G58" i="1"/>
  <c r="D58" i="1" s="1"/>
  <c r="E59" i="1"/>
  <c r="B59" i="1" s="1"/>
  <c r="F59" i="1"/>
  <c r="C59" i="1" s="1"/>
  <c r="G59" i="1"/>
  <c r="D59" i="1" s="1"/>
  <c r="E60" i="1"/>
  <c r="B60" i="1" s="1"/>
  <c r="F60" i="1"/>
  <c r="C60" i="1" s="1"/>
  <c r="G60" i="1"/>
  <c r="D60" i="1" s="1"/>
  <c r="E61" i="1"/>
  <c r="B61" i="1" s="1"/>
  <c r="F61" i="1"/>
  <c r="C61" i="1" s="1"/>
  <c r="G61" i="1"/>
  <c r="D61" i="1" s="1"/>
  <c r="E62" i="1"/>
  <c r="B62" i="1" s="1"/>
  <c r="F62" i="1"/>
  <c r="C62" i="1" s="1"/>
  <c r="G62" i="1"/>
  <c r="D62" i="1" s="1"/>
  <c r="E63" i="1"/>
  <c r="B63" i="1" s="1"/>
  <c r="F63" i="1"/>
  <c r="C63" i="1" s="1"/>
  <c r="G63" i="1"/>
  <c r="D63" i="1" s="1"/>
  <c r="E64" i="1"/>
  <c r="B64" i="1" s="1"/>
  <c r="F64" i="1"/>
  <c r="C64" i="1" s="1"/>
  <c r="G64" i="1"/>
  <c r="D64" i="1" s="1"/>
  <c r="E65" i="1"/>
  <c r="B65" i="1" s="1"/>
  <c r="F65" i="1"/>
  <c r="C65" i="1" s="1"/>
  <c r="G65" i="1"/>
  <c r="D65" i="1" s="1"/>
  <c r="E66" i="1"/>
  <c r="B66" i="1" s="1"/>
  <c r="F66" i="1"/>
  <c r="C66" i="1" s="1"/>
  <c r="G66" i="1"/>
  <c r="D66" i="1" s="1"/>
  <c r="E67" i="1"/>
  <c r="B67" i="1" s="1"/>
  <c r="F67" i="1"/>
  <c r="C67" i="1" s="1"/>
  <c r="G67" i="1"/>
  <c r="D67" i="1" s="1"/>
  <c r="E68" i="1"/>
  <c r="B68" i="1" s="1"/>
  <c r="F68" i="1"/>
  <c r="G68" i="1"/>
  <c r="D68" i="1" s="1"/>
  <c r="E69" i="1"/>
  <c r="B69" i="1" s="1"/>
  <c r="F69" i="1"/>
  <c r="C69" i="1" s="1"/>
  <c r="G69" i="1"/>
  <c r="D69" i="1" s="1"/>
  <c r="E70" i="1"/>
  <c r="B70" i="1" s="1"/>
  <c r="F70" i="1"/>
  <c r="C70" i="1" s="1"/>
  <c r="G70" i="1"/>
  <c r="D70" i="1" s="1"/>
  <c r="E71" i="1"/>
  <c r="B71" i="1" s="1"/>
  <c r="F71" i="1"/>
  <c r="C71" i="1" s="1"/>
  <c r="G71" i="1"/>
  <c r="D71" i="1" s="1"/>
  <c r="E72" i="1"/>
  <c r="B72" i="1" s="1"/>
  <c r="F72" i="1"/>
  <c r="C72" i="1" s="1"/>
  <c r="G72" i="1"/>
  <c r="D72" i="1" s="1"/>
  <c r="E73" i="1"/>
  <c r="B73" i="1" s="1"/>
  <c r="F73" i="1"/>
  <c r="C73" i="1" s="1"/>
  <c r="G73" i="1"/>
  <c r="D73" i="1" s="1"/>
  <c r="E74" i="1"/>
  <c r="B74" i="1" s="1"/>
  <c r="F74" i="1"/>
  <c r="C74" i="1" s="1"/>
  <c r="G74" i="1"/>
  <c r="D74" i="1" s="1"/>
  <c r="E75" i="1"/>
  <c r="B75" i="1" s="1"/>
  <c r="F75" i="1"/>
  <c r="C75" i="1" s="1"/>
  <c r="G75" i="1"/>
  <c r="D75" i="1" s="1"/>
  <c r="E76" i="1"/>
  <c r="B76" i="1" s="1"/>
  <c r="F76" i="1"/>
  <c r="C76" i="1" s="1"/>
  <c r="G76" i="1"/>
  <c r="D76" i="1" s="1"/>
  <c r="E77" i="1"/>
  <c r="B77" i="1" s="1"/>
  <c r="F77" i="1"/>
  <c r="C77" i="1" s="1"/>
  <c r="G77" i="1"/>
  <c r="D77" i="1" s="1"/>
  <c r="E78" i="1"/>
  <c r="B78" i="1" s="1"/>
  <c r="F78" i="1"/>
  <c r="C78" i="1" s="1"/>
  <c r="G78" i="1"/>
  <c r="D78" i="1" s="1"/>
  <c r="E79" i="1"/>
  <c r="B79" i="1" s="1"/>
  <c r="F79" i="1"/>
  <c r="C79" i="1" s="1"/>
  <c r="G79" i="1"/>
  <c r="D79" i="1" s="1"/>
  <c r="E80" i="1"/>
  <c r="B80" i="1" s="1"/>
  <c r="F80" i="1"/>
  <c r="C80" i="1" s="1"/>
  <c r="G80" i="1"/>
  <c r="D80" i="1" s="1"/>
  <c r="E81" i="1"/>
  <c r="B81" i="1" s="1"/>
  <c r="F81" i="1"/>
  <c r="C81" i="1" s="1"/>
  <c r="G81" i="1"/>
  <c r="D81" i="1" s="1"/>
  <c r="E82" i="1"/>
  <c r="B82" i="1" s="1"/>
  <c r="F82" i="1"/>
  <c r="C82" i="1" s="1"/>
  <c r="G82" i="1"/>
  <c r="D82" i="1" s="1"/>
  <c r="E83" i="1"/>
  <c r="B83" i="1" s="1"/>
  <c r="F83" i="1"/>
  <c r="C83" i="1" s="1"/>
  <c r="G83" i="1"/>
  <c r="D83" i="1" s="1"/>
  <c r="E84" i="1"/>
  <c r="B84" i="1" s="1"/>
  <c r="F84" i="1"/>
  <c r="C84" i="1" s="1"/>
  <c r="G84" i="1"/>
  <c r="D84" i="1" s="1"/>
  <c r="E85" i="1"/>
  <c r="B85" i="1" s="1"/>
  <c r="F85" i="1"/>
  <c r="C85" i="1" s="1"/>
  <c r="G85" i="1"/>
  <c r="D85" i="1" s="1"/>
  <c r="E86" i="1"/>
  <c r="B86" i="1" s="1"/>
  <c r="F86" i="1"/>
  <c r="C86" i="1" s="1"/>
  <c r="G86" i="1"/>
  <c r="D86" i="1" s="1"/>
  <c r="E87" i="1"/>
  <c r="B87" i="1" s="1"/>
  <c r="F87" i="1"/>
  <c r="C87" i="1" s="1"/>
  <c r="G87" i="1"/>
  <c r="D87" i="1" s="1"/>
  <c r="E88" i="1"/>
  <c r="B88" i="1" s="1"/>
  <c r="F88" i="1"/>
  <c r="C88" i="1" s="1"/>
  <c r="G88" i="1"/>
  <c r="D88" i="1" s="1"/>
  <c r="E89" i="1"/>
  <c r="B89" i="1" s="1"/>
  <c r="F89" i="1"/>
  <c r="C89" i="1" s="1"/>
  <c r="G89" i="1"/>
  <c r="D89" i="1" s="1"/>
  <c r="E90" i="1"/>
  <c r="B90" i="1" s="1"/>
  <c r="F90" i="1"/>
  <c r="C90" i="1" s="1"/>
  <c r="G90" i="1"/>
  <c r="D90" i="1" s="1"/>
  <c r="E91" i="1"/>
  <c r="B91" i="1" s="1"/>
  <c r="F91" i="1"/>
  <c r="C91" i="1" s="1"/>
  <c r="G91" i="1"/>
  <c r="D91" i="1" s="1"/>
  <c r="E92" i="1"/>
  <c r="B92" i="1" s="1"/>
  <c r="F92" i="1"/>
  <c r="C92" i="1" s="1"/>
  <c r="G92" i="1"/>
  <c r="D92" i="1" s="1"/>
  <c r="E93" i="1"/>
  <c r="B93" i="1" s="1"/>
  <c r="F93" i="1"/>
  <c r="C93" i="1" s="1"/>
  <c r="G93" i="1"/>
  <c r="D93" i="1" s="1"/>
  <c r="E94" i="1"/>
  <c r="B94" i="1" s="1"/>
  <c r="F94" i="1"/>
  <c r="C94" i="1" s="1"/>
  <c r="G94" i="1"/>
  <c r="D94" i="1" s="1"/>
  <c r="E95" i="1"/>
  <c r="B95" i="1" s="1"/>
  <c r="F95" i="1"/>
  <c r="C95" i="1" s="1"/>
  <c r="G95" i="1"/>
  <c r="D95" i="1" s="1"/>
  <c r="E96" i="1"/>
  <c r="B96" i="1" s="1"/>
  <c r="F96" i="1"/>
  <c r="C96" i="1" s="1"/>
  <c r="G96" i="1"/>
  <c r="D96" i="1" s="1"/>
  <c r="E97" i="1"/>
  <c r="B97" i="1" s="1"/>
  <c r="F97" i="1"/>
  <c r="C97" i="1" s="1"/>
  <c r="G97" i="1"/>
  <c r="D97" i="1" s="1"/>
  <c r="E98" i="1"/>
  <c r="B98" i="1" s="1"/>
  <c r="F98" i="1"/>
  <c r="C98" i="1" s="1"/>
  <c r="G98" i="1"/>
  <c r="D98" i="1" s="1"/>
  <c r="E99" i="1"/>
  <c r="B99" i="1" s="1"/>
  <c r="F99" i="1"/>
  <c r="C99" i="1" s="1"/>
  <c r="G99" i="1"/>
  <c r="D99" i="1" s="1"/>
  <c r="E100" i="1"/>
  <c r="B100" i="1" s="1"/>
  <c r="F100" i="1"/>
  <c r="C100" i="1" s="1"/>
  <c r="G100" i="1"/>
  <c r="D100" i="1" s="1"/>
  <c r="E101" i="1"/>
  <c r="B101" i="1" s="1"/>
  <c r="F101" i="1"/>
  <c r="C101" i="1" s="1"/>
  <c r="G101" i="1"/>
  <c r="D101" i="1" s="1"/>
  <c r="E102" i="1"/>
  <c r="B102" i="1" s="1"/>
  <c r="F102" i="1"/>
  <c r="C102" i="1" s="1"/>
  <c r="G102" i="1"/>
  <c r="D102" i="1" s="1"/>
  <c r="E103" i="1"/>
  <c r="B103" i="1" s="1"/>
  <c r="F103" i="1"/>
  <c r="C103" i="1" s="1"/>
  <c r="G103" i="1"/>
  <c r="D103" i="1" s="1"/>
  <c r="E104" i="1"/>
  <c r="B104" i="1" s="1"/>
  <c r="F104" i="1"/>
  <c r="C104" i="1" s="1"/>
  <c r="G104" i="1"/>
  <c r="D104" i="1" s="1"/>
  <c r="E105" i="1"/>
  <c r="B105" i="1" s="1"/>
  <c r="F105" i="1"/>
  <c r="C105" i="1" s="1"/>
  <c r="G105" i="1"/>
  <c r="D105" i="1" s="1"/>
  <c r="E106" i="1"/>
  <c r="B106" i="1" s="1"/>
  <c r="F106" i="1"/>
  <c r="C106" i="1" s="1"/>
  <c r="G106" i="1"/>
  <c r="D106" i="1" s="1"/>
  <c r="E107" i="1"/>
  <c r="B107" i="1" s="1"/>
  <c r="F107" i="1"/>
  <c r="C107" i="1" s="1"/>
  <c r="G107" i="1"/>
  <c r="D107" i="1" s="1"/>
  <c r="E108" i="1"/>
  <c r="B108" i="1" s="1"/>
  <c r="F108" i="1"/>
  <c r="C108" i="1" s="1"/>
  <c r="G108" i="1"/>
  <c r="D108" i="1" s="1"/>
  <c r="C33" i="18" l="1"/>
  <c r="C33" i="17"/>
  <c r="C33" i="16"/>
  <c r="C36" i="15"/>
  <c r="C36" i="14"/>
  <c r="C36" i="13"/>
  <c r="C36" i="12"/>
  <c r="J26" i="12"/>
  <c r="J24" i="12"/>
  <c r="J23" i="12"/>
  <c r="J22" i="12"/>
  <c r="J21" i="12"/>
  <c r="J20" i="12"/>
  <c r="J19" i="12"/>
  <c r="J18" i="12"/>
  <c r="J17" i="12"/>
  <c r="C36" i="11"/>
  <c r="C36" i="10"/>
  <c r="E45" i="9"/>
  <c r="D45" i="9"/>
  <c r="I35" i="9"/>
  <c r="H35" i="9"/>
  <c r="E35" i="9"/>
  <c r="D35" i="9"/>
  <c r="E25" i="9"/>
  <c r="D25" i="9"/>
  <c r="G20" i="9"/>
  <c r="F20" i="9"/>
  <c r="I15" i="9"/>
  <c r="H15" i="9"/>
  <c r="E15" i="9"/>
  <c r="D15" i="9"/>
  <c r="K5" i="9"/>
  <c r="J5" i="9"/>
  <c r="I5" i="9"/>
  <c r="H5" i="9"/>
  <c r="G5" i="9"/>
  <c r="F5" i="9"/>
  <c r="E5" i="9"/>
  <c r="D5" i="9"/>
  <c r="A134" i="8"/>
  <c r="E118" i="8"/>
  <c r="F114" i="8"/>
  <c r="F116" i="8" s="1"/>
  <c r="AE113" i="8"/>
  <c r="AB113" i="8"/>
  <c r="R113" i="8"/>
  <c r="F113" i="8"/>
  <c r="B113" i="8"/>
  <c r="AG112" i="8"/>
  <c r="AF112" i="8"/>
  <c r="AE112" i="8"/>
  <c r="AD112" i="8"/>
  <c r="AC112" i="8"/>
  <c r="AB112" i="8"/>
  <c r="Z112" i="8"/>
  <c r="Y112" i="8"/>
  <c r="X112" i="8"/>
  <c r="W112" i="8"/>
  <c r="V112" i="8"/>
  <c r="U112" i="8"/>
  <c r="T112" i="8"/>
  <c r="S112" i="8"/>
  <c r="R112" i="8"/>
  <c r="Q112" i="8"/>
  <c r="P112" i="8"/>
  <c r="O112" i="8"/>
  <c r="N112" i="8"/>
  <c r="M112" i="8"/>
  <c r="L112" i="8"/>
  <c r="K112" i="8"/>
  <c r="J112" i="8"/>
  <c r="I112" i="8"/>
  <c r="H112" i="8"/>
  <c r="G112" i="8"/>
  <c r="F112" i="8"/>
  <c r="D112" i="8"/>
  <c r="C112" i="8"/>
  <c r="B112" i="8"/>
  <c r="E110" i="8"/>
  <c r="E112" i="8" s="1"/>
  <c r="D110" i="8"/>
  <c r="C110" i="8"/>
  <c r="B110" i="8"/>
  <c r="E109" i="8"/>
  <c r="D109" i="8"/>
  <c r="C109" i="8"/>
  <c r="B109" i="8"/>
  <c r="E108" i="8"/>
  <c r="D108" i="8"/>
  <c r="C108" i="8"/>
  <c r="B108" i="8"/>
  <c r="E107" i="8"/>
  <c r="D107" i="8"/>
  <c r="C107" i="8"/>
  <c r="B107" i="8"/>
  <c r="E106" i="8"/>
  <c r="D106" i="8"/>
  <c r="C106" i="8"/>
  <c r="B106" i="8"/>
  <c r="E105" i="8"/>
  <c r="D105" i="8"/>
  <c r="C105" i="8"/>
  <c r="B105" i="8"/>
  <c r="E104" i="8"/>
  <c r="D104" i="8"/>
  <c r="C104" i="8"/>
  <c r="B104" i="8"/>
  <c r="E103" i="8"/>
  <c r="D103" i="8"/>
  <c r="C103" i="8"/>
  <c r="B103" i="8"/>
  <c r="E102" i="8"/>
  <c r="D102" i="8"/>
  <c r="C102" i="8"/>
  <c r="B102" i="8"/>
  <c r="E101" i="8"/>
  <c r="D101" i="8"/>
  <c r="C101" i="8"/>
  <c r="B101" i="8"/>
  <c r="E100" i="8"/>
  <c r="D100" i="8"/>
  <c r="C100" i="8"/>
  <c r="B100" i="8"/>
  <c r="E99" i="8"/>
  <c r="D99" i="8"/>
  <c r="C99" i="8"/>
  <c r="B99" i="8"/>
  <c r="E98" i="8"/>
  <c r="D98" i="8"/>
  <c r="C98" i="8"/>
  <c r="B98" i="8"/>
  <c r="E97" i="8"/>
  <c r="D97" i="8"/>
  <c r="C97" i="8"/>
  <c r="B97" i="8"/>
  <c r="E96" i="8"/>
  <c r="D96" i="8"/>
  <c r="C96" i="8"/>
  <c r="B96" i="8"/>
  <c r="E95" i="8"/>
  <c r="D95" i="8"/>
  <c r="C95" i="8"/>
  <c r="B95" i="8"/>
  <c r="E94" i="8"/>
  <c r="D94" i="8"/>
  <c r="C94" i="8"/>
  <c r="B94" i="8"/>
  <c r="E93" i="8"/>
  <c r="D93" i="8"/>
  <c r="C93" i="8"/>
  <c r="B93" i="8"/>
  <c r="E92" i="8"/>
  <c r="D92" i="8"/>
  <c r="C92" i="8"/>
  <c r="B92" i="8"/>
  <c r="E91" i="8"/>
  <c r="D91" i="8"/>
  <c r="C91" i="8"/>
  <c r="B91" i="8"/>
  <c r="E90" i="8"/>
  <c r="D90" i="8"/>
  <c r="C90" i="8"/>
  <c r="B90" i="8"/>
  <c r="E89" i="8"/>
  <c r="D89" i="8"/>
  <c r="C89" i="8"/>
  <c r="B89" i="8"/>
  <c r="E88" i="8"/>
  <c r="D88" i="8"/>
  <c r="C88" i="8"/>
  <c r="B88" i="8"/>
  <c r="E87" i="8"/>
  <c r="D87" i="8"/>
  <c r="C87" i="8"/>
  <c r="B87" i="8"/>
  <c r="E86" i="8"/>
  <c r="D86" i="8"/>
  <c r="C86" i="8"/>
  <c r="B86" i="8"/>
  <c r="E85" i="8"/>
  <c r="D85" i="8"/>
  <c r="C85" i="8"/>
  <c r="B85" i="8"/>
  <c r="E84" i="8"/>
  <c r="D84" i="8"/>
  <c r="C84" i="8"/>
  <c r="B84" i="8"/>
  <c r="E83" i="8"/>
  <c r="D83" i="8"/>
  <c r="C83" i="8"/>
  <c r="B83" i="8"/>
  <c r="E82" i="8"/>
  <c r="D82" i="8"/>
  <c r="C82" i="8"/>
  <c r="B82" i="8"/>
  <c r="E81" i="8"/>
  <c r="D81" i="8"/>
  <c r="C81" i="8"/>
  <c r="B81" i="8"/>
  <c r="E80" i="8"/>
  <c r="D80" i="8"/>
  <c r="C80" i="8"/>
  <c r="B80" i="8"/>
  <c r="E79" i="8"/>
  <c r="D79" i="8"/>
  <c r="C79" i="8"/>
  <c r="B79" i="8"/>
  <c r="E78" i="8"/>
  <c r="D78" i="8"/>
  <c r="C78" i="8"/>
  <c r="B78" i="8"/>
  <c r="E77" i="8"/>
  <c r="D77" i="8"/>
  <c r="C77" i="8"/>
  <c r="B77" i="8"/>
  <c r="E76" i="8"/>
  <c r="D76" i="8"/>
  <c r="C76" i="8"/>
  <c r="B76" i="8"/>
  <c r="E75" i="8"/>
  <c r="D75" i="8"/>
  <c r="C75" i="8"/>
  <c r="B75" i="8"/>
  <c r="E74" i="8"/>
  <c r="D74" i="8"/>
  <c r="C74" i="8"/>
  <c r="B74" i="8"/>
  <c r="E73" i="8"/>
  <c r="D73" i="8"/>
  <c r="C73" i="8"/>
  <c r="B73" i="8"/>
  <c r="E72" i="8"/>
  <c r="D72" i="8"/>
  <c r="C72" i="8"/>
  <c r="B72" i="8"/>
  <c r="E71" i="8"/>
  <c r="D71" i="8"/>
  <c r="C71" i="8"/>
  <c r="B71" i="8"/>
  <c r="E70" i="8"/>
  <c r="D70" i="8"/>
  <c r="C70" i="8"/>
  <c r="B70" i="8"/>
  <c r="E69" i="8"/>
  <c r="D69" i="8"/>
  <c r="C69" i="8"/>
  <c r="B69" i="8"/>
  <c r="E68" i="8"/>
  <c r="D68" i="8"/>
  <c r="C68" i="8"/>
  <c r="B68" i="8"/>
  <c r="E67" i="8"/>
  <c r="D67" i="8"/>
  <c r="C67" i="8"/>
  <c r="B67" i="8"/>
  <c r="E66" i="8"/>
  <c r="D66" i="8"/>
  <c r="C66" i="8"/>
  <c r="B66" i="8"/>
  <c r="E65" i="8"/>
  <c r="D65" i="8"/>
  <c r="C65" i="8"/>
  <c r="B65" i="8"/>
  <c r="E64" i="8"/>
  <c r="D64" i="8"/>
  <c r="C64" i="8"/>
  <c r="B64" i="8"/>
  <c r="E63" i="8"/>
  <c r="D63" i="8"/>
  <c r="C63" i="8"/>
  <c r="B63" i="8"/>
  <c r="E62" i="8"/>
  <c r="D62" i="8"/>
  <c r="C62" i="8"/>
  <c r="B62" i="8"/>
  <c r="E61" i="8"/>
  <c r="D61" i="8"/>
  <c r="C61" i="8"/>
  <c r="B61" i="8"/>
  <c r="E60" i="8"/>
  <c r="D60" i="8"/>
  <c r="C60" i="8"/>
  <c r="B60" i="8"/>
  <c r="E59" i="8"/>
  <c r="D59" i="8"/>
  <c r="C59" i="8"/>
  <c r="B59" i="8"/>
  <c r="E58" i="8"/>
  <c r="D58" i="8"/>
  <c r="C58" i="8"/>
  <c r="B58" i="8"/>
  <c r="E57" i="8"/>
  <c r="D57" i="8"/>
  <c r="C57" i="8"/>
  <c r="B57" i="8"/>
  <c r="E56" i="8"/>
  <c r="D56" i="8"/>
  <c r="C56" i="8"/>
  <c r="B56" i="8"/>
  <c r="E55" i="8"/>
  <c r="D55" i="8"/>
  <c r="C55" i="8"/>
  <c r="B55" i="8"/>
  <c r="E54" i="8"/>
  <c r="D54" i="8"/>
  <c r="C54" i="8"/>
  <c r="B54" i="8"/>
  <c r="E53" i="8"/>
  <c r="D53" i="8"/>
  <c r="C53" i="8"/>
  <c r="B53" i="8"/>
  <c r="E52" i="8"/>
  <c r="D52" i="8"/>
  <c r="C52" i="8"/>
  <c r="B52" i="8"/>
  <c r="E51" i="8"/>
  <c r="D51" i="8"/>
  <c r="C51" i="8"/>
  <c r="B51" i="8"/>
  <c r="E50" i="8"/>
  <c r="D50" i="8"/>
  <c r="C50" i="8"/>
  <c r="B50" i="8"/>
  <c r="E49" i="8"/>
  <c r="D49" i="8"/>
  <c r="C49" i="8"/>
  <c r="B49" i="8"/>
  <c r="E48" i="8"/>
  <c r="D48" i="8"/>
  <c r="C48" i="8"/>
  <c r="B48" i="8"/>
  <c r="E47" i="8"/>
  <c r="D47" i="8"/>
  <c r="C47" i="8"/>
  <c r="B47" i="8"/>
  <c r="E46" i="8"/>
  <c r="D46" i="8"/>
  <c r="C46" i="8"/>
  <c r="B46" i="8"/>
  <c r="E45" i="8"/>
  <c r="D45" i="8"/>
  <c r="C45" i="8"/>
  <c r="B45" i="8"/>
  <c r="E44" i="8"/>
  <c r="D44" i="8"/>
  <c r="C44" i="8"/>
  <c r="B44" i="8"/>
  <c r="E43" i="8"/>
  <c r="D43" i="8"/>
  <c r="C43" i="8"/>
  <c r="B43" i="8"/>
  <c r="E42" i="8"/>
  <c r="D42" i="8"/>
  <c r="C42" i="8"/>
  <c r="B42" i="8"/>
  <c r="E41" i="8"/>
  <c r="D41" i="8"/>
  <c r="C41" i="8"/>
  <c r="B41" i="8"/>
  <c r="E40" i="8"/>
  <c r="D40" i="8"/>
  <c r="C40" i="8"/>
  <c r="B40" i="8"/>
  <c r="E39" i="8"/>
  <c r="D39" i="8"/>
  <c r="C39" i="8"/>
  <c r="B39" i="8"/>
  <c r="E38" i="8"/>
  <c r="D38" i="8"/>
  <c r="C38" i="8"/>
  <c r="B38" i="8"/>
  <c r="E37" i="8"/>
  <c r="D37" i="8"/>
  <c r="C37" i="8"/>
  <c r="B37" i="8"/>
  <c r="E36" i="8"/>
  <c r="D36" i="8"/>
  <c r="C36" i="8"/>
  <c r="B36" i="8"/>
  <c r="E35" i="8"/>
  <c r="D35" i="8"/>
  <c r="C35" i="8"/>
  <c r="B35" i="8"/>
  <c r="E34" i="8"/>
  <c r="D34" i="8"/>
  <c r="C34" i="8"/>
  <c r="B34" i="8"/>
  <c r="E33" i="8"/>
  <c r="D33" i="8"/>
  <c r="C33" i="8"/>
  <c r="B33" i="8"/>
  <c r="E32" i="8"/>
  <c r="D32" i="8"/>
  <c r="C32" i="8"/>
  <c r="B32" i="8"/>
  <c r="E31" i="8"/>
  <c r="D31" i="8"/>
  <c r="C31" i="8"/>
  <c r="B31" i="8"/>
  <c r="E30" i="8"/>
  <c r="D30" i="8"/>
  <c r="C30" i="8"/>
  <c r="B30" i="8"/>
  <c r="E29" i="8"/>
  <c r="D29" i="8"/>
  <c r="C29" i="8"/>
  <c r="B29" i="8"/>
  <c r="E28" i="8"/>
  <c r="D28" i="8"/>
  <c r="C28" i="8"/>
  <c r="B28" i="8"/>
  <c r="E27" i="8"/>
  <c r="D27" i="8"/>
  <c r="C27" i="8"/>
  <c r="B27" i="8"/>
  <c r="E26" i="8"/>
  <c r="D26" i="8"/>
  <c r="C26" i="8"/>
  <c r="B26" i="8"/>
  <c r="E25" i="8"/>
  <c r="D25" i="8"/>
  <c r="C25" i="8"/>
  <c r="B25" i="8"/>
  <c r="E24" i="8"/>
  <c r="D24" i="8"/>
  <c r="C24" i="8"/>
  <c r="B24" i="8"/>
  <c r="E23" i="8"/>
  <c r="D23" i="8"/>
  <c r="C23" i="8"/>
  <c r="B23" i="8"/>
  <c r="E22" i="8"/>
  <c r="D22" i="8"/>
  <c r="C22" i="8"/>
  <c r="B22" i="8"/>
  <c r="E21" i="8"/>
  <c r="D21" i="8"/>
  <c r="C21" i="8"/>
  <c r="B21" i="8"/>
  <c r="E20" i="8"/>
  <c r="D20" i="8"/>
  <c r="C20" i="8"/>
  <c r="B20" i="8"/>
  <c r="E19" i="8"/>
  <c r="D19" i="8"/>
  <c r="C19" i="8"/>
  <c r="B19" i="8"/>
  <c r="E18" i="8"/>
  <c r="D18" i="8"/>
  <c r="C18" i="8"/>
  <c r="B18" i="8"/>
  <c r="E17" i="8"/>
  <c r="D17" i="8"/>
  <c r="C17" i="8"/>
  <c r="B17" i="8"/>
  <c r="E16" i="8"/>
  <c r="D16" i="8"/>
  <c r="C16" i="8"/>
  <c r="B16" i="8"/>
  <c r="E15" i="8"/>
  <c r="D15" i="8"/>
  <c r="C15" i="8"/>
  <c r="B15" i="8"/>
  <c r="E14" i="8"/>
  <c r="D14" i="8"/>
  <c r="C14" i="8"/>
  <c r="B14" i="8"/>
  <c r="E13" i="8"/>
  <c r="D13" i="8"/>
  <c r="C13" i="8"/>
  <c r="B13" i="8"/>
  <c r="E12" i="8"/>
  <c r="D12" i="8"/>
  <c r="C12" i="8"/>
  <c r="B12" i="8"/>
  <c r="E11" i="8"/>
  <c r="D11" i="8"/>
  <c r="C11" i="8"/>
  <c r="B11" i="8"/>
  <c r="E10" i="8"/>
  <c r="D10" i="8"/>
  <c r="C10" i="8"/>
  <c r="B10" i="8"/>
  <c r="E9" i="8"/>
  <c r="D9" i="8"/>
  <c r="C9" i="8"/>
  <c r="B9" i="8"/>
  <c r="E8" i="8"/>
  <c r="D8" i="8"/>
  <c r="C8" i="8"/>
  <c r="B8" i="8"/>
  <c r="E7" i="8"/>
  <c r="D7" i="8"/>
  <c r="C7" i="8"/>
  <c r="B7" i="8"/>
  <c r="E6" i="8"/>
  <c r="D6" i="8"/>
  <c r="C6" i="8"/>
  <c r="B6" i="8"/>
  <c r="A134" i="7"/>
  <c r="E118" i="7"/>
  <c r="EI114" i="7"/>
  <c r="EI116" i="7" s="1"/>
  <c r="EC114" i="7"/>
  <c r="EC116" i="7" s="1"/>
  <c r="DQ114" i="7"/>
  <c r="DQ116" i="7" s="1"/>
  <c r="DK114" i="7"/>
  <c r="DK116" i="7" s="1"/>
  <c r="DE114" i="7"/>
  <c r="DE116" i="7" s="1"/>
  <c r="CM114" i="7"/>
  <c r="CM116" i="7" s="1"/>
  <c r="BO114" i="7"/>
  <c r="BO116" i="7" s="1"/>
  <c r="BL114" i="7"/>
  <c r="BL116" i="7" s="1"/>
  <c r="BI114" i="7"/>
  <c r="BI116" i="7" s="1"/>
  <c r="BC114" i="7"/>
  <c r="BC116" i="7" s="1"/>
  <c r="AZ114" i="7"/>
  <c r="AZ116" i="7" s="1"/>
  <c r="AN114" i="7"/>
  <c r="AN116" i="7" s="1"/>
  <c r="AJ114" i="7"/>
  <c r="AJ116" i="7" s="1"/>
  <c r="F114" i="7"/>
  <c r="F116" i="7" s="1"/>
  <c r="ES113" i="7"/>
  <c r="EI113" i="7"/>
  <c r="EC113" i="7"/>
  <c r="DZ113" i="7"/>
  <c r="DW113" i="7"/>
  <c r="DT113" i="7"/>
  <c r="DQ113" i="7"/>
  <c r="DN113" i="7"/>
  <c r="DK113" i="7"/>
  <c r="DE113" i="7"/>
  <c r="DB113" i="7"/>
  <c r="CY113" i="7"/>
  <c r="CM113" i="7"/>
  <c r="CG113" i="7"/>
  <c r="CA113" i="7"/>
  <c r="BX113" i="7"/>
  <c r="BU113" i="7"/>
  <c r="BR113" i="7"/>
  <c r="BO113" i="7"/>
  <c r="BL113" i="7"/>
  <c r="BI113" i="7"/>
  <c r="BF113" i="7"/>
  <c r="BC113" i="7"/>
  <c r="AZ113" i="7"/>
  <c r="AW113" i="7"/>
  <c r="AT113" i="7"/>
  <c r="AQ113" i="7"/>
  <c r="AN113" i="7"/>
  <c r="AJ113" i="7"/>
  <c r="AD113" i="7"/>
  <c r="AA113" i="7"/>
  <c r="U113" i="7"/>
  <c r="R113" i="7"/>
  <c r="O113" i="7"/>
  <c r="L113" i="7"/>
  <c r="I113" i="7"/>
  <c r="F113" i="7"/>
  <c r="B113" i="7"/>
  <c r="EU112" i="7"/>
  <c r="ET112" i="7"/>
  <c r="ES112" i="7"/>
  <c r="EQ112" i="7"/>
  <c r="EP112" i="7"/>
  <c r="EO112" i="7"/>
  <c r="EN112" i="7"/>
  <c r="EM112" i="7"/>
  <c r="EL112" i="7"/>
  <c r="EK112" i="7"/>
  <c r="EJ112" i="7"/>
  <c r="EI112" i="7"/>
  <c r="EH112" i="7"/>
  <c r="EG112" i="7"/>
  <c r="EF112" i="7"/>
  <c r="EE112" i="7"/>
  <c r="ED112" i="7"/>
  <c r="EC112" i="7"/>
  <c r="EB112" i="7"/>
  <c r="EA112" i="7"/>
  <c r="DZ112" i="7"/>
  <c r="DY112" i="7"/>
  <c r="DX112" i="7"/>
  <c r="DW112" i="7"/>
  <c r="DV112" i="7"/>
  <c r="DU112" i="7"/>
  <c r="DT112" i="7"/>
  <c r="DS112" i="7"/>
  <c r="DR112" i="7"/>
  <c r="DQ112" i="7"/>
  <c r="DP112" i="7"/>
  <c r="DO112" i="7"/>
  <c r="DN112" i="7"/>
  <c r="DM112" i="7"/>
  <c r="DL112" i="7"/>
  <c r="DK112" i="7"/>
  <c r="DJ112" i="7"/>
  <c r="DI112" i="7"/>
  <c r="DH112" i="7"/>
  <c r="DG112" i="7"/>
  <c r="DF112" i="7"/>
  <c r="DE112" i="7"/>
  <c r="DD112" i="7"/>
  <c r="DC112" i="7"/>
  <c r="DB112" i="7"/>
  <c r="DA112" i="7"/>
  <c r="CZ112" i="7"/>
  <c r="CY112" i="7"/>
  <c r="CX112" i="7"/>
  <c r="CW112" i="7"/>
  <c r="CV112" i="7"/>
  <c r="CU112" i="7"/>
  <c r="CT112" i="7"/>
  <c r="CS112" i="7"/>
  <c r="CR112" i="7"/>
  <c r="CQ112" i="7"/>
  <c r="CP112" i="7"/>
  <c r="CO112" i="7"/>
  <c r="CN112" i="7"/>
  <c r="CM112" i="7"/>
  <c r="CL112" i="7"/>
  <c r="CK112" i="7"/>
  <c r="CJ112" i="7"/>
  <c r="CI112" i="7"/>
  <c r="CH112" i="7"/>
  <c r="CG112" i="7"/>
  <c r="CF112" i="7"/>
  <c r="CE112" i="7"/>
  <c r="CD112" i="7"/>
  <c r="CC112" i="7"/>
  <c r="CB112" i="7"/>
  <c r="CA112" i="7"/>
  <c r="BZ112" i="7"/>
  <c r="BY112" i="7"/>
  <c r="BX112" i="7"/>
  <c r="BW112" i="7"/>
  <c r="BV112" i="7"/>
  <c r="BU112" i="7"/>
  <c r="BT112" i="7"/>
  <c r="BS112" i="7"/>
  <c r="BR112" i="7"/>
  <c r="BQ112" i="7"/>
  <c r="BP112" i="7"/>
  <c r="BO112" i="7"/>
  <c r="BN112" i="7"/>
  <c r="BM112" i="7"/>
  <c r="BL112" i="7"/>
  <c r="BK112" i="7"/>
  <c r="BJ112" i="7"/>
  <c r="BI112" i="7"/>
  <c r="BH112" i="7"/>
  <c r="BG112" i="7"/>
  <c r="BF112" i="7"/>
  <c r="BE112" i="7"/>
  <c r="BD112" i="7"/>
  <c r="BC112" i="7"/>
  <c r="BB112" i="7"/>
  <c r="BA112" i="7"/>
  <c r="AZ112" i="7"/>
  <c r="AY112" i="7"/>
  <c r="AX112" i="7"/>
  <c r="AW112" i="7"/>
  <c r="AV112" i="7"/>
  <c r="AU112" i="7"/>
  <c r="AT112" i="7"/>
  <c r="AS112" i="7"/>
  <c r="AR112" i="7"/>
  <c r="AQ112" i="7"/>
  <c r="AP112" i="7"/>
  <c r="AO112" i="7"/>
  <c r="AN112" i="7"/>
  <c r="AM112" i="7"/>
  <c r="AL112" i="7"/>
  <c r="AK112" i="7"/>
  <c r="AJ112" i="7"/>
  <c r="AI112" i="7"/>
  <c r="AH112" i="7"/>
  <c r="AG112" i="7"/>
  <c r="AF112" i="7"/>
  <c r="AE112" i="7"/>
  <c r="AD112" i="7"/>
  <c r="AC112" i="7"/>
  <c r="AB112" i="7"/>
  <c r="AA112" i="7"/>
  <c r="Z112" i="7"/>
  <c r="Y112" i="7"/>
  <c r="X112" i="7"/>
  <c r="W112" i="7"/>
  <c r="V112" i="7"/>
  <c r="U112" i="7"/>
  <c r="T112" i="7"/>
  <c r="S112" i="7"/>
  <c r="R112" i="7"/>
  <c r="Q112" i="7"/>
  <c r="P112" i="7"/>
  <c r="O112" i="7"/>
  <c r="N112" i="7"/>
  <c r="M112" i="7"/>
  <c r="L112" i="7"/>
  <c r="K112" i="7"/>
  <c r="J112" i="7"/>
  <c r="I112" i="7"/>
  <c r="H112" i="7"/>
  <c r="G112" i="7"/>
  <c r="F112" i="7"/>
  <c r="D112" i="7"/>
  <c r="B112" i="7"/>
  <c r="AM110" i="7"/>
  <c r="E110" i="7"/>
  <c r="D110" i="7"/>
  <c r="C110" i="7"/>
  <c r="B110" i="7"/>
  <c r="AM109" i="7"/>
  <c r="D109" i="7"/>
  <c r="C109" i="7"/>
  <c r="C112" i="7" s="1"/>
  <c r="B109" i="7"/>
  <c r="AM108" i="7"/>
  <c r="E108" i="7"/>
  <c r="D108" i="7"/>
  <c r="C108" i="7"/>
  <c r="B108" i="7"/>
  <c r="AM107" i="7"/>
  <c r="E107" i="7"/>
  <c r="D107" i="7"/>
  <c r="C107" i="7"/>
  <c r="B107" i="7"/>
  <c r="AM106" i="7"/>
  <c r="D106" i="7"/>
  <c r="C106" i="7"/>
  <c r="B106" i="7"/>
  <c r="E106" i="7" s="1"/>
  <c r="AM105" i="7"/>
  <c r="E105" i="7"/>
  <c r="D105" i="7"/>
  <c r="C105" i="7"/>
  <c r="B105" i="7"/>
  <c r="AM104" i="7"/>
  <c r="E104" i="7"/>
  <c r="D104" i="7"/>
  <c r="C104" i="7"/>
  <c r="B104" i="7"/>
  <c r="AM103" i="7"/>
  <c r="E103" i="7"/>
  <c r="D103" i="7"/>
  <c r="C103" i="7"/>
  <c r="B103" i="7"/>
  <c r="AM102" i="7"/>
  <c r="E102" i="7"/>
  <c r="D102" i="7"/>
  <c r="C102" i="7"/>
  <c r="B102" i="7"/>
  <c r="AM101" i="7"/>
  <c r="E101" i="7"/>
  <c r="D101" i="7"/>
  <c r="C101" i="7"/>
  <c r="B101" i="7"/>
  <c r="AM100" i="7"/>
  <c r="E100" i="7"/>
  <c r="D100" i="7"/>
  <c r="C100" i="7"/>
  <c r="B100" i="7"/>
  <c r="AM99" i="7"/>
  <c r="E99" i="7"/>
  <c r="D99" i="7"/>
  <c r="C99" i="7"/>
  <c r="B99" i="7"/>
  <c r="AM98" i="7"/>
  <c r="E98" i="7"/>
  <c r="D98" i="7"/>
  <c r="C98" i="7"/>
  <c r="B98" i="7"/>
  <c r="AM97" i="7"/>
  <c r="E97" i="7"/>
  <c r="D97" i="7"/>
  <c r="C97" i="7"/>
  <c r="B97" i="7"/>
  <c r="AM96" i="7"/>
  <c r="E96" i="7"/>
  <c r="D96" i="7"/>
  <c r="C96" i="7"/>
  <c r="B96" i="7"/>
  <c r="AM95" i="7"/>
  <c r="E95" i="7"/>
  <c r="D95" i="7"/>
  <c r="C95" i="7"/>
  <c r="B95" i="7"/>
  <c r="AM94" i="7"/>
  <c r="E94" i="7"/>
  <c r="D94" i="7"/>
  <c r="C94" i="7"/>
  <c r="B94" i="7"/>
  <c r="AM93" i="7"/>
  <c r="D93" i="7"/>
  <c r="C93" i="7"/>
  <c r="E93" i="7" s="1"/>
  <c r="B93" i="7"/>
  <c r="AM92" i="7"/>
  <c r="E92" i="7"/>
  <c r="D92" i="7"/>
  <c r="C92" i="7"/>
  <c r="B92" i="7"/>
  <c r="AM91" i="7"/>
  <c r="E91" i="7"/>
  <c r="D91" i="7"/>
  <c r="C91" i="7"/>
  <c r="B91" i="7"/>
  <c r="AM90" i="7"/>
  <c r="D90" i="7"/>
  <c r="C90" i="7"/>
  <c r="B90" i="7"/>
  <c r="E90" i="7" s="1"/>
  <c r="AM89" i="7"/>
  <c r="E89" i="7"/>
  <c r="D89" i="7"/>
  <c r="C89" i="7"/>
  <c r="B89" i="7"/>
  <c r="AM88" i="7"/>
  <c r="E88" i="7"/>
  <c r="D88" i="7"/>
  <c r="C88" i="7"/>
  <c r="B88" i="7"/>
  <c r="AM87" i="7"/>
  <c r="E87" i="7"/>
  <c r="D87" i="7"/>
  <c r="C87" i="7"/>
  <c r="B87" i="7"/>
  <c r="AM86" i="7"/>
  <c r="D86" i="7"/>
  <c r="C86" i="7"/>
  <c r="B86" i="7"/>
  <c r="E86" i="7" s="1"/>
  <c r="AM85" i="7"/>
  <c r="E85" i="7"/>
  <c r="D85" i="7"/>
  <c r="C85" i="7"/>
  <c r="B85" i="7"/>
  <c r="AM84" i="7"/>
  <c r="E84" i="7"/>
  <c r="D84" i="7"/>
  <c r="C84" i="7"/>
  <c r="B84" i="7"/>
  <c r="AM83" i="7"/>
  <c r="E83" i="7"/>
  <c r="D83" i="7"/>
  <c r="C83" i="7"/>
  <c r="B83" i="7"/>
  <c r="AM82" i="7"/>
  <c r="E82" i="7"/>
  <c r="D82" i="7"/>
  <c r="C82" i="7"/>
  <c r="B82" i="7"/>
  <c r="AM81" i="7"/>
  <c r="E81" i="7"/>
  <c r="D81" i="7"/>
  <c r="C81" i="7"/>
  <c r="B81" i="7"/>
  <c r="AM80" i="7"/>
  <c r="D80" i="7"/>
  <c r="E80" i="7" s="1"/>
  <c r="C80" i="7"/>
  <c r="B80" i="7"/>
  <c r="AM79" i="7"/>
  <c r="E79" i="7"/>
  <c r="D79" i="7"/>
  <c r="C79" i="7"/>
  <c r="B79" i="7"/>
  <c r="AM78" i="7"/>
  <c r="E78" i="7"/>
  <c r="D78" i="7"/>
  <c r="C78" i="7"/>
  <c r="B78" i="7"/>
  <c r="AM77" i="7"/>
  <c r="D77" i="7"/>
  <c r="C77" i="7"/>
  <c r="E77" i="7" s="1"/>
  <c r="B77" i="7"/>
  <c r="AM76" i="7"/>
  <c r="E76" i="7"/>
  <c r="D76" i="7"/>
  <c r="C76" i="7"/>
  <c r="B76" i="7"/>
  <c r="AM75" i="7"/>
  <c r="E75" i="7"/>
  <c r="D75" i="7"/>
  <c r="C75" i="7"/>
  <c r="B75" i="7"/>
  <c r="AM74" i="7"/>
  <c r="D74" i="7"/>
  <c r="C74" i="7"/>
  <c r="B74" i="7"/>
  <c r="E74" i="7" s="1"/>
  <c r="AM73" i="7"/>
  <c r="D73" i="7"/>
  <c r="C73" i="7"/>
  <c r="E73" i="7" s="1"/>
  <c r="B73" i="7"/>
  <c r="AM72" i="7"/>
  <c r="E72" i="7"/>
  <c r="D72" i="7"/>
  <c r="C72" i="7"/>
  <c r="B72" i="7"/>
  <c r="AM71" i="7"/>
  <c r="E71" i="7"/>
  <c r="D71" i="7"/>
  <c r="C71" i="7"/>
  <c r="B71" i="7"/>
  <c r="AM70" i="7"/>
  <c r="D70" i="7"/>
  <c r="C70" i="7"/>
  <c r="B70" i="7"/>
  <c r="E70" i="7" s="1"/>
  <c r="AM69" i="7"/>
  <c r="E69" i="7"/>
  <c r="D69" i="7"/>
  <c r="C69" i="7"/>
  <c r="B69" i="7"/>
  <c r="AM68" i="7"/>
  <c r="E68" i="7"/>
  <c r="D68" i="7"/>
  <c r="C68" i="7"/>
  <c r="B68" i="7"/>
  <c r="AM67" i="7"/>
  <c r="E67" i="7"/>
  <c r="D67" i="7"/>
  <c r="C67" i="7"/>
  <c r="B67" i="7"/>
  <c r="AM66" i="7"/>
  <c r="E66" i="7"/>
  <c r="D66" i="7"/>
  <c r="C66" i="7"/>
  <c r="B66" i="7"/>
  <c r="AM65" i="7"/>
  <c r="E65" i="7"/>
  <c r="D65" i="7"/>
  <c r="C65" i="7"/>
  <c r="B65" i="7"/>
  <c r="AM64" i="7"/>
  <c r="D64" i="7"/>
  <c r="E64" i="7" s="1"/>
  <c r="C64" i="7"/>
  <c r="B64" i="7"/>
  <c r="AM63" i="7"/>
  <c r="E63" i="7"/>
  <c r="D63" i="7"/>
  <c r="C63" i="7"/>
  <c r="B63" i="7"/>
  <c r="AM62" i="7"/>
  <c r="E62" i="7"/>
  <c r="D62" i="7"/>
  <c r="C62" i="7"/>
  <c r="B62" i="7"/>
  <c r="AM61" i="7"/>
  <c r="D61" i="7"/>
  <c r="C61" i="7"/>
  <c r="E61" i="7" s="1"/>
  <c r="B61" i="7"/>
  <c r="AM60" i="7"/>
  <c r="E60" i="7"/>
  <c r="D60" i="7"/>
  <c r="C60" i="7"/>
  <c r="B60" i="7"/>
  <c r="AM59" i="7"/>
  <c r="E59" i="7"/>
  <c r="D59" i="7"/>
  <c r="C59" i="7"/>
  <c r="B59" i="7"/>
  <c r="AM58" i="7"/>
  <c r="D58" i="7"/>
  <c r="C58" i="7"/>
  <c r="B58" i="7"/>
  <c r="E58" i="7" s="1"/>
  <c r="AM57" i="7"/>
  <c r="D57" i="7"/>
  <c r="C57" i="7"/>
  <c r="E57" i="7" s="1"/>
  <c r="B57" i="7"/>
  <c r="AM56" i="7"/>
  <c r="E56" i="7"/>
  <c r="D56" i="7"/>
  <c r="C56" i="7"/>
  <c r="B56" i="7"/>
  <c r="AM55" i="7"/>
  <c r="E55" i="7"/>
  <c r="D55" i="7"/>
  <c r="C55" i="7"/>
  <c r="B55" i="7"/>
  <c r="AM54" i="7"/>
  <c r="D54" i="7"/>
  <c r="C54" i="7"/>
  <c r="B54" i="7"/>
  <c r="E54" i="7" s="1"/>
  <c r="AM53" i="7"/>
  <c r="E53" i="7"/>
  <c r="D53" i="7"/>
  <c r="C53" i="7"/>
  <c r="B53" i="7"/>
  <c r="AM52" i="7"/>
  <c r="E52" i="7"/>
  <c r="D52" i="7"/>
  <c r="C52" i="7"/>
  <c r="B52" i="7"/>
  <c r="AM51" i="7"/>
  <c r="E51" i="7"/>
  <c r="D51" i="7"/>
  <c r="C51" i="7"/>
  <c r="B51" i="7"/>
  <c r="AM50" i="7"/>
  <c r="E50" i="7"/>
  <c r="D50" i="7"/>
  <c r="C50" i="7"/>
  <c r="B50" i="7"/>
  <c r="AM49" i="7"/>
  <c r="E49" i="7"/>
  <c r="D49" i="7"/>
  <c r="C49" i="7"/>
  <c r="B49" i="7"/>
  <c r="AM48" i="7"/>
  <c r="D48" i="7"/>
  <c r="E48" i="7" s="1"/>
  <c r="C48" i="7"/>
  <c r="B48" i="7"/>
  <c r="AM47" i="7"/>
  <c r="E47" i="7"/>
  <c r="D47" i="7"/>
  <c r="C47" i="7"/>
  <c r="B47" i="7"/>
  <c r="AM46" i="7"/>
  <c r="E46" i="7"/>
  <c r="D46" i="7"/>
  <c r="C46" i="7"/>
  <c r="B46" i="7"/>
  <c r="AM45" i="7"/>
  <c r="D45" i="7"/>
  <c r="C45" i="7"/>
  <c r="E45" i="7" s="1"/>
  <c r="B45" i="7"/>
  <c r="AM44" i="7"/>
  <c r="E44" i="7"/>
  <c r="D44" i="7"/>
  <c r="C44" i="7"/>
  <c r="B44" i="7"/>
  <c r="AM43" i="7"/>
  <c r="E43" i="7"/>
  <c r="D43" i="7"/>
  <c r="C43" i="7"/>
  <c r="B43" i="7"/>
  <c r="AM42" i="7"/>
  <c r="D42" i="7"/>
  <c r="C42" i="7"/>
  <c r="B42" i="7"/>
  <c r="E42" i="7" s="1"/>
  <c r="AM41" i="7"/>
  <c r="D41" i="7"/>
  <c r="C41" i="7"/>
  <c r="E41" i="7" s="1"/>
  <c r="B41" i="7"/>
  <c r="AM40" i="7"/>
  <c r="E40" i="7"/>
  <c r="D40" i="7"/>
  <c r="C40" i="7"/>
  <c r="B40" i="7"/>
  <c r="AM39" i="7"/>
  <c r="E39" i="7"/>
  <c r="D39" i="7"/>
  <c r="C39" i="7"/>
  <c r="B39" i="7"/>
  <c r="AM38" i="7"/>
  <c r="D38" i="7"/>
  <c r="C38" i="7"/>
  <c r="B38" i="7"/>
  <c r="E38" i="7" s="1"/>
  <c r="AM37" i="7"/>
  <c r="E37" i="7"/>
  <c r="D37" i="7"/>
  <c r="C37" i="7"/>
  <c r="B37" i="7"/>
  <c r="AM36" i="7"/>
  <c r="E36" i="7"/>
  <c r="D36" i="7"/>
  <c r="C36" i="7"/>
  <c r="B36" i="7"/>
  <c r="AM35" i="7"/>
  <c r="E35" i="7"/>
  <c r="D35" i="7"/>
  <c r="C35" i="7"/>
  <c r="B35" i="7"/>
  <c r="AM34" i="7"/>
  <c r="E34" i="7"/>
  <c r="D34" i="7"/>
  <c r="C34" i="7"/>
  <c r="B34" i="7"/>
  <c r="AM33" i="7"/>
  <c r="E33" i="7"/>
  <c r="D33" i="7"/>
  <c r="C33" i="7"/>
  <c r="B33" i="7"/>
  <c r="AM32" i="7"/>
  <c r="D32" i="7"/>
  <c r="E32" i="7" s="1"/>
  <c r="C32" i="7"/>
  <c r="B32" i="7"/>
  <c r="AM31" i="7"/>
  <c r="E31" i="7"/>
  <c r="D31" i="7"/>
  <c r="C31" i="7"/>
  <c r="B31" i="7"/>
  <c r="AM30" i="7"/>
  <c r="E30" i="7"/>
  <c r="D30" i="7"/>
  <c r="C30" i="7"/>
  <c r="B30" i="7"/>
  <c r="AM29" i="7"/>
  <c r="D29" i="7"/>
  <c r="C29" i="7"/>
  <c r="E29" i="7" s="1"/>
  <c r="B29" i="7"/>
  <c r="AM28" i="7"/>
  <c r="E28" i="7"/>
  <c r="D28" i="7"/>
  <c r="C28" i="7"/>
  <c r="B28" i="7"/>
  <c r="AM27" i="7"/>
  <c r="E27" i="7"/>
  <c r="D27" i="7"/>
  <c r="C27" i="7"/>
  <c r="B27" i="7"/>
  <c r="AM26" i="7"/>
  <c r="D26" i="7"/>
  <c r="C26" i="7"/>
  <c r="B26" i="7"/>
  <c r="E26" i="7" s="1"/>
  <c r="AM25" i="7"/>
  <c r="D25" i="7"/>
  <c r="C25" i="7"/>
  <c r="E25" i="7" s="1"/>
  <c r="B25" i="7"/>
  <c r="AM24" i="7"/>
  <c r="E24" i="7"/>
  <c r="D24" i="7"/>
  <c r="C24" i="7"/>
  <c r="B24" i="7"/>
  <c r="AM23" i="7"/>
  <c r="E23" i="7"/>
  <c r="D23" i="7"/>
  <c r="C23" i="7"/>
  <c r="B23" i="7"/>
  <c r="AM22" i="7"/>
  <c r="D22" i="7"/>
  <c r="C22" i="7"/>
  <c r="B22" i="7"/>
  <c r="E22" i="7" s="1"/>
  <c r="AM21" i="7"/>
  <c r="E21" i="7"/>
  <c r="D21" i="7"/>
  <c r="C21" i="7"/>
  <c r="B21" i="7"/>
  <c r="AM20" i="7"/>
  <c r="E20" i="7"/>
  <c r="D20" i="7"/>
  <c r="C20" i="7"/>
  <c r="B20" i="7"/>
  <c r="AM19" i="7"/>
  <c r="E19" i="7"/>
  <c r="D19" i="7"/>
  <c r="C19" i="7"/>
  <c r="B19" i="7"/>
  <c r="AM18" i="7"/>
  <c r="E18" i="7"/>
  <c r="D18" i="7"/>
  <c r="C18" i="7"/>
  <c r="B18" i="7"/>
  <c r="AM17" i="7"/>
  <c r="E17" i="7"/>
  <c r="D17" i="7"/>
  <c r="C17" i="7"/>
  <c r="B17" i="7"/>
  <c r="AM16" i="7"/>
  <c r="D16" i="7"/>
  <c r="E16" i="7" s="1"/>
  <c r="C16" i="7"/>
  <c r="B16" i="7"/>
  <c r="AM15" i="7"/>
  <c r="E15" i="7"/>
  <c r="D15" i="7"/>
  <c r="C15" i="7"/>
  <c r="B15" i="7"/>
  <c r="AM14" i="7"/>
  <c r="E14" i="7"/>
  <c r="D14" i="7"/>
  <c r="C14" i="7"/>
  <c r="B14" i="7"/>
  <c r="AM13" i="7"/>
  <c r="D13" i="7"/>
  <c r="C13" i="7"/>
  <c r="E13" i="7" s="1"/>
  <c r="B13" i="7"/>
  <c r="AM12" i="7"/>
  <c r="E12" i="7"/>
  <c r="D12" i="7"/>
  <c r="C12" i="7"/>
  <c r="B12" i="7"/>
  <c r="AM11" i="7"/>
  <c r="E11" i="7"/>
  <c r="D11" i="7"/>
  <c r="C11" i="7"/>
  <c r="B11" i="7"/>
  <c r="AM10" i="7"/>
  <c r="D10" i="7"/>
  <c r="C10" i="7"/>
  <c r="B10" i="7"/>
  <c r="E10" i="7" s="1"/>
  <c r="AM9" i="7"/>
  <c r="D9" i="7"/>
  <c r="C9" i="7"/>
  <c r="E9" i="7" s="1"/>
  <c r="B9" i="7"/>
  <c r="AM8" i="7"/>
  <c r="E8" i="7"/>
  <c r="D8" i="7"/>
  <c r="C8" i="7"/>
  <c r="B8" i="7"/>
  <c r="AM7" i="7"/>
  <c r="E7" i="7"/>
  <c r="D7" i="7"/>
  <c r="C7" i="7"/>
  <c r="B7" i="7"/>
  <c r="AM6" i="7"/>
  <c r="D6" i="7"/>
  <c r="C6" i="7"/>
  <c r="B6" i="7"/>
  <c r="E6" i="7" s="1"/>
  <c r="A136" i="6"/>
  <c r="D118" i="6"/>
  <c r="DG114" i="6"/>
  <c r="DG116" i="6" s="1"/>
  <c r="DA114" i="6"/>
  <c r="DA116" i="6" s="1"/>
  <c r="CU114" i="6"/>
  <c r="CU116" i="6" s="1"/>
  <c r="CO114" i="6"/>
  <c r="CO116" i="6" s="1"/>
  <c r="BE114" i="6"/>
  <c r="BE116" i="6" s="1"/>
  <c r="BB114" i="6"/>
  <c r="BB116" i="6" s="1"/>
  <c r="AJ114" i="6"/>
  <c r="AJ116" i="6" s="1"/>
  <c r="AG114" i="6"/>
  <c r="AG116" i="6" s="1"/>
  <c r="AD114" i="6"/>
  <c r="AD116" i="6" s="1"/>
  <c r="AA114" i="6"/>
  <c r="AA116" i="6" s="1"/>
  <c r="I114" i="6"/>
  <c r="I116" i="6" s="1"/>
  <c r="EK113" i="6"/>
  <c r="EH113" i="6"/>
  <c r="EE113" i="6"/>
  <c r="EB113" i="6"/>
  <c r="DS113" i="6"/>
  <c r="DG113" i="6"/>
  <c r="DA113" i="6"/>
  <c r="CX113" i="6"/>
  <c r="CU113" i="6"/>
  <c r="CR113" i="6"/>
  <c r="CO113" i="6"/>
  <c r="CL113" i="6"/>
  <c r="CI113" i="6"/>
  <c r="CC113" i="6"/>
  <c r="BZ113" i="6"/>
  <c r="BT113" i="6"/>
  <c r="BQ113" i="6"/>
  <c r="BN113" i="6"/>
  <c r="BE113" i="6"/>
  <c r="BB113" i="6"/>
  <c r="AY113" i="6"/>
  <c r="AS113" i="6"/>
  <c r="AP113" i="6"/>
  <c r="AM113" i="6"/>
  <c r="AJ113" i="6"/>
  <c r="AG113" i="6"/>
  <c r="AD113" i="6"/>
  <c r="AA113" i="6"/>
  <c r="X113" i="6"/>
  <c r="U113" i="6"/>
  <c r="R113" i="6"/>
  <c r="O113" i="6"/>
  <c r="I113" i="6"/>
  <c r="F113" i="6"/>
  <c r="EM112" i="6"/>
  <c r="EL112" i="6"/>
  <c r="EK112" i="6"/>
  <c r="EJ112" i="6"/>
  <c r="EI112" i="6"/>
  <c r="EH112" i="6"/>
  <c r="EG112" i="6"/>
  <c r="EF112" i="6"/>
  <c r="EE112" i="6"/>
  <c r="ED112" i="6"/>
  <c r="EC112" i="6"/>
  <c r="EB112" i="6"/>
  <c r="EA112" i="6"/>
  <c r="DZ112" i="6"/>
  <c r="DY112" i="6"/>
  <c r="DX112" i="6"/>
  <c r="DW112" i="6"/>
  <c r="DV112" i="6"/>
  <c r="DU112" i="6"/>
  <c r="DT112" i="6"/>
  <c r="DS112" i="6"/>
  <c r="DR112" i="6"/>
  <c r="DQ112" i="6"/>
  <c r="DP112" i="6"/>
  <c r="DO112" i="6"/>
  <c r="DN112" i="6"/>
  <c r="DM112" i="6"/>
  <c r="DL112" i="6"/>
  <c r="DK112" i="6"/>
  <c r="DJ112" i="6"/>
  <c r="DI112" i="6"/>
  <c r="DH112" i="6"/>
  <c r="DG112" i="6"/>
  <c r="DF112" i="6"/>
  <c r="DE112" i="6"/>
  <c r="DD112" i="6"/>
  <c r="DC112" i="6"/>
  <c r="DB112" i="6"/>
  <c r="DA112" i="6"/>
  <c r="CZ112" i="6"/>
  <c r="CY112" i="6"/>
  <c r="CX112" i="6"/>
  <c r="CW112" i="6"/>
  <c r="CV112" i="6"/>
  <c r="CU112" i="6"/>
  <c r="CT112" i="6"/>
  <c r="CS112" i="6"/>
  <c r="CR112" i="6"/>
  <c r="CQ112" i="6"/>
  <c r="CP112" i="6"/>
  <c r="CO112" i="6"/>
  <c r="CN112" i="6"/>
  <c r="CM112" i="6"/>
  <c r="CL112" i="6"/>
  <c r="CK112" i="6"/>
  <c r="CJ112" i="6"/>
  <c r="CI112" i="6"/>
  <c r="CH112" i="6"/>
  <c r="CG112" i="6"/>
  <c r="CF112" i="6"/>
  <c r="CE112" i="6"/>
  <c r="CD112" i="6"/>
  <c r="CC112" i="6"/>
  <c r="CB112" i="6"/>
  <c r="CA112" i="6"/>
  <c r="BZ112" i="6"/>
  <c r="BY112" i="6"/>
  <c r="BX112" i="6"/>
  <c r="BW112" i="6"/>
  <c r="BV112" i="6"/>
  <c r="BU112" i="6"/>
  <c r="BT112" i="6"/>
  <c r="BS112" i="6"/>
  <c r="BR112" i="6"/>
  <c r="BQ112" i="6"/>
  <c r="BP112" i="6"/>
  <c r="BO112" i="6"/>
  <c r="BN112" i="6"/>
  <c r="BM112" i="6"/>
  <c r="BL112" i="6"/>
  <c r="BK112" i="6"/>
  <c r="BJ112" i="6"/>
  <c r="BI112" i="6"/>
  <c r="BH112" i="6"/>
  <c r="BG112" i="6"/>
  <c r="BF112" i="6"/>
  <c r="BE112" i="6"/>
  <c r="BD112" i="6"/>
  <c r="BC112" i="6"/>
  <c r="BB112" i="6"/>
  <c r="BA112" i="6"/>
  <c r="AZ112" i="6"/>
  <c r="AY112" i="6"/>
  <c r="AX112" i="6"/>
  <c r="AW112" i="6"/>
  <c r="AV112" i="6"/>
  <c r="AU112" i="6"/>
  <c r="AT112" i="6"/>
  <c r="AS112" i="6"/>
  <c r="AR112" i="6"/>
  <c r="AQ112" i="6"/>
  <c r="AP112" i="6"/>
  <c r="AO112" i="6"/>
  <c r="AN112" i="6"/>
  <c r="AM112" i="6"/>
  <c r="AL112" i="6"/>
  <c r="AK112" i="6"/>
  <c r="AJ112" i="6"/>
  <c r="AI112" i="6"/>
  <c r="AH112" i="6"/>
  <c r="AG112" i="6"/>
  <c r="AF112" i="6"/>
  <c r="AE112" i="6"/>
  <c r="AD112" i="6"/>
  <c r="AC112" i="6"/>
  <c r="AB112" i="6"/>
  <c r="AA112" i="6"/>
  <c r="Z112" i="6"/>
  <c r="Y112" i="6"/>
  <c r="X112" i="6"/>
  <c r="W112" i="6"/>
  <c r="V112" i="6"/>
  <c r="U112" i="6"/>
  <c r="T112" i="6"/>
  <c r="S112" i="6"/>
  <c r="R112" i="6"/>
  <c r="Q112" i="6"/>
  <c r="P112" i="6"/>
  <c r="O112" i="6"/>
  <c r="N112" i="6"/>
  <c r="M112" i="6"/>
  <c r="L112" i="6"/>
  <c r="K112" i="6"/>
  <c r="J112" i="6"/>
  <c r="I112" i="6"/>
  <c r="H112" i="6"/>
  <c r="G112" i="6"/>
  <c r="F112" i="6"/>
  <c r="D112" i="6"/>
  <c r="B112" i="6"/>
  <c r="D110" i="6"/>
  <c r="C110" i="6"/>
  <c r="C112" i="6" s="1"/>
  <c r="B110" i="6"/>
  <c r="D109" i="6"/>
  <c r="C109" i="6"/>
  <c r="E109" i="6" s="1"/>
  <c r="B109" i="6"/>
  <c r="E108" i="6"/>
  <c r="D108" i="6"/>
  <c r="C108" i="6"/>
  <c r="B108" i="6"/>
  <c r="E107" i="6"/>
  <c r="D107" i="6"/>
  <c r="C107" i="6"/>
  <c r="B107" i="6"/>
  <c r="D106" i="6"/>
  <c r="C106" i="6"/>
  <c r="E106" i="6" s="1"/>
  <c r="B106" i="6"/>
  <c r="D105" i="6"/>
  <c r="C105" i="6"/>
  <c r="E105" i="6" s="1"/>
  <c r="B105" i="6"/>
  <c r="E104" i="6"/>
  <c r="D104" i="6"/>
  <c r="C104" i="6"/>
  <c r="B104" i="6"/>
  <c r="E103" i="6"/>
  <c r="D103" i="6"/>
  <c r="C103" i="6"/>
  <c r="B103" i="6"/>
  <c r="D102" i="6"/>
  <c r="C102" i="6"/>
  <c r="E102" i="6" s="1"/>
  <c r="B102" i="6"/>
  <c r="D101" i="6"/>
  <c r="C101" i="6"/>
  <c r="E101" i="6" s="1"/>
  <c r="B101" i="6"/>
  <c r="E100" i="6"/>
  <c r="D100" i="6"/>
  <c r="C100" i="6"/>
  <c r="B100" i="6"/>
  <c r="E99" i="6"/>
  <c r="D99" i="6"/>
  <c r="C99" i="6"/>
  <c r="B99" i="6"/>
  <c r="D98" i="6"/>
  <c r="C98" i="6"/>
  <c r="E98" i="6" s="1"/>
  <c r="B98" i="6"/>
  <c r="D97" i="6"/>
  <c r="C97" i="6"/>
  <c r="E97" i="6" s="1"/>
  <c r="B97" i="6"/>
  <c r="E96" i="6"/>
  <c r="D96" i="6"/>
  <c r="C96" i="6"/>
  <c r="B96" i="6"/>
  <c r="E95" i="6"/>
  <c r="D95" i="6"/>
  <c r="C95" i="6"/>
  <c r="B95" i="6"/>
  <c r="D94" i="6"/>
  <c r="C94" i="6"/>
  <c r="E94" i="6" s="1"/>
  <c r="B94" i="6"/>
  <c r="D93" i="6"/>
  <c r="C93" i="6"/>
  <c r="E93" i="6" s="1"/>
  <c r="B93" i="6"/>
  <c r="E92" i="6"/>
  <c r="D92" i="6"/>
  <c r="C92" i="6"/>
  <c r="B92" i="6"/>
  <c r="E91" i="6"/>
  <c r="D91" i="6"/>
  <c r="C91" i="6"/>
  <c r="B91" i="6"/>
  <c r="D90" i="6"/>
  <c r="C90" i="6"/>
  <c r="E90" i="6" s="1"/>
  <c r="B90" i="6"/>
  <c r="D89" i="6"/>
  <c r="C89" i="6"/>
  <c r="E89" i="6" s="1"/>
  <c r="B89" i="6"/>
  <c r="E88" i="6"/>
  <c r="D88" i="6"/>
  <c r="C88" i="6"/>
  <c r="B88" i="6"/>
  <c r="E87" i="6"/>
  <c r="D87" i="6"/>
  <c r="C87" i="6"/>
  <c r="B87" i="6"/>
  <c r="D86" i="6"/>
  <c r="C86" i="6"/>
  <c r="E86" i="6" s="1"/>
  <c r="B86" i="6"/>
  <c r="D85" i="6"/>
  <c r="C85" i="6"/>
  <c r="E85" i="6" s="1"/>
  <c r="B85" i="6"/>
  <c r="E84" i="6"/>
  <c r="D84" i="6"/>
  <c r="C84" i="6"/>
  <c r="B84" i="6"/>
  <c r="E83" i="6"/>
  <c r="D83" i="6"/>
  <c r="C83" i="6"/>
  <c r="B83" i="6"/>
  <c r="D82" i="6"/>
  <c r="C82" i="6"/>
  <c r="E82" i="6" s="1"/>
  <c r="B82" i="6"/>
  <c r="D81" i="6"/>
  <c r="C81" i="6"/>
  <c r="E81" i="6" s="1"/>
  <c r="B81" i="6"/>
  <c r="E80" i="6"/>
  <c r="D80" i="6"/>
  <c r="C80" i="6"/>
  <c r="B80" i="6"/>
  <c r="E79" i="6"/>
  <c r="D79" i="6"/>
  <c r="C79" i="6"/>
  <c r="B79" i="6"/>
  <c r="D78" i="6"/>
  <c r="C78" i="6"/>
  <c r="E78" i="6" s="1"/>
  <c r="B78" i="6"/>
  <c r="D77" i="6"/>
  <c r="C77" i="6"/>
  <c r="E77" i="6" s="1"/>
  <c r="B77" i="6"/>
  <c r="E76" i="6"/>
  <c r="D76" i="6"/>
  <c r="C76" i="6"/>
  <c r="B76" i="6"/>
  <c r="E75" i="6"/>
  <c r="D75" i="6"/>
  <c r="C75" i="6"/>
  <c r="B75" i="6"/>
  <c r="D74" i="6"/>
  <c r="C74" i="6"/>
  <c r="E74" i="6" s="1"/>
  <c r="B74" i="6"/>
  <c r="D73" i="6"/>
  <c r="C73" i="6"/>
  <c r="E73" i="6" s="1"/>
  <c r="B73" i="6"/>
  <c r="E72" i="6"/>
  <c r="D72" i="6"/>
  <c r="C72" i="6"/>
  <c r="B72" i="6"/>
  <c r="E71" i="6"/>
  <c r="D71" i="6"/>
  <c r="C71" i="6"/>
  <c r="B71" i="6"/>
  <c r="D70" i="6"/>
  <c r="C70" i="6"/>
  <c r="E70" i="6" s="1"/>
  <c r="B70" i="6"/>
  <c r="D69" i="6"/>
  <c r="C69" i="6"/>
  <c r="E69" i="6" s="1"/>
  <c r="B69" i="6"/>
  <c r="E68" i="6"/>
  <c r="D68" i="6"/>
  <c r="C68" i="6"/>
  <c r="B68" i="6"/>
  <c r="E67" i="6"/>
  <c r="D67" i="6"/>
  <c r="C67" i="6"/>
  <c r="B67" i="6"/>
  <c r="D66" i="6"/>
  <c r="C66" i="6"/>
  <c r="E66" i="6" s="1"/>
  <c r="B66" i="6"/>
  <c r="D65" i="6"/>
  <c r="C65" i="6"/>
  <c r="E65" i="6" s="1"/>
  <c r="B65" i="6"/>
  <c r="E64" i="6"/>
  <c r="D64" i="6"/>
  <c r="C64" i="6"/>
  <c r="B64" i="6"/>
  <c r="E63" i="6"/>
  <c r="D63" i="6"/>
  <c r="C63" i="6"/>
  <c r="B63" i="6"/>
  <c r="D62" i="6"/>
  <c r="C62" i="6"/>
  <c r="E62" i="6" s="1"/>
  <c r="B62" i="6"/>
  <c r="D61" i="6"/>
  <c r="C61" i="6"/>
  <c r="E61" i="6" s="1"/>
  <c r="B61" i="6"/>
  <c r="E60" i="6"/>
  <c r="D60" i="6"/>
  <c r="C60" i="6"/>
  <c r="B60" i="6"/>
  <c r="E59" i="6"/>
  <c r="D59" i="6"/>
  <c r="C59" i="6"/>
  <c r="B59" i="6"/>
  <c r="D58" i="6"/>
  <c r="C58" i="6"/>
  <c r="E58" i="6" s="1"/>
  <c r="B58" i="6"/>
  <c r="D57" i="6"/>
  <c r="C57" i="6"/>
  <c r="E57" i="6" s="1"/>
  <c r="B57" i="6"/>
  <c r="E56" i="6"/>
  <c r="D56" i="6"/>
  <c r="C56" i="6"/>
  <c r="B56" i="6"/>
  <c r="E55" i="6"/>
  <c r="D55" i="6"/>
  <c r="C55" i="6"/>
  <c r="B55" i="6"/>
  <c r="D54" i="6"/>
  <c r="C54" i="6"/>
  <c r="E54" i="6" s="1"/>
  <c r="B54" i="6"/>
  <c r="D53" i="6"/>
  <c r="C53" i="6"/>
  <c r="E53" i="6" s="1"/>
  <c r="B53" i="6"/>
  <c r="E52" i="6"/>
  <c r="D52" i="6"/>
  <c r="C52" i="6"/>
  <c r="B52" i="6"/>
  <c r="E51" i="6"/>
  <c r="D51" i="6"/>
  <c r="C51" i="6"/>
  <c r="B51" i="6"/>
  <c r="D50" i="6"/>
  <c r="C50" i="6"/>
  <c r="E50" i="6" s="1"/>
  <c r="B50" i="6"/>
  <c r="D49" i="6"/>
  <c r="C49" i="6"/>
  <c r="E49" i="6" s="1"/>
  <c r="B49" i="6"/>
  <c r="E48" i="6"/>
  <c r="D48" i="6"/>
  <c r="C48" i="6"/>
  <c r="B48" i="6"/>
  <c r="E47" i="6"/>
  <c r="D47" i="6"/>
  <c r="C47" i="6"/>
  <c r="B47" i="6"/>
  <c r="D46" i="6"/>
  <c r="C46" i="6"/>
  <c r="E46" i="6" s="1"/>
  <c r="B46" i="6"/>
  <c r="D45" i="6"/>
  <c r="C45" i="6"/>
  <c r="E45" i="6" s="1"/>
  <c r="B45" i="6"/>
  <c r="E44" i="6"/>
  <c r="D44" i="6"/>
  <c r="C44" i="6"/>
  <c r="B44" i="6"/>
  <c r="E43" i="6"/>
  <c r="D43" i="6"/>
  <c r="C43" i="6"/>
  <c r="B43" i="6"/>
  <c r="D42" i="6"/>
  <c r="C42" i="6"/>
  <c r="E42" i="6" s="1"/>
  <c r="B42" i="6"/>
  <c r="D41" i="6"/>
  <c r="C41" i="6"/>
  <c r="E41" i="6" s="1"/>
  <c r="B41" i="6"/>
  <c r="E40" i="6"/>
  <c r="D40" i="6"/>
  <c r="C40" i="6"/>
  <c r="B40" i="6"/>
  <c r="E39" i="6"/>
  <c r="D39" i="6"/>
  <c r="C39" i="6"/>
  <c r="B39" i="6"/>
  <c r="D38" i="6"/>
  <c r="C38" i="6"/>
  <c r="E38" i="6" s="1"/>
  <c r="B38" i="6"/>
  <c r="D37" i="6"/>
  <c r="C37" i="6"/>
  <c r="E37" i="6" s="1"/>
  <c r="B37" i="6"/>
  <c r="E36" i="6"/>
  <c r="D36" i="6"/>
  <c r="C36" i="6"/>
  <c r="B36" i="6"/>
  <c r="E35" i="6"/>
  <c r="D35" i="6"/>
  <c r="C35" i="6"/>
  <c r="B35" i="6"/>
  <c r="D34" i="6"/>
  <c r="C34" i="6"/>
  <c r="E34" i="6" s="1"/>
  <c r="B34" i="6"/>
  <c r="D33" i="6"/>
  <c r="C33" i="6"/>
  <c r="E33" i="6" s="1"/>
  <c r="B33" i="6"/>
  <c r="E32" i="6"/>
  <c r="D32" i="6"/>
  <c r="C32" i="6"/>
  <c r="B32" i="6"/>
  <c r="E31" i="6"/>
  <c r="D31" i="6"/>
  <c r="C31" i="6"/>
  <c r="B31" i="6"/>
  <c r="D30" i="6"/>
  <c r="C30" i="6"/>
  <c r="E30" i="6" s="1"/>
  <c r="B30" i="6"/>
  <c r="D29" i="6"/>
  <c r="C29" i="6"/>
  <c r="E29" i="6" s="1"/>
  <c r="B29" i="6"/>
  <c r="E28" i="6"/>
  <c r="D28" i="6"/>
  <c r="C28" i="6"/>
  <c r="B28" i="6"/>
  <c r="E27" i="6"/>
  <c r="D27" i="6"/>
  <c r="C27" i="6"/>
  <c r="B27" i="6"/>
  <c r="D26" i="6"/>
  <c r="C26" i="6"/>
  <c r="E26" i="6" s="1"/>
  <c r="B26" i="6"/>
  <c r="D25" i="6"/>
  <c r="C25" i="6"/>
  <c r="E25" i="6" s="1"/>
  <c r="B25" i="6"/>
  <c r="E24" i="6"/>
  <c r="D24" i="6"/>
  <c r="C24" i="6"/>
  <c r="B24" i="6"/>
  <c r="E23" i="6"/>
  <c r="D23" i="6"/>
  <c r="C23" i="6"/>
  <c r="B23" i="6"/>
  <c r="D22" i="6"/>
  <c r="C22" i="6"/>
  <c r="E22" i="6" s="1"/>
  <c r="B22" i="6"/>
  <c r="D21" i="6"/>
  <c r="C21" i="6"/>
  <c r="E21" i="6" s="1"/>
  <c r="B21" i="6"/>
  <c r="E20" i="6"/>
  <c r="D20" i="6"/>
  <c r="C20" i="6"/>
  <c r="B20" i="6"/>
  <c r="E19" i="6"/>
  <c r="D19" i="6"/>
  <c r="C19" i="6"/>
  <c r="B19" i="6"/>
  <c r="D18" i="6"/>
  <c r="C18" i="6"/>
  <c r="E18" i="6" s="1"/>
  <c r="B18" i="6"/>
  <c r="D17" i="6"/>
  <c r="C17" i="6"/>
  <c r="E17" i="6" s="1"/>
  <c r="B17" i="6"/>
  <c r="E16" i="6"/>
  <c r="D16" i="6"/>
  <c r="C16" i="6"/>
  <c r="B16" i="6"/>
  <c r="E15" i="6"/>
  <c r="D15" i="6"/>
  <c r="C15" i="6"/>
  <c r="B15" i="6"/>
  <c r="D14" i="6"/>
  <c r="C14" i="6"/>
  <c r="E14" i="6" s="1"/>
  <c r="B14" i="6"/>
  <c r="D13" i="6"/>
  <c r="C13" i="6"/>
  <c r="E13" i="6" s="1"/>
  <c r="B13" i="6"/>
  <c r="E12" i="6"/>
  <c r="D12" i="6"/>
  <c r="C12" i="6"/>
  <c r="B12" i="6"/>
  <c r="E11" i="6"/>
  <c r="D11" i="6"/>
  <c r="C11" i="6"/>
  <c r="B11" i="6"/>
  <c r="D10" i="6"/>
  <c r="C10" i="6"/>
  <c r="E10" i="6" s="1"/>
  <c r="B10" i="6"/>
  <c r="D9" i="6"/>
  <c r="C9" i="6"/>
  <c r="E9" i="6" s="1"/>
  <c r="B9" i="6"/>
  <c r="E8" i="6"/>
  <c r="D8" i="6"/>
  <c r="C8" i="6"/>
  <c r="B8" i="6"/>
  <c r="E7" i="6"/>
  <c r="D7" i="6"/>
  <c r="C7" i="6"/>
  <c r="B7" i="6"/>
  <c r="D6" i="6"/>
  <c r="C6" i="6"/>
  <c r="E6" i="6" s="1"/>
  <c r="B6" i="6"/>
  <c r="A134" i="5"/>
  <c r="D118" i="5"/>
  <c r="F114" i="5"/>
  <c r="F116" i="5" s="1"/>
  <c r="FL113" i="5"/>
  <c r="FI113" i="5"/>
  <c r="FF113" i="5"/>
  <c r="FC113" i="5"/>
  <c r="EW113" i="5"/>
  <c r="EQ113" i="5"/>
  <c r="EN113" i="5"/>
  <c r="EE113" i="5"/>
  <c r="DS113" i="5"/>
  <c r="DP113" i="5"/>
  <c r="DG113" i="5"/>
  <c r="DD113" i="5"/>
  <c r="CU113" i="5"/>
  <c r="CR113" i="5"/>
  <c r="CO113" i="5"/>
  <c r="CL113" i="5"/>
  <c r="CI113" i="5"/>
  <c r="CF113" i="5"/>
  <c r="BZ113" i="5"/>
  <c r="BW113" i="5"/>
  <c r="BQ113" i="5"/>
  <c r="BH113" i="5"/>
  <c r="BE113" i="5"/>
  <c r="BB113" i="5"/>
  <c r="AY113" i="5"/>
  <c r="AV113" i="5"/>
  <c r="AS113" i="5"/>
  <c r="AM113" i="5"/>
  <c r="AJ113" i="5"/>
  <c r="AG113" i="5"/>
  <c r="AD113" i="5"/>
  <c r="AA113" i="5"/>
  <c r="X113" i="5"/>
  <c r="U113" i="5"/>
  <c r="R113" i="5"/>
  <c r="O113" i="5"/>
  <c r="L113" i="5"/>
  <c r="I113" i="5"/>
  <c r="F113" i="5"/>
  <c r="B113" i="5"/>
  <c r="FN112" i="5"/>
  <c r="FM112" i="5"/>
  <c r="FL112" i="5"/>
  <c r="FK112" i="5"/>
  <c r="FJ112" i="5"/>
  <c r="FI112" i="5"/>
  <c r="FH112" i="5"/>
  <c r="FG112" i="5"/>
  <c r="FF112" i="5"/>
  <c r="FE112" i="5"/>
  <c r="FD112" i="5"/>
  <c r="FC112" i="5"/>
  <c r="FB112" i="5"/>
  <c r="FA112" i="5"/>
  <c r="EZ112" i="5"/>
  <c r="EY112" i="5"/>
  <c r="EX112" i="5"/>
  <c r="EW112" i="5"/>
  <c r="EV112" i="5"/>
  <c r="EU112" i="5"/>
  <c r="ET112" i="5"/>
  <c r="ES112" i="5"/>
  <c r="ER112" i="5"/>
  <c r="EQ112" i="5"/>
  <c r="EP112" i="5"/>
  <c r="EO112" i="5"/>
  <c r="EN112" i="5"/>
  <c r="EM112" i="5"/>
  <c r="EL112" i="5"/>
  <c r="EK112" i="5"/>
  <c r="EJ112" i="5"/>
  <c r="EI112" i="5"/>
  <c r="EH112" i="5"/>
  <c r="EG112" i="5"/>
  <c r="EF112" i="5"/>
  <c r="EE112" i="5"/>
  <c r="ED112" i="5"/>
  <c r="EC112" i="5"/>
  <c r="EB112" i="5"/>
  <c r="EA112" i="5"/>
  <c r="DZ112" i="5"/>
  <c r="DY112" i="5"/>
  <c r="DX112" i="5"/>
  <c r="DW112" i="5"/>
  <c r="DV112" i="5"/>
  <c r="DU112" i="5"/>
  <c r="DT112" i="5"/>
  <c r="DS112" i="5"/>
  <c r="DR112" i="5"/>
  <c r="DQ112" i="5"/>
  <c r="DP112" i="5"/>
  <c r="DO112" i="5"/>
  <c r="DN112" i="5"/>
  <c r="DM112" i="5"/>
  <c r="DL112" i="5"/>
  <c r="DK112" i="5"/>
  <c r="DJ112" i="5"/>
  <c r="DI112" i="5"/>
  <c r="DH112" i="5"/>
  <c r="DG112" i="5"/>
  <c r="DF112" i="5"/>
  <c r="DE112" i="5"/>
  <c r="DD112" i="5"/>
  <c r="DC112" i="5"/>
  <c r="DB112" i="5"/>
  <c r="DA112" i="5"/>
  <c r="CZ112" i="5"/>
  <c r="CY112" i="5"/>
  <c r="CX112" i="5"/>
  <c r="CW112" i="5"/>
  <c r="CV112" i="5"/>
  <c r="CU112" i="5"/>
  <c r="CT112" i="5"/>
  <c r="CS112" i="5"/>
  <c r="CR112" i="5"/>
  <c r="CQ112" i="5"/>
  <c r="CP112" i="5"/>
  <c r="CO112" i="5"/>
  <c r="CN112" i="5"/>
  <c r="CM112" i="5"/>
  <c r="CL112" i="5"/>
  <c r="CK112" i="5"/>
  <c r="CJ112" i="5"/>
  <c r="CI112" i="5"/>
  <c r="CH112" i="5"/>
  <c r="CG112" i="5"/>
  <c r="CF112" i="5"/>
  <c r="CE112" i="5"/>
  <c r="CD112" i="5"/>
  <c r="CC112" i="5"/>
  <c r="CB112" i="5"/>
  <c r="CA112" i="5"/>
  <c r="BZ112" i="5"/>
  <c r="BY112" i="5"/>
  <c r="BX112" i="5"/>
  <c r="BW112" i="5"/>
  <c r="BV112" i="5"/>
  <c r="BU112" i="5"/>
  <c r="BT112" i="5"/>
  <c r="BS112" i="5"/>
  <c r="BR112" i="5"/>
  <c r="BQ112" i="5"/>
  <c r="BP112" i="5"/>
  <c r="BO112" i="5"/>
  <c r="BN112" i="5"/>
  <c r="BM112" i="5"/>
  <c r="BL112" i="5"/>
  <c r="BK112" i="5"/>
  <c r="BJ112" i="5"/>
  <c r="BI112" i="5"/>
  <c r="BH112" i="5"/>
  <c r="BG112" i="5"/>
  <c r="BF112" i="5"/>
  <c r="BE112" i="5"/>
  <c r="BD112" i="5"/>
  <c r="BC112" i="5"/>
  <c r="BB112" i="5"/>
  <c r="BA112" i="5"/>
  <c r="AZ112" i="5"/>
  <c r="AY112" i="5"/>
  <c r="AX112" i="5"/>
  <c r="AW112" i="5"/>
  <c r="AV112" i="5"/>
  <c r="AU112" i="5"/>
  <c r="AT112" i="5"/>
  <c r="AS112"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D112" i="5"/>
  <c r="C112" i="5"/>
  <c r="B112" i="5"/>
  <c r="E110" i="5"/>
  <c r="D110" i="5"/>
  <c r="C110" i="5"/>
  <c r="B110" i="5"/>
  <c r="E109" i="5"/>
  <c r="D109" i="5"/>
  <c r="C109" i="5"/>
  <c r="B109" i="5"/>
  <c r="D108" i="5"/>
  <c r="E108" i="5" s="1"/>
  <c r="C108" i="5"/>
  <c r="B108" i="5"/>
  <c r="E107" i="5"/>
  <c r="D107" i="5"/>
  <c r="C107" i="5"/>
  <c r="B107" i="5"/>
  <c r="E106" i="5"/>
  <c r="D106" i="5"/>
  <c r="C106" i="5"/>
  <c r="B106" i="5"/>
  <c r="E105" i="5"/>
  <c r="D105" i="5"/>
  <c r="C105" i="5"/>
  <c r="B105" i="5"/>
  <c r="D104" i="5"/>
  <c r="E104" i="5" s="1"/>
  <c r="C104" i="5"/>
  <c r="B104" i="5"/>
  <c r="E103" i="5"/>
  <c r="D103" i="5"/>
  <c r="C103" i="5"/>
  <c r="B103" i="5"/>
  <c r="E102" i="5"/>
  <c r="D102" i="5"/>
  <c r="C102" i="5"/>
  <c r="B102" i="5"/>
  <c r="E101" i="5"/>
  <c r="D101" i="5"/>
  <c r="C101" i="5"/>
  <c r="B101" i="5"/>
  <c r="D100" i="5"/>
  <c r="E100" i="5" s="1"/>
  <c r="C100" i="5"/>
  <c r="B100" i="5"/>
  <c r="E99" i="5"/>
  <c r="D99" i="5"/>
  <c r="C99" i="5"/>
  <c r="B99" i="5"/>
  <c r="E98" i="5"/>
  <c r="D98" i="5"/>
  <c r="C98" i="5"/>
  <c r="B98" i="5"/>
  <c r="E97" i="5"/>
  <c r="D97" i="5"/>
  <c r="C97" i="5"/>
  <c r="B97" i="5"/>
  <c r="D96" i="5"/>
  <c r="E96" i="5" s="1"/>
  <c r="C96" i="5"/>
  <c r="B96" i="5"/>
  <c r="E95" i="5"/>
  <c r="D95" i="5"/>
  <c r="C95" i="5"/>
  <c r="B95" i="5"/>
  <c r="E94" i="5"/>
  <c r="D94" i="5"/>
  <c r="C94" i="5"/>
  <c r="B94" i="5"/>
  <c r="D93" i="5"/>
  <c r="E93" i="5" s="1"/>
  <c r="C93" i="5"/>
  <c r="B93" i="5"/>
  <c r="D92" i="5"/>
  <c r="E92" i="5" s="1"/>
  <c r="C92" i="5"/>
  <c r="B92" i="5"/>
  <c r="E91" i="5"/>
  <c r="D91" i="5"/>
  <c r="C91" i="5"/>
  <c r="B91" i="5"/>
  <c r="E90" i="5"/>
  <c r="D90" i="5"/>
  <c r="C90" i="5"/>
  <c r="B90" i="5"/>
  <c r="D89" i="5"/>
  <c r="E89" i="5" s="1"/>
  <c r="C89" i="5"/>
  <c r="B89" i="5"/>
  <c r="D88" i="5"/>
  <c r="E88" i="5" s="1"/>
  <c r="C88" i="5"/>
  <c r="B88" i="5"/>
  <c r="E87" i="5"/>
  <c r="D87" i="5"/>
  <c r="C87" i="5"/>
  <c r="B87" i="5"/>
  <c r="E86" i="5"/>
  <c r="D86" i="5"/>
  <c r="C86" i="5"/>
  <c r="B86" i="5"/>
  <c r="D85" i="5"/>
  <c r="E85" i="5" s="1"/>
  <c r="C85" i="5"/>
  <c r="B85" i="5"/>
  <c r="D84" i="5"/>
  <c r="E84" i="5" s="1"/>
  <c r="C84" i="5"/>
  <c r="B84" i="5"/>
  <c r="E83" i="5"/>
  <c r="D83" i="5"/>
  <c r="C83" i="5"/>
  <c r="B83" i="5"/>
  <c r="E82" i="5"/>
  <c r="D82" i="5"/>
  <c r="C82" i="5"/>
  <c r="B82" i="5"/>
  <c r="D81" i="5"/>
  <c r="E81" i="5" s="1"/>
  <c r="C81" i="5"/>
  <c r="B81" i="5"/>
  <c r="D80" i="5"/>
  <c r="E80" i="5" s="1"/>
  <c r="C80" i="5"/>
  <c r="B80" i="5"/>
  <c r="E79" i="5"/>
  <c r="D79" i="5"/>
  <c r="C79" i="5"/>
  <c r="B79" i="5"/>
  <c r="E78" i="5"/>
  <c r="D78" i="5"/>
  <c r="C78" i="5"/>
  <c r="B78" i="5"/>
  <c r="D77" i="5"/>
  <c r="E77" i="5" s="1"/>
  <c r="C77" i="5"/>
  <c r="B77" i="5"/>
  <c r="D76" i="5"/>
  <c r="E76" i="5" s="1"/>
  <c r="C76" i="5"/>
  <c r="B76" i="5"/>
  <c r="D75" i="5"/>
  <c r="E75" i="5" s="1"/>
  <c r="C75" i="5"/>
  <c r="B75" i="5"/>
  <c r="E74" i="5"/>
  <c r="D74" i="5"/>
  <c r="C74" i="5"/>
  <c r="B74" i="5"/>
  <c r="D73" i="5"/>
  <c r="E73" i="5" s="1"/>
  <c r="C73" i="5"/>
  <c r="B73" i="5"/>
  <c r="D72" i="5"/>
  <c r="E72" i="5" s="1"/>
  <c r="C72" i="5"/>
  <c r="B72" i="5"/>
  <c r="E71" i="5"/>
  <c r="D71" i="5"/>
  <c r="C71" i="5"/>
  <c r="B71" i="5"/>
  <c r="E70" i="5"/>
  <c r="D70" i="5"/>
  <c r="C70" i="5"/>
  <c r="B70" i="5"/>
  <c r="D69" i="5"/>
  <c r="E69" i="5" s="1"/>
  <c r="C69" i="5"/>
  <c r="B69" i="5"/>
  <c r="D68" i="5"/>
  <c r="E68" i="5" s="1"/>
  <c r="C68" i="5"/>
  <c r="B68" i="5"/>
  <c r="D67" i="5"/>
  <c r="E67" i="5" s="1"/>
  <c r="C67" i="5"/>
  <c r="B67" i="5"/>
  <c r="E66" i="5"/>
  <c r="D66" i="5"/>
  <c r="C66" i="5"/>
  <c r="B66" i="5"/>
  <c r="D65" i="5"/>
  <c r="E65" i="5" s="1"/>
  <c r="C65" i="5"/>
  <c r="B65" i="5"/>
  <c r="D64" i="5"/>
  <c r="E64" i="5" s="1"/>
  <c r="C64" i="5"/>
  <c r="B64" i="5"/>
  <c r="E63" i="5"/>
  <c r="D63" i="5"/>
  <c r="C63" i="5"/>
  <c r="B63" i="5"/>
  <c r="E62" i="5"/>
  <c r="D62" i="5"/>
  <c r="C62" i="5"/>
  <c r="B62" i="5"/>
  <c r="D61" i="5"/>
  <c r="E61" i="5" s="1"/>
  <c r="C61" i="5"/>
  <c r="B61" i="5"/>
  <c r="D60" i="5"/>
  <c r="E60" i="5" s="1"/>
  <c r="C60" i="5"/>
  <c r="B60" i="5"/>
  <c r="D59" i="5"/>
  <c r="E59" i="5" s="1"/>
  <c r="C59" i="5"/>
  <c r="B59" i="5"/>
  <c r="E58" i="5"/>
  <c r="D58" i="5"/>
  <c r="C58" i="5"/>
  <c r="B58" i="5"/>
  <c r="D57" i="5"/>
  <c r="E57" i="5" s="1"/>
  <c r="C57" i="5"/>
  <c r="B57" i="5"/>
  <c r="D56" i="5"/>
  <c r="C56" i="5"/>
  <c r="B56" i="5"/>
  <c r="D55" i="5"/>
  <c r="E55" i="5" s="1"/>
  <c r="C55" i="5"/>
  <c r="B55" i="5"/>
  <c r="E54" i="5"/>
  <c r="D54" i="5"/>
  <c r="C54" i="5"/>
  <c r="B54" i="5"/>
  <c r="D53" i="5"/>
  <c r="E53" i="5" s="1"/>
  <c r="C53" i="5"/>
  <c r="B53" i="5"/>
  <c r="D52" i="5"/>
  <c r="C52" i="5"/>
  <c r="B52" i="5"/>
  <c r="E52" i="5" s="1"/>
  <c r="D51" i="5"/>
  <c r="E51" i="5" s="1"/>
  <c r="C51" i="5"/>
  <c r="B51" i="5"/>
  <c r="E50" i="5"/>
  <c r="D50" i="5"/>
  <c r="C50" i="5"/>
  <c r="B50" i="5"/>
  <c r="D49" i="5"/>
  <c r="E49" i="5" s="1"/>
  <c r="C49" i="5"/>
  <c r="B49" i="5"/>
  <c r="D48" i="5"/>
  <c r="C48" i="5"/>
  <c r="B48" i="5"/>
  <c r="D47" i="5"/>
  <c r="E47" i="5" s="1"/>
  <c r="C47" i="5"/>
  <c r="B47" i="5"/>
  <c r="E46" i="5"/>
  <c r="D46" i="5"/>
  <c r="C46" i="5"/>
  <c r="B46" i="5"/>
  <c r="D45" i="5"/>
  <c r="E45" i="5" s="1"/>
  <c r="C45" i="5"/>
  <c r="B45" i="5"/>
  <c r="D44" i="5"/>
  <c r="C44" i="5"/>
  <c r="B44" i="5"/>
  <c r="E44" i="5" s="1"/>
  <c r="D43" i="5"/>
  <c r="E43" i="5" s="1"/>
  <c r="C43" i="5"/>
  <c r="B43" i="5"/>
  <c r="E42" i="5"/>
  <c r="D42" i="5"/>
  <c r="C42" i="5"/>
  <c r="B42" i="5"/>
  <c r="D41" i="5"/>
  <c r="E41" i="5" s="1"/>
  <c r="C41" i="5"/>
  <c r="B41" i="5"/>
  <c r="D40" i="5"/>
  <c r="C40" i="5"/>
  <c r="B40" i="5"/>
  <c r="E39" i="5"/>
  <c r="D39" i="5"/>
  <c r="C39" i="5"/>
  <c r="B39" i="5"/>
  <c r="E38" i="5"/>
  <c r="D38" i="5"/>
  <c r="C38" i="5"/>
  <c r="B38" i="5"/>
  <c r="D37" i="5"/>
  <c r="E37" i="5" s="1"/>
  <c r="C37" i="5"/>
  <c r="B37" i="5"/>
  <c r="D36" i="5"/>
  <c r="C36" i="5"/>
  <c r="B36" i="5"/>
  <c r="D35" i="5"/>
  <c r="E35" i="5" s="1"/>
  <c r="C35" i="5"/>
  <c r="B35" i="5"/>
  <c r="E34" i="5"/>
  <c r="D34" i="5"/>
  <c r="C34" i="5"/>
  <c r="B34" i="5"/>
  <c r="D33" i="5"/>
  <c r="E33" i="5" s="1"/>
  <c r="C33" i="5"/>
  <c r="B33" i="5"/>
  <c r="D32" i="5"/>
  <c r="C32" i="5"/>
  <c r="B32" i="5"/>
  <c r="E32" i="5" s="1"/>
  <c r="E31" i="5"/>
  <c r="D31" i="5"/>
  <c r="C31" i="5"/>
  <c r="B31" i="5"/>
  <c r="E30" i="5"/>
  <c r="D30" i="5"/>
  <c r="C30" i="5"/>
  <c r="B30" i="5"/>
  <c r="D29" i="5"/>
  <c r="E29" i="5" s="1"/>
  <c r="C29" i="5"/>
  <c r="B29" i="5"/>
  <c r="D28" i="5"/>
  <c r="C28" i="5"/>
  <c r="B28" i="5"/>
  <c r="D27" i="5"/>
  <c r="E27" i="5" s="1"/>
  <c r="C27" i="5"/>
  <c r="B27" i="5"/>
  <c r="E26" i="5"/>
  <c r="D26" i="5"/>
  <c r="C26" i="5"/>
  <c r="B26" i="5"/>
  <c r="D25" i="5"/>
  <c r="E25" i="5" s="1"/>
  <c r="C25" i="5"/>
  <c r="B25" i="5"/>
  <c r="D24" i="5"/>
  <c r="C24" i="5"/>
  <c r="B24" i="5"/>
  <c r="D23" i="5"/>
  <c r="E23" i="5" s="1"/>
  <c r="C23" i="5"/>
  <c r="B23" i="5"/>
  <c r="E22" i="5"/>
  <c r="D22" i="5"/>
  <c r="C22" i="5"/>
  <c r="B22" i="5"/>
  <c r="D21" i="5"/>
  <c r="E21" i="5" s="1"/>
  <c r="C21" i="5"/>
  <c r="B21" i="5"/>
  <c r="D20" i="5"/>
  <c r="C20" i="5"/>
  <c r="B20" i="5"/>
  <c r="E20" i="5" s="1"/>
  <c r="D19" i="5"/>
  <c r="E19" i="5" s="1"/>
  <c r="C19" i="5"/>
  <c r="B19" i="5"/>
  <c r="E18" i="5"/>
  <c r="D18" i="5"/>
  <c r="C18" i="5"/>
  <c r="B18" i="5"/>
  <c r="D17" i="5"/>
  <c r="E17" i="5" s="1"/>
  <c r="C17" i="5"/>
  <c r="B17" i="5"/>
  <c r="D16" i="5"/>
  <c r="C16" i="5"/>
  <c r="B16" i="5"/>
  <c r="D15" i="5"/>
  <c r="E15" i="5" s="1"/>
  <c r="C15" i="5"/>
  <c r="B15" i="5"/>
  <c r="E14" i="5"/>
  <c r="D14" i="5"/>
  <c r="C14" i="5"/>
  <c r="B14" i="5"/>
  <c r="D13" i="5"/>
  <c r="E13" i="5" s="1"/>
  <c r="C13" i="5"/>
  <c r="B13" i="5"/>
  <c r="D12" i="5"/>
  <c r="C12" i="5"/>
  <c r="B12" i="5"/>
  <c r="E12" i="5" s="1"/>
  <c r="D11" i="5"/>
  <c r="E11" i="5" s="1"/>
  <c r="C11" i="5"/>
  <c r="B11" i="5"/>
  <c r="E10" i="5"/>
  <c r="D10" i="5"/>
  <c r="C10" i="5"/>
  <c r="B10" i="5"/>
  <c r="D9" i="5"/>
  <c r="E9" i="5" s="1"/>
  <c r="C9" i="5"/>
  <c r="B9" i="5"/>
  <c r="D8" i="5"/>
  <c r="C8" i="5"/>
  <c r="B8" i="5"/>
  <c r="E7" i="5"/>
  <c r="D7" i="5"/>
  <c r="C7" i="5"/>
  <c r="B7" i="5"/>
  <c r="E6" i="5"/>
  <c r="D6" i="5"/>
  <c r="C6" i="5"/>
  <c r="B6" i="5"/>
  <c r="BZ158" i="4"/>
  <c r="BV158" i="4"/>
  <c r="BZ157" i="4"/>
  <c r="BV157" i="4"/>
  <c r="BZ156" i="4"/>
  <c r="BV156" i="4"/>
  <c r="BZ155" i="4"/>
  <c r="BV155" i="4"/>
  <c r="BZ154" i="4"/>
  <c r="BV154" i="4"/>
  <c r="BZ153" i="4"/>
  <c r="BV153" i="4"/>
  <c r="BZ152" i="4"/>
  <c r="BV152" i="4"/>
  <c r="BZ151" i="4"/>
  <c r="BV151" i="4"/>
  <c r="BZ150" i="4"/>
  <c r="BV150" i="4"/>
  <c r="BZ149" i="4"/>
  <c r="BV149" i="4"/>
  <c r="BZ148" i="4"/>
  <c r="BV148" i="4"/>
  <c r="BZ147" i="4"/>
  <c r="BV147" i="4"/>
  <c r="BZ146" i="4"/>
  <c r="BV146" i="4"/>
  <c r="BZ145" i="4"/>
  <c r="BV145" i="4"/>
  <c r="A136" i="4"/>
  <c r="I118" i="4"/>
  <c r="ER114" i="4"/>
  <c r="ER116" i="4" s="1"/>
  <c r="EI114" i="4"/>
  <c r="EI116" i="4" s="1"/>
  <c r="EC114" i="4"/>
  <c r="EC116" i="4" s="1"/>
  <c r="DZ114" i="4"/>
  <c r="DZ116" i="4" s="1"/>
  <c r="DW114" i="4"/>
  <c r="DW116" i="4" s="1"/>
  <c r="DT114" i="4"/>
  <c r="DT116" i="4" s="1"/>
  <c r="DQ114" i="4"/>
  <c r="DQ116" i="4" s="1"/>
  <c r="DN114" i="4"/>
  <c r="DN116" i="4" s="1"/>
  <c r="DK114" i="4"/>
  <c r="DK116" i="4" s="1"/>
  <c r="DH114" i="4"/>
  <c r="DH116" i="4" s="1"/>
  <c r="CP114" i="4"/>
  <c r="CP116" i="4" s="1"/>
  <c r="CA114" i="4"/>
  <c r="CA116" i="4" s="1"/>
  <c r="BX114" i="4"/>
  <c r="BX116" i="4" s="1"/>
  <c r="BU114" i="4"/>
  <c r="BU116" i="4" s="1"/>
  <c r="BR114" i="4"/>
  <c r="BR116" i="4" s="1"/>
  <c r="BF114" i="4"/>
  <c r="BF116" i="4" s="1"/>
  <c r="AZ114" i="4"/>
  <c r="AZ116" i="4" s="1"/>
  <c r="AW114" i="4"/>
  <c r="AW116" i="4" s="1"/>
  <c r="AQ114" i="4"/>
  <c r="AQ116" i="4" s="1"/>
  <c r="AN114" i="4"/>
  <c r="AN116" i="4" s="1"/>
  <c r="V114" i="4"/>
  <c r="V116" i="4" s="1"/>
  <c r="S114" i="4"/>
  <c r="S116" i="4" s="1"/>
  <c r="P114" i="4"/>
  <c r="P116" i="4" s="1"/>
  <c r="EX113" i="4"/>
  <c r="ER113" i="4"/>
  <c r="EO113" i="4"/>
  <c r="EL113" i="4"/>
  <c r="EI113" i="4"/>
  <c r="EF113" i="4"/>
  <c r="EC113" i="4"/>
  <c r="DZ113" i="4"/>
  <c r="DW113" i="4"/>
  <c r="DT113" i="4"/>
  <c r="DQ113" i="4"/>
  <c r="DN113" i="4"/>
  <c r="DK113" i="4"/>
  <c r="DH113" i="4"/>
  <c r="DE113" i="4"/>
  <c r="DB113" i="4"/>
  <c r="CY113" i="4"/>
  <c r="CV113" i="4"/>
  <c r="CS113" i="4"/>
  <c r="CP113" i="4"/>
  <c r="CM113" i="4"/>
  <c r="CJ113" i="4"/>
  <c r="CG113" i="4"/>
  <c r="CD113" i="4"/>
  <c r="CA113" i="4"/>
  <c r="BX113" i="4"/>
  <c r="BU113" i="4"/>
  <c r="BR113" i="4"/>
  <c r="BL113" i="4"/>
  <c r="BI113" i="4"/>
  <c r="BF113" i="4"/>
  <c r="AZ113" i="4"/>
  <c r="AW113" i="4"/>
  <c r="AT113" i="4"/>
  <c r="AQ113" i="4"/>
  <c r="AN113" i="4"/>
  <c r="AK113" i="4"/>
  <c r="AH113" i="4"/>
  <c r="AE113" i="4"/>
  <c r="AB113" i="4"/>
  <c r="Y113" i="4"/>
  <c r="V113" i="4"/>
  <c r="S113" i="4"/>
  <c r="P113" i="4"/>
  <c r="M113" i="4"/>
  <c r="J113" i="4"/>
  <c r="F113" i="4"/>
  <c r="FC112" i="4"/>
  <c r="FB112" i="4"/>
  <c r="FA112" i="4"/>
  <c r="EZ112" i="4"/>
  <c r="EY112" i="4"/>
  <c r="EX112" i="4"/>
  <c r="ET112" i="4"/>
  <c r="ES112" i="4"/>
  <c r="ER112" i="4"/>
  <c r="EQ112" i="4"/>
  <c r="EP112" i="4"/>
  <c r="EO112" i="4"/>
  <c r="EN112" i="4"/>
  <c r="EM112" i="4"/>
  <c r="EL112" i="4"/>
  <c r="EK112" i="4"/>
  <c r="EJ112" i="4"/>
  <c r="EI112" i="4"/>
  <c r="EH112" i="4"/>
  <c r="EG112" i="4"/>
  <c r="EF112" i="4"/>
  <c r="EE112" i="4"/>
  <c r="ED112" i="4"/>
  <c r="EC112" i="4"/>
  <c r="EB112" i="4"/>
  <c r="EA112" i="4"/>
  <c r="DZ112" i="4"/>
  <c r="DY112" i="4"/>
  <c r="DX112" i="4"/>
  <c r="DW112" i="4"/>
  <c r="DV112" i="4"/>
  <c r="DU112" i="4"/>
  <c r="DT112" i="4"/>
  <c r="DS112" i="4"/>
  <c r="DR112" i="4"/>
  <c r="DQ112" i="4"/>
  <c r="DP112" i="4"/>
  <c r="DO112" i="4"/>
  <c r="DN112" i="4"/>
  <c r="DM112" i="4"/>
  <c r="DL112" i="4"/>
  <c r="DK112" i="4"/>
  <c r="DJ112" i="4"/>
  <c r="DI112" i="4"/>
  <c r="DH112" i="4"/>
  <c r="DG112" i="4"/>
  <c r="DF112" i="4"/>
  <c r="DE112" i="4"/>
  <c r="DD112" i="4"/>
  <c r="DC112" i="4"/>
  <c r="DB112" i="4"/>
  <c r="DA112" i="4"/>
  <c r="CZ112" i="4"/>
  <c r="CY112" i="4"/>
  <c r="CX112" i="4"/>
  <c r="CW112" i="4"/>
  <c r="CV112" i="4"/>
  <c r="CU112" i="4"/>
  <c r="CT112" i="4"/>
  <c r="CS112" i="4"/>
  <c r="CR112" i="4"/>
  <c r="CQ112" i="4"/>
  <c r="CP112" i="4"/>
  <c r="CO112" i="4"/>
  <c r="CN112" i="4"/>
  <c r="CM112" i="4"/>
  <c r="CL112" i="4"/>
  <c r="CK112" i="4"/>
  <c r="CJ112" i="4"/>
  <c r="CI112" i="4"/>
  <c r="CH112" i="4"/>
  <c r="CG112" i="4"/>
  <c r="CF112" i="4"/>
  <c r="CE112" i="4"/>
  <c r="CD112" i="4"/>
  <c r="CC112" i="4"/>
  <c r="CB112" i="4"/>
  <c r="CA112" i="4"/>
  <c r="BZ112" i="4"/>
  <c r="BY112" i="4"/>
  <c r="BX112" i="4"/>
  <c r="BW112" i="4"/>
  <c r="BV112" i="4"/>
  <c r="BU112" i="4"/>
  <c r="BT112" i="4"/>
  <c r="BS112" i="4"/>
  <c r="BR112" i="4"/>
  <c r="BQ112" i="4"/>
  <c r="BP112" i="4"/>
  <c r="BO112" i="4"/>
  <c r="BN112" i="4"/>
  <c r="BM112" i="4"/>
  <c r="BL112" i="4"/>
  <c r="BK112" i="4"/>
  <c r="BJ112" i="4"/>
  <c r="BI112" i="4"/>
  <c r="BH112" i="4"/>
  <c r="BG112" i="4"/>
  <c r="BF112" i="4"/>
  <c r="BE112" i="4"/>
  <c r="BD112" i="4"/>
  <c r="BC112" i="4"/>
  <c r="BB112" i="4"/>
  <c r="BA112" i="4"/>
  <c r="AZ112" i="4"/>
  <c r="AY112" i="4"/>
  <c r="AX112" i="4"/>
  <c r="AW112" i="4"/>
  <c r="AV112" i="4"/>
  <c r="AU112" i="4"/>
  <c r="AT112" i="4"/>
  <c r="AS112" i="4"/>
  <c r="AR112" i="4"/>
  <c r="AQ112" i="4"/>
  <c r="AP112" i="4"/>
  <c r="AO112" i="4"/>
  <c r="AN112" i="4"/>
  <c r="AM112" i="4"/>
  <c r="AL112" i="4"/>
  <c r="AK112" i="4"/>
  <c r="AJ112" i="4"/>
  <c r="AI112" i="4"/>
  <c r="AH112" i="4"/>
  <c r="AG112" i="4"/>
  <c r="AF112" i="4"/>
  <c r="AE112" i="4"/>
  <c r="AD112" i="4"/>
  <c r="AC112" i="4"/>
  <c r="AB112" i="4"/>
  <c r="AA112" i="4"/>
  <c r="Z112" i="4"/>
  <c r="Y112" i="4"/>
  <c r="X112" i="4"/>
  <c r="W112" i="4"/>
  <c r="V112" i="4"/>
  <c r="U112" i="4"/>
  <c r="T112" i="4"/>
  <c r="S112" i="4"/>
  <c r="R112" i="4"/>
  <c r="Q112" i="4"/>
  <c r="P112" i="4"/>
  <c r="O112" i="4"/>
  <c r="N112" i="4"/>
  <c r="M112" i="4"/>
  <c r="L112" i="4"/>
  <c r="K112" i="4"/>
  <c r="J112" i="4"/>
  <c r="I112" i="4"/>
  <c r="G112" i="4"/>
  <c r="F112" i="4"/>
  <c r="BA110" i="4"/>
  <c r="I110" i="4"/>
  <c r="H110" i="4"/>
  <c r="G110" i="4"/>
  <c r="F110" i="4"/>
  <c r="BA109" i="4"/>
  <c r="H109" i="4"/>
  <c r="H112" i="4" s="1"/>
  <c r="G109" i="4"/>
  <c r="I109" i="4" s="1"/>
  <c r="F109" i="4"/>
  <c r="BA108" i="4"/>
  <c r="H108" i="4"/>
  <c r="F108" i="4"/>
  <c r="BA107" i="4"/>
  <c r="H107" i="4"/>
  <c r="G107" i="4"/>
  <c r="F107" i="4"/>
  <c r="I107" i="4" s="1"/>
  <c r="BA106" i="4"/>
  <c r="I106" i="4"/>
  <c r="H106" i="4"/>
  <c r="G106" i="4"/>
  <c r="F106" i="4"/>
  <c r="BA105" i="4"/>
  <c r="H105" i="4"/>
  <c r="G105" i="4"/>
  <c r="I105" i="4" s="1"/>
  <c r="F105" i="4"/>
  <c r="BA104" i="4"/>
  <c r="H104" i="4"/>
  <c r="F104" i="4"/>
  <c r="BA103" i="4"/>
  <c r="H103" i="4"/>
  <c r="G103" i="4"/>
  <c r="F103" i="4"/>
  <c r="I103" i="4" s="1"/>
  <c r="BA102" i="4"/>
  <c r="I102" i="4"/>
  <c r="H102" i="4"/>
  <c r="G102" i="4"/>
  <c r="F102" i="4"/>
  <c r="BA101" i="4"/>
  <c r="H101" i="4"/>
  <c r="G101" i="4"/>
  <c r="I101" i="4" s="1"/>
  <c r="F101" i="4"/>
  <c r="BA100" i="4"/>
  <c r="H100" i="4"/>
  <c r="F100" i="4"/>
  <c r="BA99" i="4"/>
  <c r="I99" i="4"/>
  <c r="H99" i="4"/>
  <c r="G99" i="4"/>
  <c r="F99" i="4"/>
  <c r="BA98" i="4"/>
  <c r="I98" i="4"/>
  <c r="H98" i="4"/>
  <c r="G98" i="4"/>
  <c r="F98" i="4"/>
  <c r="BA97" i="4"/>
  <c r="H97" i="4"/>
  <c r="G97" i="4"/>
  <c r="I97" i="4" s="1"/>
  <c r="F97" i="4"/>
  <c r="BA96" i="4"/>
  <c r="H96" i="4"/>
  <c r="F96" i="4"/>
  <c r="BA95" i="4"/>
  <c r="H95" i="4"/>
  <c r="G95" i="4"/>
  <c r="F95" i="4"/>
  <c r="I95" i="4" s="1"/>
  <c r="BA94" i="4"/>
  <c r="I94" i="4"/>
  <c r="H94" i="4"/>
  <c r="G94" i="4"/>
  <c r="F94" i="4"/>
  <c r="BA93" i="4"/>
  <c r="H93" i="4"/>
  <c r="G93" i="4"/>
  <c r="I93" i="4" s="1"/>
  <c r="F93" i="4"/>
  <c r="BA92" i="4"/>
  <c r="G92" i="4" s="1"/>
  <c r="I92" i="4" s="1"/>
  <c r="H92" i="4"/>
  <c r="F92" i="4"/>
  <c r="BA91" i="4"/>
  <c r="I91" i="4"/>
  <c r="H91" i="4"/>
  <c r="G91" i="4"/>
  <c r="F91" i="4"/>
  <c r="H90" i="4"/>
  <c r="I90" i="4" s="1"/>
  <c r="G90" i="4"/>
  <c r="F90" i="4"/>
  <c r="I89" i="4"/>
  <c r="H89" i="4"/>
  <c r="G89" i="4"/>
  <c r="F89" i="4"/>
  <c r="H88" i="4"/>
  <c r="G88" i="4"/>
  <c r="F88" i="4"/>
  <c r="I88" i="4" s="1"/>
  <c r="I87" i="4"/>
  <c r="H87" i="4"/>
  <c r="G87" i="4"/>
  <c r="F87" i="4"/>
  <c r="I86" i="4"/>
  <c r="H86" i="4"/>
  <c r="G86" i="4"/>
  <c r="F86" i="4"/>
  <c r="H85" i="4"/>
  <c r="G85" i="4"/>
  <c r="I85" i="4" s="1"/>
  <c r="F85" i="4"/>
  <c r="H84" i="4"/>
  <c r="G84" i="4"/>
  <c r="F84" i="4"/>
  <c r="I84" i="4" s="1"/>
  <c r="H83" i="4"/>
  <c r="I83" i="4" s="1"/>
  <c r="G83" i="4"/>
  <c r="F83" i="4"/>
  <c r="H82" i="4"/>
  <c r="G82" i="4"/>
  <c r="F82" i="4"/>
  <c r="I82" i="4" s="1"/>
  <c r="H81" i="4"/>
  <c r="G81" i="4"/>
  <c r="I81" i="4" s="1"/>
  <c r="F81" i="4"/>
  <c r="EV80" i="4"/>
  <c r="C80" i="4" s="1"/>
  <c r="H80" i="4"/>
  <c r="G80" i="4"/>
  <c r="F80" i="4"/>
  <c r="I80" i="4" s="1"/>
  <c r="I79" i="4"/>
  <c r="H79" i="4"/>
  <c r="G79" i="4"/>
  <c r="F79" i="4"/>
  <c r="H78" i="4"/>
  <c r="G78" i="4"/>
  <c r="F78" i="4"/>
  <c r="H77" i="4"/>
  <c r="G77" i="4"/>
  <c r="F77" i="4"/>
  <c r="I77" i="4" s="1"/>
  <c r="EU76" i="4"/>
  <c r="B76" i="4" s="1"/>
  <c r="H76" i="4"/>
  <c r="I76" i="4" s="1"/>
  <c r="G76" i="4"/>
  <c r="F76" i="4"/>
  <c r="EU75" i="4"/>
  <c r="I75" i="4"/>
  <c r="H75" i="4"/>
  <c r="G75" i="4"/>
  <c r="F75" i="4"/>
  <c r="B75" i="4"/>
  <c r="EU74" i="4"/>
  <c r="H74" i="4"/>
  <c r="G74" i="4"/>
  <c r="I74" i="4" s="1"/>
  <c r="F74" i="4"/>
  <c r="B74" i="4"/>
  <c r="I73" i="4"/>
  <c r="H73" i="4"/>
  <c r="G73" i="4"/>
  <c r="F73" i="4"/>
  <c r="EV72" i="4"/>
  <c r="EU72" i="4"/>
  <c r="B72" i="4" s="1"/>
  <c r="H72" i="4"/>
  <c r="G72" i="4"/>
  <c r="F72" i="4"/>
  <c r="C72" i="4"/>
  <c r="H71" i="4"/>
  <c r="I71" i="4" s="1"/>
  <c r="G71" i="4"/>
  <c r="F71" i="4"/>
  <c r="EU70" i="4"/>
  <c r="B70" i="4" s="1"/>
  <c r="I70" i="4"/>
  <c r="H70" i="4"/>
  <c r="G70" i="4"/>
  <c r="F70" i="4"/>
  <c r="EV69" i="4"/>
  <c r="C69" i="4" s="1"/>
  <c r="EU69" i="4"/>
  <c r="H69" i="4"/>
  <c r="G69" i="4"/>
  <c r="I69" i="4" s="1"/>
  <c r="F69" i="4"/>
  <c r="B69" i="4"/>
  <c r="EU68" i="4"/>
  <c r="H68" i="4"/>
  <c r="G68" i="4"/>
  <c r="F68" i="4"/>
  <c r="I68" i="4" s="1"/>
  <c r="B68" i="4"/>
  <c r="EU67" i="4"/>
  <c r="B67" i="4" s="1"/>
  <c r="H67" i="4"/>
  <c r="G67" i="4"/>
  <c r="F67" i="4"/>
  <c r="I67" i="4" s="1"/>
  <c r="EU66" i="4"/>
  <c r="B66" i="4" s="1"/>
  <c r="H66" i="4"/>
  <c r="G66" i="4"/>
  <c r="F66" i="4"/>
  <c r="I66" i="4" s="1"/>
  <c r="EU65" i="4"/>
  <c r="B65" i="4" s="1"/>
  <c r="H65" i="4"/>
  <c r="G65" i="4"/>
  <c r="I65" i="4" s="1"/>
  <c r="F65" i="4"/>
  <c r="EU64" i="4"/>
  <c r="H64" i="4"/>
  <c r="G64" i="4"/>
  <c r="F64" i="4"/>
  <c r="I64" i="4" s="1"/>
  <c r="B64" i="4"/>
  <c r="EU63" i="4"/>
  <c r="B63" i="4" s="1"/>
  <c r="H63" i="4"/>
  <c r="G63" i="4"/>
  <c r="I63" i="4" s="1"/>
  <c r="F63" i="4"/>
  <c r="H62" i="4"/>
  <c r="G62" i="4"/>
  <c r="F62" i="4"/>
  <c r="I62" i="4" s="1"/>
  <c r="H61" i="4"/>
  <c r="G61" i="4"/>
  <c r="F61" i="4"/>
  <c r="I61" i="4" s="1"/>
  <c r="H60" i="4"/>
  <c r="I60" i="4" s="1"/>
  <c r="G60" i="4"/>
  <c r="F60" i="4"/>
  <c r="EU59" i="4"/>
  <c r="H59" i="4"/>
  <c r="G59" i="4"/>
  <c r="F59" i="4"/>
  <c r="I59" i="4" s="1"/>
  <c r="B59" i="4"/>
  <c r="H58" i="4"/>
  <c r="G58" i="4"/>
  <c r="I58" i="4" s="1"/>
  <c r="F58" i="4"/>
  <c r="I57" i="4"/>
  <c r="H57" i="4"/>
  <c r="G57" i="4"/>
  <c r="F57" i="4"/>
  <c r="H56" i="4"/>
  <c r="G56" i="4"/>
  <c r="F56" i="4"/>
  <c r="H55" i="4"/>
  <c r="G55" i="4"/>
  <c r="F55" i="4"/>
  <c r="I55" i="4" s="1"/>
  <c r="D55" i="4"/>
  <c r="C55" i="4"/>
  <c r="H54" i="4"/>
  <c r="G54" i="4"/>
  <c r="I54" i="4" s="1"/>
  <c r="F54" i="4"/>
  <c r="E54" i="4"/>
  <c r="D54" i="4"/>
  <c r="C54" i="4"/>
  <c r="B54" i="4"/>
  <c r="H53" i="4"/>
  <c r="G53" i="4"/>
  <c r="F53" i="4"/>
  <c r="I53" i="4" s="1"/>
  <c r="D53" i="4"/>
  <c r="C53" i="4"/>
  <c r="E53" i="4" s="1"/>
  <c r="B53" i="4"/>
  <c r="H52" i="4"/>
  <c r="G52" i="4"/>
  <c r="I52" i="4" s="1"/>
  <c r="F52" i="4"/>
  <c r="E52" i="4"/>
  <c r="D52" i="4"/>
  <c r="C52" i="4"/>
  <c r="B52" i="4"/>
  <c r="H51" i="4"/>
  <c r="G51" i="4"/>
  <c r="F51" i="4"/>
  <c r="I51" i="4" s="1"/>
  <c r="D51" i="4"/>
  <c r="C51" i="4"/>
  <c r="B51" i="4"/>
  <c r="E51" i="4" s="1"/>
  <c r="H50" i="4"/>
  <c r="I50" i="4" s="1"/>
  <c r="G50" i="4"/>
  <c r="F50" i="4"/>
  <c r="E50" i="4"/>
  <c r="D50" i="4"/>
  <c r="C50" i="4"/>
  <c r="B50" i="4"/>
  <c r="H49" i="4"/>
  <c r="G49" i="4"/>
  <c r="F49" i="4"/>
  <c r="I49" i="4" s="1"/>
  <c r="D49" i="4"/>
  <c r="C49" i="4"/>
  <c r="B49" i="4"/>
  <c r="H48" i="4"/>
  <c r="G48" i="4"/>
  <c r="F48" i="4"/>
  <c r="I48" i="4" s="1"/>
  <c r="E48" i="4"/>
  <c r="D48" i="4"/>
  <c r="C48" i="4"/>
  <c r="B48" i="4"/>
  <c r="H47" i="4"/>
  <c r="G47" i="4"/>
  <c r="F47" i="4"/>
  <c r="D47" i="4"/>
  <c r="C47" i="4"/>
  <c r="B47" i="4"/>
  <c r="H46" i="4"/>
  <c r="G46" i="4"/>
  <c r="F46" i="4"/>
  <c r="I46" i="4" s="1"/>
  <c r="D46" i="4"/>
  <c r="E46" i="4" s="1"/>
  <c r="C46" i="4"/>
  <c r="B46" i="4"/>
  <c r="H45" i="4"/>
  <c r="G45" i="4"/>
  <c r="F45" i="4"/>
  <c r="I45" i="4" s="1"/>
  <c r="D45" i="4"/>
  <c r="C45" i="4"/>
  <c r="B45" i="4"/>
  <c r="E45" i="4" s="1"/>
  <c r="FE44" i="4"/>
  <c r="I44" i="4"/>
  <c r="H44" i="4"/>
  <c r="G44" i="4"/>
  <c r="F44" i="4"/>
  <c r="E44" i="4"/>
  <c r="D44" i="4"/>
  <c r="C44" i="4"/>
  <c r="B44" i="4"/>
  <c r="H43" i="4"/>
  <c r="G43" i="4"/>
  <c r="F43" i="4"/>
  <c r="D43" i="4"/>
  <c r="C43" i="4"/>
  <c r="B43" i="4"/>
  <c r="H42" i="4"/>
  <c r="G42" i="4"/>
  <c r="F42" i="4"/>
  <c r="I42" i="4" s="1"/>
  <c r="E42" i="4"/>
  <c r="D42" i="4"/>
  <c r="C42" i="4"/>
  <c r="B42" i="4"/>
  <c r="H41" i="4"/>
  <c r="G41" i="4"/>
  <c r="F41" i="4"/>
  <c r="D41" i="4"/>
  <c r="C41" i="4"/>
  <c r="B41" i="4"/>
  <c r="E41" i="4" s="1"/>
  <c r="H40" i="4"/>
  <c r="G40" i="4"/>
  <c r="F40" i="4"/>
  <c r="I40" i="4" s="1"/>
  <c r="E40" i="4"/>
  <c r="D40" i="4"/>
  <c r="C40" i="4"/>
  <c r="B40" i="4"/>
  <c r="H39" i="4"/>
  <c r="G39" i="4"/>
  <c r="F39" i="4"/>
  <c r="D39" i="4"/>
  <c r="C39" i="4"/>
  <c r="B39" i="4"/>
  <c r="E39" i="4" s="1"/>
  <c r="H38" i="4"/>
  <c r="I38" i="4" s="1"/>
  <c r="G38" i="4"/>
  <c r="F38" i="4"/>
  <c r="E38" i="4"/>
  <c r="D38" i="4"/>
  <c r="C38" i="4"/>
  <c r="B38" i="4"/>
  <c r="H37" i="4"/>
  <c r="G37" i="4"/>
  <c r="I37" i="4" s="1"/>
  <c r="F37" i="4"/>
  <c r="D37" i="4"/>
  <c r="C37" i="4"/>
  <c r="B37" i="4"/>
  <c r="H36" i="4"/>
  <c r="G36" i="4"/>
  <c r="F36" i="4"/>
  <c r="I36" i="4" s="1"/>
  <c r="E36" i="4"/>
  <c r="D36" i="4"/>
  <c r="C36" i="4"/>
  <c r="B36" i="4"/>
  <c r="H35" i="4"/>
  <c r="G35" i="4"/>
  <c r="F35" i="4"/>
  <c r="D35" i="4"/>
  <c r="C35" i="4"/>
  <c r="B35" i="4"/>
  <c r="E35" i="4" s="1"/>
  <c r="H34" i="4"/>
  <c r="G34" i="4"/>
  <c r="I34" i="4" s="1"/>
  <c r="F34" i="4"/>
  <c r="E34" i="4"/>
  <c r="D34" i="4"/>
  <c r="C34" i="4"/>
  <c r="B34" i="4"/>
  <c r="H33" i="4"/>
  <c r="G33" i="4"/>
  <c r="I33" i="4" s="1"/>
  <c r="F33" i="4"/>
  <c r="D33" i="4"/>
  <c r="C33" i="4"/>
  <c r="B33" i="4"/>
  <c r="E33" i="4" s="1"/>
  <c r="H32" i="4"/>
  <c r="G32" i="4"/>
  <c r="I32" i="4" s="1"/>
  <c r="F32" i="4"/>
  <c r="E32" i="4"/>
  <c r="D32" i="4"/>
  <c r="C32" i="4"/>
  <c r="B32" i="4"/>
  <c r="H31" i="4"/>
  <c r="G31" i="4"/>
  <c r="F31" i="4"/>
  <c r="D31" i="4"/>
  <c r="C31" i="4"/>
  <c r="B31" i="4"/>
  <c r="H30" i="4"/>
  <c r="G30" i="4"/>
  <c r="F30" i="4"/>
  <c r="I30" i="4" s="1"/>
  <c r="E30" i="4"/>
  <c r="D30" i="4"/>
  <c r="C30" i="4"/>
  <c r="B30" i="4"/>
  <c r="H29" i="4"/>
  <c r="G29" i="4"/>
  <c r="I29" i="4" s="1"/>
  <c r="F29" i="4"/>
  <c r="D29" i="4"/>
  <c r="C29" i="4"/>
  <c r="B29" i="4"/>
  <c r="E29" i="4" s="1"/>
  <c r="H28" i="4"/>
  <c r="G28" i="4"/>
  <c r="F28" i="4"/>
  <c r="I28" i="4" s="1"/>
  <c r="D28" i="4"/>
  <c r="C28" i="4"/>
  <c r="E28" i="4" s="1"/>
  <c r="B28" i="4"/>
  <c r="H27" i="4"/>
  <c r="G27" i="4"/>
  <c r="F27" i="4"/>
  <c r="D27" i="4"/>
  <c r="C27" i="4"/>
  <c r="B27" i="4"/>
  <c r="H26" i="4"/>
  <c r="G26" i="4"/>
  <c r="F26" i="4"/>
  <c r="I26" i="4" s="1"/>
  <c r="D26" i="4"/>
  <c r="C26" i="4"/>
  <c r="B26" i="4"/>
  <c r="E26" i="4" s="1"/>
  <c r="H25" i="4"/>
  <c r="G25" i="4"/>
  <c r="F25" i="4"/>
  <c r="I25" i="4" s="1"/>
  <c r="D25" i="4"/>
  <c r="C25" i="4"/>
  <c r="B25" i="4"/>
  <c r="E25" i="4" s="1"/>
  <c r="H24" i="4"/>
  <c r="G24" i="4"/>
  <c r="F24" i="4"/>
  <c r="I24" i="4" s="1"/>
  <c r="D24" i="4"/>
  <c r="C24" i="4"/>
  <c r="B24" i="4"/>
  <c r="E24" i="4" s="1"/>
  <c r="H23" i="4"/>
  <c r="G23" i="4"/>
  <c r="F23" i="4"/>
  <c r="I23" i="4" s="1"/>
  <c r="D23" i="4"/>
  <c r="C23" i="4"/>
  <c r="B23" i="4"/>
  <c r="H22" i="4"/>
  <c r="I22" i="4" s="1"/>
  <c r="G22" i="4"/>
  <c r="F22" i="4"/>
  <c r="D22" i="4"/>
  <c r="C22" i="4"/>
  <c r="B22" i="4"/>
  <c r="E22" i="4" s="1"/>
  <c r="H21" i="4"/>
  <c r="G21" i="4"/>
  <c r="F21" i="4"/>
  <c r="I21" i="4" s="1"/>
  <c r="D21" i="4"/>
  <c r="C21" i="4"/>
  <c r="B21" i="4"/>
  <c r="H20" i="4"/>
  <c r="G20" i="4"/>
  <c r="F20" i="4"/>
  <c r="I20" i="4" s="1"/>
  <c r="D20" i="4"/>
  <c r="C20" i="4"/>
  <c r="B20" i="4"/>
  <c r="E20" i="4" s="1"/>
  <c r="H19" i="4"/>
  <c r="G19" i="4"/>
  <c r="F19" i="4"/>
  <c r="D19" i="4"/>
  <c r="C19" i="4"/>
  <c r="B19" i="4"/>
  <c r="H18" i="4"/>
  <c r="G18" i="4"/>
  <c r="I18" i="4" s="1"/>
  <c r="F18" i="4"/>
  <c r="E18" i="4"/>
  <c r="D18" i="4"/>
  <c r="C18" i="4"/>
  <c r="B18" i="4"/>
  <c r="H17" i="4"/>
  <c r="G17" i="4"/>
  <c r="F17" i="4"/>
  <c r="D17" i="4"/>
  <c r="C17" i="4"/>
  <c r="B17" i="4"/>
  <c r="E17" i="4" s="1"/>
  <c r="H16" i="4"/>
  <c r="G16" i="4"/>
  <c r="I16" i="4" s="1"/>
  <c r="F16" i="4"/>
  <c r="D16" i="4"/>
  <c r="C16" i="4"/>
  <c r="B16" i="4"/>
  <c r="E16" i="4" s="1"/>
  <c r="H15" i="4"/>
  <c r="G15" i="4"/>
  <c r="F15" i="4"/>
  <c r="D15" i="4"/>
  <c r="C15" i="4"/>
  <c r="B15" i="4"/>
  <c r="H14" i="4"/>
  <c r="G14" i="4"/>
  <c r="F14" i="4"/>
  <c r="I14" i="4" s="1"/>
  <c r="D14" i="4"/>
  <c r="C14" i="4"/>
  <c r="E14" i="4" s="1"/>
  <c r="B14" i="4"/>
  <c r="H13" i="4"/>
  <c r="G13" i="4"/>
  <c r="F13" i="4"/>
  <c r="D13" i="4"/>
  <c r="C13" i="4"/>
  <c r="B13" i="4"/>
  <c r="E13" i="4" s="1"/>
  <c r="H12" i="4"/>
  <c r="G12" i="4"/>
  <c r="F12" i="4"/>
  <c r="I12" i="4" s="1"/>
  <c r="D12" i="4"/>
  <c r="C12" i="4"/>
  <c r="E12" i="4" s="1"/>
  <c r="B12" i="4"/>
  <c r="H11" i="4"/>
  <c r="G11" i="4"/>
  <c r="F11" i="4"/>
  <c r="D11" i="4"/>
  <c r="C11" i="4"/>
  <c r="B11" i="4"/>
  <c r="H10" i="4"/>
  <c r="G10" i="4"/>
  <c r="F10" i="4"/>
  <c r="I10" i="4" s="1"/>
  <c r="D10" i="4"/>
  <c r="C10" i="4"/>
  <c r="B10" i="4"/>
  <c r="E10" i="4" s="1"/>
  <c r="H9" i="4"/>
  <c r="G9" i="4"/>
  <c r="F9" i="4"/>
  <c r="I9" i="4" s="1"/>
  <c r="D9" i="4"/>
  <c r="C9" i="4"/>
  <c r="B9" i="4"/>
  <c r="E9" i="4" s="1"/>
  <c r="H8" i="4"/>
  <c r="G8" i="4"/>
  <c r="F8" i="4"/>
  <c r="I8" i="4" s="1"/>
  <c r="D8" i="4"/>
  <c r="C8" i="4"/>
  <c r="B8" i="4"/>
  <c r="E8" i="4" s="1"/>
  <c r="H7" i="4"/>
  <c r="G7" i="4"/>
  <c r="F7" i="4"/>
  <c r="I7" i="4" s="1"/>
  <c r="D7" i="4"/>
  <c r="C7" i="4"/>
  <c r="B7" i="4"/>
  <c r="H6" i="4"/>
  <c r="I6" i="4" s="1"/>
  <c r="G6" i="4"/>
  <c r="F6" i="4"/>
  <c r="D6" i="4"/>
  <c r="C6" i="4"/>
  <c r="B6" i="4"/>
  <c r="E6" i="4" s="1"/>
  <c r="DS205" i="3"/>
  <c r="DR205" i="3"/>
  <c r="DT204" i="3"/>
  <c r="DS204" i="3"/>
  <c r="DR204" i="3"/>
  <c r="DQ205" i="3" s="1"/>
  <c r="DQ204" i="3"/>
  <c r="DS203" i="3"/>
  <c r="DT203" i="3" s="1"/>
  <c r="DR203" i="3"/>
  <c r="DQ203" i="3" s="1"/>
  <c r="AT203" i="3"/>
  <c r="DS202" i="3"/>
  <c r="DR202" i="3"/>
  <c r="DQ202" i="3" s="1"/>
  <c r="DT201" i="3"/>
  <c r="DS201" i="3"/>
  <c r="DR201" i="3"/>
  <c r="DQ201" i="3"/>
  <c r="DS200" i="3"/>
  <c r="DT200" i="3" s="1"/>
  <c r="DR200" i="3"/>
  <c r="DQ200" i="3" s="1"/>
  <c r="DS199" i="3"/>
  <c r="DR199" i="3"/>
  <c r="DQ199" i="3"/>
  <c r="DS198" i="3"/>
  <c r="DT198" i="3" s="1"/>
  <c r="DR198" i="3"/>
  <c r="DQ198" i="3"/>
  <c r="DS197" i="3"/>
  <c r="DT197" i="3" s="1"/>
  <c r="DR197" i="3"/>
  <c r="DQ197" i="3" s="1"/>
  <c r="DT196" i="3"/>
  <c r="DS196" i="3"/>
  <c r="DR196" i="3"/>
  <c r="DQ196" i="3"/>
  <c r="DS195" i="3"/>
  <c r="DT195" i="3" s="1"/>
  <c r="DR195" i="3"/>
  <c r="DQ195" i="3" s="1"/>
  <c r="AT195" i="3"/>
  <c r="DS194" i="3"/>
  <c r="DT194" i="3" s="1"/>
  <c r="DR194" i="3"/>
  <c r="DQ194" i="3"/>
  <c r="DT193" i="3"/>
  <c r="DS193" i="3"/>
  <c r="DR193" i="3"/>
  <c r="DQ193" i="3"/>
  <c r="DT192" i="3"/>
  <c r="DS192" i="3"/>
  <c r="DR192" i="3"/>
  <c r="DQ192" i="3" s="1"/>
  <c r="DS191" i="3"/>
  <c r="DT191" i="3" s="1"/>
  <c r="DR191" i="3"/>
  <c r="DS190" i="3"/>
  <c r="DT190" i="3" s="1"/>
  <c r="DR190" i="3"/>
  <c r="DS189" i="3"/>
  <c r="DT189" i="3" s="1"/>
  <c r="DR189" i="3"/>
  <c r="DQ189" i="3" s="1"/>
  <c r="DS188" i="3"/>
  <c r="DT188" i="3" s="1"/>
  <c r="DR188" i="3"/>
  <c r="DQ188" i="3"/>
  <c r="DT187" i="3"/>
  <c r="DS187" i="3"/>
  <c r="DR187" i="3"/>
  <c r="DS186" i="3"/>
  <c r="DT186" i="3" s="1"/>
  <c r="DR186" i="3"/>
  <c r="DS185" i="3"/>
  <c r="DT185" i="3" s="1"/>
  <c r="DR185" i="3"/>
  <c r="DQ185" i="3" s="1"/>
  <c r="DS184" i="3"/>
  <c r="DT184" i="3" s="1"/>
  <c r="DR184" i="3"/>
  <c r="DQ184" i="3"/>
  <c r="DT183" i="3"/>
  <c r="DQ183" i="3"/>
  <c r="DT182" i="3"/>
  <c r="DQ182" i="3"/>
  <c r="DT181" i="3"/>
  <c r="DQ181" i="3"/>
  <c r="DT180" i="3"/>
  <c r="DQ180" i="3"/>
  <c r="DT179" i="3"/>
  <c r="DQ179" i="3"/>
  <c r="DT178" i="3"/>
  <c r="DQ178" i="3"/>
  <c r="DT177" i="3"/>
  <c r="DQ177" i="3"/>
  <c r="DT176" i="3"/>
  <c r="DQ176" i="3"/>
  <c r="W176" i="3"/>
  <c r="DT175" i="3"/>
  <c r="DQ175" i="3"/>
  <c r="DK175" i="3"/>
  <c r="DT174" i="3"/>
  <c r="DQ174" i="3"/>
  <c r="DT173" i="3"/>
  <c r="DQ173" i="3"/>
  <c r="DT172" i="3"/>
  <c r="DQ172" i="3"/>
  <c r="DT171" i="3"/>
  <c r="DQ171" i="3"/>
  <c r="DJ171" i="3"/>
  <c r="DI171" i="3"/>
  <c r="DT170" i="3"/>
  <c r="DQ170" i="3"/>
  <c r="DJ170" i="3"/>
  <c r="DI170" i="3" s="1"/>
  <c r="DT169" i="3"/>
  <c r="DQ169" i="3"/>
  <c r="DJ169" i="3"/>
  <c r="DT168" i="3"/>
  <c r="DQ168" i="3"/>
  <c r="AT168" i="3"/>
  <c r="AU168" i="3" s="1"/>
  <c r="DT167" i="3"/>
  <c r="DQ167" i="3"/>
  <c r="DK167" i="3"/>
  <c r="DJ167" i="3"/>
  <c r="AU167" i="3"/>
  <c r="AT167" i="3"/>
  <c r="DT166" i="3"/>
  <c r="DQ166" i="3"/>
  <c r="AT166" i="3"/>
  <c r="AU166" i="3" s="1"/>
  <c r="DT165" i="3"/>
  <c r="DQ165" i="3"/>
  <c r="DJ165" i="3"/>
  <c r="DI165" i="3"/>
  <c r="AU165" i="3"/>
  <c r="AT165" i="3"/>
  <c r="DT164" i="3"/>
  <c r="DQ164" i="3"/>
  <c r="DK164" i="3"/>
  <c r="DJ164" i="3"/>
  <c r="DI164" i="3" s="1"/>
  <c r="AU164" i="3"/>
  <c r="AT164" i="3"/>
  <c r="DT163" i="3"/>
  <c r="DQ163" i="3"/>
  <c r="DJ163" i="3"/>
  <c r="DI163" i="3"/>
  <c r="AT163" i="3"/>
  <c r="DT162" i="3"/>
  <c r="DQ162" i="3"/>
  <c r="DJ162" i="3"/>
  <c r="DI162" i="3" s="1"/>
  <c r="AT162" i="3"/>
  <c r="AU162" i="3" s="1"/>
  <c r="DT161" i="3"/>
  <c r="DQ161" i="3"/>
  <c r="DJ161" i="3"/>
  <c r="DI161" i="3"/>
  <c r="AT161" i="3"/>
  <c r="DT160" i="3"/>
  <c r="DJ160" i="3"/>
  <c r="DI160" i="3" s="1"/>
  <c r="AT160" i="3"/>
  <c r="DS159" i="3"/>
  <c r="DT159" i="3" s="1"/>
  <c r="DR159" i="3"/>
  <c r="DQ159" i="3" s="1"/>
  <c r="DJ159" i="3"/>
  <c r="DI159" i="3" s="1"/>
  <c r="AT159" i="3"/>
  <c r="AU159" i="3" s="1"/>
  <c r="DS158" i="3"/>
  <c r="DR158" i="3"/>
  <c r="DJ158" i="3"/>
  <c r="AT158" i="3"/>
  <c r="S152" i="3"/>
  <c r="Q152" i="3"/>
  <c r="N152" i="3"/>
  <c r="S150" i="3"/>
  <c r="Q150" i="3"/>
  <c r="N150" i="3" s="1"/>
  <c r="A135" i="3"/>
  <c r="DY114" i="3"/>
  <c r="DY116" i="3" s="1"/>
  <c r="DT114" i="3"/>
  <c r="DT116" i="3" s="1"/>
  <c r="DO114" i="3"/>
  <c r="DO116" i="3" s="1"/>
  <c r="DE114" i="3"/>
  <c r="DE116" i="3" s="1"/>
  <c r="CZ114" i="3"/>
  <c r="CZ116" i="3" s="1"/>
  <c r="CT114" i="3"/>
  <c r="CT116" i="3" s="1"/>
  <c r="CP114" i="3"/>
  <c r="CP116" i="3" s="1"/>
  <c r="CM114" i="3"/>
  <c r="CM116" i="3" s="1"/>
  <c r="CH114" i="3"/>
  <c r="CH116" i="3" s="1"/>
  <c r="CC114" i="3"/>
  <c r="CC116" i="3" s="1"/>
  <c r="BY114" i="3"/>
  <c r="BY116" i="3" s="1"/>
  <c r="BT114" i="3"/>
  <c r="BT116" i="3" s="1"/>
  <c r="BI114" i="3"/>
  <c r="BI116" i="3" s="1"/>
  <c r="BD114" i="3"/>
  <c r="BD116" i="3" s="1"/>
  <c r="AZ114" i="3"/>
  <c r="AZ116" i="3" s="1"/>
  <c r="AV114" i="3"/>
  <c r="AV116" i="3" s="1"/>
  <c r="AK114" i="3"/>
  <c r="AK116" i="3" s="1"/>
  <c r="AE114" i="3"/>
  <c r="AE116" i="3" s="1"/>
  <c r="Z114" i="3"/>
  <c r="Z116" i="3" s="1"/>
  <c r="U114" i="3"/>
  <c r="U116" i="3" s="1"/>
  <c r="O114" i="3"/>
  <c r="O116" i="3" s="1"/>
  <c r="L114" i="3"/>
  <c r="L116" i="3" s="1"/>
  <c r="I114" i="3"/>
  <c r="I116" i="3" s="1"/>
  <c r="DY113" i="3"/>
  <c r="DT113" i="3"/>
  <c r="DO113" i="3"/>
  <c r="DE113" i="3"/>
  <c r="CZ113" i="3"/>
  <c r="CT113" i="3"/>
  <c r="CP113" i="3"/>
  <c r="CM113" i="3"/>
  <c r="CH113" i="3"/>
  <c r="CC113" i="3"/>
  <c r="BY113" i="3"/>
  <c r="BT113" i="3"/>
  <c r="BI113" i="3"/>
  <c r="BD113" i="3"/>
  <c r="AZ113" i="3"/>
  <c r="AV113" i="3"/>
  <c r="AK113" i="3"/>
  <c r="AE113" i="3"/>
  <c r="Z113" i="3"/>
  <c r="U113" i="3"/>
  <c r="O113" i="3"/>
  <c r="L113" i="3"/>
  <c r="I113" i="3"/>
  <c r="EC112" i="3"/>
  <c r="EB112" i="3"/>
  <c r="EA112" i="3"/>
  <c r="DZ112" i="3"/>
  <c r="DY112" i="3"/>
  <c r="DX112" i="3"/>
  <c r="DW112" i="3"/>
  <c r="DV112" i="3"/>
  <c r="DU112" i="3"/>
  <c r="DT112" i="3"/>
  <c r="DS112" i="3"/>
  <c r="DR112" i="3"/>
  <c r="DQ112" i="3"/>
  <c r="DP112" i="3"/>
  <c r="DO112" i="3"/>
  <c r="DN112" i="3"/>
  <c r="DM112" i="3"/>
  <c r="DL112" i="3"/>
  <c r="DK112" i="3"/>
  <c r="DH112" i="3"/>
  <c r="DG112" i="3"/>
  <c r="DF112" i="3"/>
  <c r="DE112" i="3"/>
  <c r="DD112" i="3"/>
  <c r="DC112" i="3"/>
  <c r="DB112" i="3"/>
  <c r="DA112" i="3"/>
  <c r="CZ112" i="3"/>
  <c r="CY112" i="3"/>
  <c r="CX112" i="3"/>
  <c r="CW112" i="3"/>
  <c r="CV112" i="3"/>
  <c r="CU112" i="3"/>
  <c r="CT112" i="3"/>
  <c r="CS112" i="3"/>
  <c r="CR112" i="3"/>
  <c r="CQ112" i="3"/>
  <c r="CP112" i="3"/>
  <c r="CO112" i="3"/>
  <c r="CN112" i="3"/>
  <c r="CM112" i="3"/>
  <c r="CL112" i="3"/>
  <c r="CK112" i="3"/>
  <c r="CJ112" i="3"/>
  <c r="CI112" i="3"/>
  <c r="CH112" i="3"/>
  <c r="CG112" i="3"/>
  <c r="CF112" i="3"/>
  <c r="CE112" i="3"/>
  <c r="CD112" i="3"/>
  <c r="CC112" i="3"/>
  <c r="CB112" i="3"/>
  <c r="CA112" i="3"/>
  <c r="BZ112" i="3"/>
  <c r="BY112" i="3"/>
  <c r="BX112" i="3"/>
  <c r="BW112" i="3"/>
  <c r="BV112" i="3"/>
  <c r="BU112" i="3"/>
  <c r="BT112" i="3"/>
  <c r="BS112" i="3"/>
  <c r="BR112" i="3"/>
  <c r="BQ112" i="3"/>
  <c r="BP112" i="3"/>
  <c r="BO112" i="3"/>
  <c r="BM112" i="3"/>
  <c r="BL112" i="3"/>
  <c r="BK112" i="3"/>
  <c r="BJ112" i="3"/>
  <c r="BI112" i="3"/>
  <c r="BH112" i="3"/>
  <c r="BG112" i="3"/>
  <c r="BF112" i="3"/>
  <c r="BE112" i="3"/>
  <c r="BD112" i="3"/>
  <c r="BC112" i="3"/>
  <c r="BB112" i="3"/>
  <c r="BA112" i="3"/>
  <c r="AZ112" i="3"/>
  <c r="AY112" i="3"/>
  <c r="AX112" i="3"/>
  <c r="AW112" i="3"/>
  <c r="AV112" i="3"/>
  <c r="AU112" i="3"/>
  <c r="AT112" i="3"/>
  <c r="AS112" i="3"/>
  <c r="AR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G110" i="3"/>
  <c r="F110" i="3"/>
  <c r="D110" i="3"/>
  <c r="EW110" i="4" s="1"/>
  <c r="D110" i="4" s="1"/>
  <c r="AQ109" i="3"/>
  <c r="H109" i="3"/>
  <c r="G109" i="3"/>
  <c r="F109" i="3"/>
  <c r="F112" i="3" s="1"/>
  <c r="D109" i="3"/>
  <c r="EW109" i="4" s="1"/>
  <c r="D109" i="4" s="1"/>
  <c r="AQ108" i="3"/>
  <c r="U108" i="3"/>
  <c r="H108" i="3"/>
  <c r="G108" i="3"/>
  <c r="F108" i="3"/>
  <c r="D108" i="3"/>
  <c r="EW108" i="4" s="1"/>
  <c r="D108" i="4" s="1"/>
  <c r="AQ107" i="3"/>
  <c r="U107" i="3"/>
  <c r="H107" i="3"/>
  <c r="G107" i="3"/>
  <c r="F107" i="3"/>
  <c r="D107" i="3"/>
  <c r="EW107" i="4" s="1"/>
  <c r="D107" i="4" s="1"/>
  <c r="AQ106" i="3"/>
  <c r="AT201" i="3" s="1"/>
  <c r="AU201" i="3" s="1"/>
  <c r="H106" i="3"/>
  <c r="G106" i="3"/>
  <c r="F106" i="3"/>
  <c r="D106" i="3"/>
  <c r="EW106" i="4" s="1"/>
  <c r="D106" i="4" s="1"/>
  <c r="AQ105" i="3"/>
  <c r="AT200" i="3" s="1"/>
  <c r="H105" i="3"/>
  <c r="G105" i="3"/>
  <c r="F105" i="3"/>
  <c r="D105" i="3"/>
  <c r="EW105" i="4" s="1"/>
  <c r="D105" i="4" s="1"/>
  <c r="AQ104" i="3"/>
  <c r="AT199" i="3" s="1"/>
  <c r="AU199" i="3" s="1"/>
  <c r="H104" i="3"/>
  <c r="G104" i="3"/>
  <c r="F104" i="3"/>
  <c r="D104" i="3"/>
  <c r="EW104" i="4" s="1"/>
  <c r="D104" i="4" s="1"/>
  <c r="AQ103" i="3"/>
  <c r="AT198" i="3" s="1"/>
  <c r="H103" i="3"/>
  <c r="G103" i="3"/>
  <c r="F103" i="3"/>
  <c r="D103" i="3"/>
  <c r="EW103" i="4" s="1"/>
  <c r="D103" i="4" s="1"/>
  <c r="AQ102" i="3"/>
  <c r="AT197" i="3" s="1"/>
  <c r="H102" i="3"/>
  <c r="G102" i="3"/>
  <c r="F102" i="3"/>
  <c r="D102" i="3"/>
  <c r="EW102" i="4" s="1"/>
  <c r="D102" i="4" s="1"/>
  <c r="AQ101" i="3"/>
  <c r="AT196" i="3" s="1"/>
  <c r="AU196" i="3" s="1"/>
  <c r="H101" i="3"/>
  <c r="G101" i="3"/>
  <c r="F101" i="3"/>
  <c r="D101" i="3"/>
  <c r="EW101" i="4" s="1"/>
  <c r="D101" i="4" s="1"/>
  <c r="AQ100" i="3"/>
  <c r="H100" i="3"/>
  <c r="G100" i="3"/>
  <c r="F100" i="3"/>
  <c r="D100" i="3"/>
  <c r="EW100" i="4" s="1"/>
  <c r="D100" i="4" s="1"/>
  <c r="AQ99" i="3"/>
  <c r="H99" i="3"/>
  <c r="G99" i="3"/>
  <c r="F99" i="3"/>
  <c r="D99" i="3"/>
  <c r="EW99" i="4" s="1"/>
  <c r="D99" i="4" s="1"/>
  <c r="AQ98" i="3"/>
  <c r="AT193" i="3" s="1"/>
  <c r="H98" i="3"/>
  <c r="G98" i="3"/>
  <c r="F98" i="3"/>
  <c r="D98" i="3"/>
  <c r="EW98" i="4" s="1"/>
  <c r="D98" i="4" s="1"/>
  <c r="AQ97" i="3"/>
  <c r="AT192" i="3" s="1"/>
  <c r="AU192" i="3" s="1"/>
  <c r="H97" i="3"/>
  <c r="G97" i="3"/>
  <c r="F97" i="3"/>
  <c r="D97" i="3"/>
  <c r="EW97" i="4" s="1"/>
  <c r="D97" i="4" s="1"/>
  <c r="AQ96" i="3"/>
  <c r="AT191" i="3" s="1"/>
  <c r="H96" i="3"/>
  <c r="G96" i="3"/>
  <c r="F96" i="3"/>
  <c r="D96" i="3"/>
  <c r="EW96" i="4" s="1"/>
  <c r="D96" i="4" s="1"/>
  <c r="AQ95" i="3"/>
  <c r="H95" i="3"/>
  <c r="G95" i="3"/>
  <c r="F95" i="3"/>
  <c r="D95" i="3"/>
  <c r="EW95" i="4" s="1"/>
  <c r="D95" i="4" s="1"/>
  <c r="AQ94" i="3"/>
  <c r="AT189" i="3" s="1"/>
  <c r="AU189" i="3" s="1"/>
  <c r="G94" i="3"/>
  <c r="F94" i="3"/>
  <c r="D94" i="3"/>
  <c r="EW94" i="4" s="1"/>
  <c r="D94" i="4" s="1"/>
  <c r="AQ93" i="3"/>
  <c r="AT188" i="3" s="1"/>
  <c r="H93" i="3"/>
  <c r="G93" i="3"/>
  <c r="F93" i="3"/>
  <c r="D93" i="3"/>
  <c r="EW93" i="4" s="1"/>
  <c r="D93" i="4" s="1"/>
  <c r="AQ92" i="3"/>
  <c r="AT187" i="3" s="1"/>
  <c r="AU187" i="3" s="1"/>
  <c r="H92" i="3"/>
  <c r="G92" i="3"/>
  <c r="F92" i="3"/>
  <c r="D92" i="3"/>
  <c r="EW92" i="4" s="1"/>
  <c r="D92" i="4" s="1"/>
  <c r="AQ91" i="3"/>
  <c r="AT186" i="3" s="1"/>
  <c r="H91" i="3"/>
  <c r="G91" i="3"/>
  <c r="F91" i="3"/>
  <c r="D91" i="3"/>
  <c r="EW91" i="4" s="1"/>
  <c r="D91" i="4" s="1"/>
  <c r="AQ90" i="3"/>
  <c r="AT185" i="3" s="1"/>
  <c r="AU185" i="3" s="1"/>
  <c r="H90" i="3"/>
  <c r="G90" i="3"/>
  <c r="F90" i="3"/>
  <c r="D90" i="3"/>
  <c r="EW90" i="4" s="1"/>
  <c r="D90" i="4" s="1"/>
  <c r="AQ89" i="3"/>
  <c r="AT184" i="3" s="1"/>
  <c r="H89" i="3"/>
  <c r="G89" i="3"/>
  <c r="F89" i="3"/>
  <c r="D89" i="3"/>
  <c r="EW89" i="4" s="1"/>
  <c r="D89" i="4" s="1"/>
  <c r="AQ88" i="3"/>
  <c r="AT183" i="3" s="1"/>
  <c r="AU183" i="3" s="1"/>
  <c r="H88" i="3"/>
  <c r="G88" i="3"/>
  <c r="F88" i="3"/>
  <c r="D88" i="3"/>
  <c r="EW88" i="4" s="1"/>
  <c r="D88" i="4" s="1"/>
  <c r="AQ87" i="3"/>
  <c r="AT182" i="3" s="1"/>
  <c r="H87" i="3"/>
  <c r="G87" i="3"/>
  <c r="F87" i="3"/>
  <c r="D87" i="3"/>
  <c r="EW87" i="4" s="1"/>
  <c r="D87" i="4" s="1"/>
  <c r="AQ86" i="3"/>
  <c r="AT181" i="3" s="1"/>
  <c r="AU181" i="3" s="1"/>
  <c r="H86" i="3"/>
  <c r="G86" i="3"/>
  <c r="F86" i="3"/>
  <c r="D86" i="3"/>
  <c r="EW86" i="4" s="1"/>
  <c r="D86" i="4" s="1"/>
  <c r="AQ85" i="3"/>
  <c r="AT180" i="3" s="1"/>
  <c r="H85" i="3"/>
  <c r="G85" i="3"/>
  <c r="F85" i="3"/>
  <c r="D85" i="3"/>
  <c r="EW85" i="4" s="1"/>
  <c r="D85" i="4" s="1"/>
  <c r="AQ84" i="3"/>
  <c r="H84" i="3"/>
  <c r="G84" i="3"/>
  <c r="F84" i="3"/>
  <c r="D84" i="3"/>
  <c r="EW84" i="4" s="1"/>
  <c r="D84" i="4" s="1"/>
  <c r="AQ83" i="3"/>
  <c r="AT178" i="3" s="1"/>
  <c r="H83" i="3"/>
  <c r="G83" i="3"/>
  <c r="F83" i="3"/>
  <c r="D83" i="3"/>
  <c r="EW83" i="4" s="1"/>
  <c r="D83" i="4" s="1"/>
  <c r="AQ82" i="3"/>
  <c r="H82" i="3"/>
  <c r="G82" i="3"/>
  <c r="F82" i="3"/>
  <c r="D82" i="3"/>
  <c r="EW82" i="4" s="1"/>
  <c r="D82" i="4" s="1"/>
  <c r="AQ81" i="3"/>
  <c r="AT176" i="3" s="1"/>
  <c r="AU176" i="3" s="1"/>
  <c r="H81" i="3"/>
  <c r="G81" i="3"/>
  <c r="F81" i="3"/>
  <c r="D81" i="3"/>
  <c r="EW81" i="4" s="1"/>
  <c r="D81" i="4" s="1"/>
  <c r="AQ80" i="3"/>
  <c r="AT175" i="3" s="1"/>
  <c r="H80" i="3"/>
  <c r="G80" i="3"/>
  <c r="F80" i="3"/>
  <c r="D80" i="3"/>
  <c r="EW80" i="4" s="1"/>
  <c r="D80" i="4" s="1"/>
  <c r="AQ79" i="3"/>
  <c r="H79" i="3"/>
  <c r="G79" i="3"/>
  <c r="F79" i="3"/>
  <c r="D79" i="3"/>
  <c r="EW79" i="4" s="1"/>
  <c r="D79" i="4" s="1"/>
  <c r="AQ78" i="3"/>
  <c r="AT173" i="3" s="1"/>
  <c r="H78" i="3"/>
  <c r="G78" i="3"/>
  <c r="F78" i="3"/>
  <c r="D78" i="3"/>
  <c r="EW78" i="4" s="1"/>
  <c r="D78" i="4" s="1"/>
  <c r="AQ77" i="3"/>
  <c r="AT172" i="3" s="1"/>
  <c r="H77" i="3"/>
  <c r="G77" i="3"/>
  <c r="F77" i="3"/>
  <c r="D77" i="3"/>
  <c r="EW77" i="4" s="1"/>
  <c r="D77" i="4" s="1"/>
  <c r="AQ76" i="3"/>
  <c r="H76" i="3"/>
  <c r="G76" i="3"/>
  <c r="F76" i="3"/>
  <c r="D76" i="3"/>
  <c r="EW76" i="4" s="1"/>
  <c r="D76" i="4" s="1"/>
  <c r="AQ75" i="3"/>
  <c r="H75" i="3"/>
  <c r="G75" i="3"/>
  <c r="F75" i="3"/>
  <c r="D75" i="3"/>
  <c r="EW75" i="4" s="1"/>
  <c r="D75" i="4" s="1"/>
  <c r="AQ74" i="3"/>
  <c r="AT169" i="3" s="1"/>
  <c r="AU169" i="3" s="1"/>
  <c r="H74" i="3"/>
  <c r="G74" i="3"/>
  <c r="F74" i="3"/>
  <c r="D74" i="3"/>
  <c r="EW74" i="4" s="1"/>
  <c r="D74" i="4" s="1"/>
  <c r="DJ73" i="3"/>
  <c r="BN73" i="3"/>
  <c r="BN74" i="3" s="1"/>
  <c r="BN75" i="3" s="1"/>
  <c r="BN76" i="3" s="1"/>
  <c r="BN77" i="3" s="1"/>
  <c r="BN78" i="3" s="1"/>
  <c r="BN79" i="3" s="1"/>
  <c r="BN80" i="3" s="1"/>
  <c r="BN81" i="3" s="1"/>
  <c r="BN82" i="3" s="1"/>
  <c r="BN83" i="3" s="1"/>
  <c r="BN84" i="3" s="1"/>
  <c r="BN85" i="3" s="1"/>
  <c r="BN86" i="3" s="1"/>
  <c r="BN87" i="3" s="1"/>
  <c r="BN88" i="3" s="1"/>
  <c r="BN89" i="3" s="1"/>
  <c r="BN90" i="3" s="1"/>
  <c r="BN91" i="3" s="1"/>
  <c r="BN92" i="3" s="1"/>
  <c r="BN93" i="3" s="1"/>
  <c r="BN94" i="3" s="1"/>
  <c r="BN95" i="3" s="1"/>
  <c r="BN96" i="3" s="1"/>
  <c r="BN97" i="3" s="1"/>
  <c r="BN98" i="3" s="1"/>
  <c r="BN99" i="3" s="1"/>
  <c r="BN100" i="3" s="1"/>
  <c r="BN101" i="3" s="1"/>
  <c r="BN102" i="3" s="1"/>
  <c r="BN103" i="3" s="1"/>
  <c r="BN104" i="3" s="1"/>
  <c r="BN105" i="3" s="1"/>
  <c r="BN106" i="3" s="1"/>
  <c r="BN107" i="3" s="1"/>
  <c r="BN108" i="3" s="1"/>
  <c r="BN109" i="3" s="1"/>
  <c r="BN110" i="3" s="1"/>
  <c r="H73" i="3"/>
  <c r="G73" i="3"/>
  <c r="F73" i="3"/>
  <c r="D73" i="3"/>
  <c r="EW73" i="4" s="1"/>
  <c r="D73" i="4" s="1"/>
  <c r="H72" i="3"/>
  <c r="G72" i="3"/>
  <c r="F72" i="3"/>
  <c r="E72" i="3"/>
  <c r="D72" i="3"/>
  <c r="EW72" i="4" s="1"/>
  <c r="D72" i="4" s="1"/>
  <c r="H71" i="3"/>
  <c r="G71" i="3"/>
  <c r="F71" i="3"/>
  <c r="D71" i="3"/>
  <c r="EW71" i="4" s="1"/>
  <c r="D71" i="4" s="1"/>
  <c r="C71" i="3"/>
  <c r="H70" i="3"/>
  <c r="G70" i="3"/>
  <c r="F70" i="3"/>
  <c r="E70" i="3"/>
  <c r="D70" i="3"/>
  <c r="EW70" i="4" s="1"/>
  <c r="D70" i="4" s="1"/>
  <c r="C70" i="3"/>
  <c r="EV70" i="4" s="1"/>
  <c r="C70" i="4" s="1"/>
  <c r="H69" i="3"/>
  <c r="G69" i="3"/>
  <c r="F69" i="3"/>
  <c r="D69" i="3"/>
  <c r="EW69" i="4" s="1"/>
  <c r="D69" i="4" s="1"/>
  <c r="E69" i="4" s="1"/>
  <c r="H68" i="3"/>
  <c r="G68" i="3"/>
  <c r="F68" i="3"/>
  <c r="D68" i="3"/>
  <c r="EW68" i="4" s="1"/>
  <c r="D68" i="4" s="1"/>
  <c r="C68" i="3"/>
  <c r="H67" i="3"/>
  <c r="G67" i="3"/>
  <c r="F67" i="3"/>
  <c r="E67" i="3"/>
  <c r="D67" i="3"/>
  <c r="EW67" i="4" s="1"/>
  <c r="D67" i="4" s="1"/>
  <c r="C67" i="3"/>
  <c r="H66" i="3"/>
  <c r="G66" i="3"/>
  <c r="F66" i="3"/>
  <c r="D66" i="3"/>
  <c r="EW66" i="4" s="1"/>
  <c r="D66" i="4" s="1"/>
  <c r="C66" i="3"/>
  <c r="EV66" i="4" s="1"/>
  <c r="C66" i="4" s="1"/>
  <c r="BN65" i="3"/>
  <c r="BN66" i="3" s="1"/>
  <c r="BN67" i="3" s="1"/>
  <c r="BN68" i="3" s="1"/>
  <c r="BN69" i="3" s="1"/>
  <c r="BN70" i="3" s="1"/>
  <c r="BN71" i="3" s="1"/>
  <c r="BN72" i="3" s="1"/>
  <c r="H65" i="3"/>
  <c r="G65" i="3"/>
  <c r="F65" i="3"/>
  <c r="E65" i="3"/>
  <c r="D65" i="3"/>
  <c r="EW65" i="4" s="1"/>
  <c r="D65" i="4" s="1"/>
  <c r="C65" i="3"/>
  <c r="EV65" i="4" s="1"/>
  <c r="C65" i="4" s="1"/>
  <c r="BN64" i="3"/>
  <c r="H64" i="3"/>
  <c r="G64" i="3"/>
  <c r="F64" i="3"/>
  <c r="D64" i="3"/>
  <c r="EW64" i="4" s="1"/>
  <c r="D64" i="4" s="1"/>
  <c r="C64" i="3"/>
  <c r="BN63" i="3"/>
  <c r="H63" i="3"/>
  <c r="G63" i="3"/>
  <c r="F63" i="3"/>
  <c r="D63" i="3"/>
  <c r="EW63" i="4" s="1"/>
  <c r="D63" i="4" s="1"/>
  <c r="C63" i="3"/>
  <c r="H62" i="3"/>
  <c r="G62" i="3"/>
  <c r="F62" i="3"/>
  <c r="D62" i="3"/>
  <c r="EW62" i="4" s="1"/>
  <c r="D62" i="4" s="1"/>
  <c r="C62" i="3"/>
  <c r="EV62" i="4" s="1"/>
  <c r="C62" i="4" s="1"/>
  <c r="BN61" i="3"/>
  <c r="BN62" i="3" s="1"/>
  <c r="H61" i="3"/>
  <c r="G61" i="3"/>
  <c r="F61" i="3"/>
  <c r="D61" i="3"/>
  <c r="EW61" i="4" s="1"/>
  <c r="D61" i="4" s="1"/>
  <c r="C61" i="3"/>
  <c r="EV61" i="4" s="1"/>
  <c r="C61" i="4" s="1"/>
  <c r="H60" i="3"/>
  <c r="G60" i="3"/>
  <c r="F60" i="3"/>
  <c r="D60" i="3"/>
  <c r="EW60" i="4" s="1"/>
  <c r="D60" i="4" s="1"/>
  <c r="C60" i="3"/>
  <c r="EV60" i="4" s="1"/>
  <c r="C60" i="4" s="1"/>
  <c r="DI59" i="3"/>
  <c r="DI60" i="3" s="1"/>
  <c r="DI61" i="3" s="1"/>
  <c r="DI62" i="3" s="1"/>
  <c r="DI63" i="3" s="1"/>
  <c r="DI64" i="3" s="1"/>
  <c r="DI65" i="3" s="1"/>
  <c r="DI66" i="3" s="1"/>
  <c r="DI67" i="3" s="1"/>
  <c r="DI68" i="3" s="1"/>
  <c r="DI69" i="3" s="1"/>
  <c r="DI70" i="3" s="1"/>
  <c r="DI71" i="3" s="1"/>
  <c r="DI72" i="3" s="1"/>
  <c r="DI73" i="3" s="1"/>
  <c r="DI74" i="3" s="1"/>
  <c r="DI75" i="3" s="1"/>
  <c r="DI76" i="3" s="1"/>
  <c r="DI77" i="3" s="1"/>
  <c r="DI78" i="3" s="1"/>
  <c r="DI79" i="3" s="1"/>
  <c r="DI80" i="3" s="1"/>
  <c r="DI81" i="3" s="1"/>
  <c r="DI82" i="3" s="1"/>
  <c r="DI83" i="3" s="1"/>
  <c r="DI84" i="3" s="1"/>
  <c r="DI85" i="3" s="1"/>
  <c r="DI86" i="3" s="1"/>
  <c r="DI87" i="3" s="1"/>
  <c r="DI88" i="3" s="1"/>
  <c r="DI89" i="3" s="1"/>
  <c r="DI90" i="3" s="1"/>
  <c r="DI91" i="3" s="1"/>
  <c r="DI92" i="3" s="1"/>
  <c r="DI93" i="3" s="1"/>
  <c r="DI94" i="3" s="1"/>
  <c r="DI95" i="3" s="1"/>
  <c r="DI96" i="3" s="1"/>
  <c r="DI97" i="3" s="1"/>
  <c r="DI98" i="3" s="1"/>
  <c r="DI99" i="3" s="1"/>
  <c r="DI100" i="3" s="1"/>
  <c r="DI101" i="3" s="1"/>
  <c r="DI102" i="3" s="1"/>
  <c r="DI103" i="3" s="1"/>
  <c r="DI104" i="3" s="1"/>
  <c r="DI105" i="3" s="1"/>
  <c r="DI106" i="3" s="1"/>
  <c r="DI107" i="3" s="1"/>
  <c r="DI108" i="3" s="1"/>
  <c r="DI109" i="3" s="1"/>
  <c r="DI110" i="3" s="1"/>
  <c r="AP59" i="3"/>
  <c r="AP60" i="3" s="1"/>
  <c r="B60" i="3" s="1"/>
  <c r="H59" i="3"/>
  <c r="G59" i="3"/>
  <c r="F59" i="3"/>
  <c r="D59" i="3"/>
  <c r="EW59" i="4" s="1"/>
  <c r="D59" i="4" s="1"/>
  <c r="C59" i="3"/>
  <c r="EV59" i="4" s="1"/>
  <c r="C59" i="4" s="1"/>
  <c r="E59" i="4" s="1"/>
  <c r="H58" i="3"/>
  <c r="G58" i="3"/>
  <c r="F58" i="3"/>
  <c r="D58" i="3"/>
  <c r="EW58" i="4" s="1"/>
  <c r="D58" i="4" s="1"/>
  <c r="C58" i="3"/>
  <c r="EV58" i="4" s="1"/>
  <c r="C58" i="4" s="1"/>
  <c r="B58" i="3"/>
  <c r="AP57" i="3"/>
  <c r="AP58" i="3" s="1"/>
  <c r="H57" i="3"/>
  <c r="G57" i="3"/>
  <c r="F57" i="3"/>
  <c r="D57" i="3"/>
  <c r="EW57" i="4" s="1"/>
  <c r="D57" i="4" s="1"/>
  <c r="C57" i="3"/>
  <c r="EV57" i="4" s="1"/>
  <c r="C57" i="4" s="1"/>
  <c r="H56" i="3"/>
  <c r="G56" i="3"/>
  <c r="F56" i="3"/>
  <c r="D56" i="3"/>
  <c r="EW56" i="4" s="1"/>
  <c r="D56" i="4" s="1"/>
  <c r="C56" i="3"/>
  <c r="EV56" i="4" s="1"/>
  <c r="C56" i="4" s="1"/>
  <c r="B56" i="3"/>
  <c r="EU56" i="4" s="1"/>
  <c r="B56" i="4" s="1"/>
  <c r="E56" i="4" s="1"/>
  <c r="H55" i="3"/>
  <c r="G55" i="3"/>
  <c r="F55" i="3"/>
  <c r="D55" i="3"/>
  <c r="C55" i="3"/>
  <c r="B55" i="3"/>
  <c r="H54" i="3"/>
  <c r="E54" i="3"/>
  <c r="F54" i="3" s="1"/>
  <c r="H53" i="3"/>
  <c r="E53" i="3"/>
  <c r="H52" i="3"/>
  <c r="G52" i="3"/>
  <c r="F52" i="3"/>
  <c r="E52" i="3"/>
  <c r="H51" i="3"/>
  <c r="E51" i="3"/>
  <c r="H50" i="3"/>
  <c r="G50" i="3"/>
  <c r="E50" i="3"/>
  <c r="F50" i="3" s="1"/>
  <c r="H49" i="3"/>
  <c r="F49" i="3"/>
  <c r="G49" i="3" s="1"/>
  <c r="E49" i="3"/>
  <c r="H48" i="3"/>
  <c r="E48" i="3"/>
  <c r="H47" i="3"/>
  <c r="F47" i="3"/>
  <c r="E47" i="3"/>
  <c r="H46" i="3"/>
  <c r="G46" i="3"/>
  <c r="E46" i="3"/>
  <c r="F46" i="3" s="1"/>
  <c r="H45" i="3"/>
  <c r="E45" i="3"/>
  <c r="H44" i="3"/>
  <c r="E44" i="3"/>
  <c r="H43" i="3"/>
  <c r="E43" i="3"/>
  <c r="H42" i="3"/>
  <c r="G42" i="3"/>
  <c r="E42" i="3"/>
  <c r="F42" i="3" s="1"/>
  <c r="H41" i="3"/>
  <c r="F41" i="3"/>
  <c r="G41" i="3" s="1"/>
  <c r="E41" i="3"/>
  <c r="H40" i="3"/>
  <c r="F40" i="3"/>
  <c r="G40" i="3" s="1"/>
  <c r="E40" i="3"/>
  <c r="H39" i="3"/>
  <c r="F39" i="3"/>
  <c r="E39" i="3"/>
  <c r="H38" i="3"/>
  <c r="E38" i="3"/>
  <c r="F38" i="3" s="1"/>
  <c r="H37" i="3"/>
  <c r="E37" i="3"/>
  <c r="H36" i="3"/>
  <c r="E36" i="3"/>
  <c r="H35" i="3"/>
  <c r="F35" i="3"/>
  <c r="E35" i="3"/>
  <c r="H34" i="3"/>
  <c r="E34" i="3"/>
  <c r="H33" i="3"/>
  <c r="G33" i="3"/>
  <c r="F33" i="3"/>
  <c r="E33" i="3"/>
  <c r="H32" i="3"/>
  <c r="F32" i="3"/>
  <c r="G32" i="3" s="1"/>
  <c r="E32" i="3"/>
  <c r="H31" i="3"/>
  <c r="E31" i="3"/>
  <c r="H30" i="3"/>
  <c r="E30" i="3"/>
  <c r="F30" i="3" s="1"/>
  <c r="H29" i="3"/>
  <c r="G29" i="3"/>
  <c r="F29" i="3"/>
  <c r="E29" i="3"/>
  <c r="H28" i="3"/>
  <c r="E28" i="3"/>
  <c r="H27" i="3"/>
  <c r="F27" i="3"/>
  <c r="E27" i="3"/>
  <c r="H26" i="3"/>
  <c r="G26" i="3"/>
  <c r="E26" i="3"/>
  <c r="F26" i="3" s="1"/>
  <c r="H25" i="3"/>
  <c r="E25" i="3"/>
  <c r="H24" i="3"/>
  <c r="G24" i="3"/>
  <c r="F24" i="3"/>
  <c r="E24" i="3"/>
  <c r="H23" i="3"/>
  <c r="E23" i="3"/>
  <c r="H22" i="3"/>
  <c r="E22" i="3"/>
  <c r="F22" i="3" s="1"/>
  <c r="H21" i="3"/>
  <c r="E21" i="3"/>
  <c r="H20" i="3"/>
  <c r="E20" i="3"/>
  <c r="H19" i="3"/>
  <c r="E19" i="3"/>
  <c r="H18" i="3"/>
  <c r="G18" i="3"/>
  <c r="E18" i="3"/>
  <c r="F18" i="3" s="1"/>
  <c r="H17" i="3"/>
  <c r="F17" i="3"/>
  <c r="G17" i="3" s="1"/>
  <c r="E17" i="3"/>
  <c r="H16" i="3"/>
  <c r="E16" i="3"/>
  <c r="H15" i="3"/>
  <c r="F15" i="3"/>
  <c r="E15" i="3"/>
  <c r="H14" i="3"/>
  <c r="G14" i="3"/>
  <c r="E14" i="3"/>
  <c r="F14" i="3" s="1"/>
  <c r="H13" i="3"/>
  <c r="E13" i="3"/>
  <c r="H12" i="3"/>
  <c r="E12" i="3"/>
  <c r="H11" i="3"/>
  <c r="E11" i="3"/>
  <c r="H10" i="3"/>
  <c r="G10" i="3"/>
  <c r="E10" i="3"/>
  <c r="F10" i="3" s="1"/>
  <c r="H9" i="3"/>
  <c r="G9" i="3"/>
  <c r="F9" i="3"/>
  <c r="E9" i="3"/>
  <c r="H8" i="3"/>
  <c r="F8" i="3"/>
  <c r="G8" i="3" s="1"/>
  <c r="E8" i="3"/>
  <c r="H7" i="3"/>
  <c r="F7" i="3"/>
  <c r="E7" i="3"/>
  <c r="H6" i="3"/>
  <c r="G6" i="3"/>
  <c r="E6" i="3"/>
  <c r="F6" i="3" s="1"/>
  <c r="B6" i="3"/>
  <c r="G13" i="3" l="1"/>
  <c r="F13" i="3"/>
  <c r="BN113" i="3"/>
  <c r="BN112" i="3"/>
  <c r="BN114" i="3"/>
  <c r="BN116" i="3" s="1"/>
  <c r="DI112" i="3"/>
  <c r="DI114" i="3"/>
  <c r="DI116" i="3" s="1"/>
  <c r="F19" i="3"/>
  <c r="G19" i="3" s="1"/>
  <c r="AT177" i="3"/>
  <c r="AU177" i="3" s="1"/>
  <c r="F25" i="3"/>
  <c r="G25" i="3" s="1"/>
  <c r="G36" i="3"/>
  <c r="G31" i="3"/>
  <c r="F31" i="3"/>
  <c r="EU60" i="4"/>
  <c r="B60" i="4" s="1"/>
  <c r="E60" i="3"/>
  <c r="F20" i="3"/>
  <c r="G20" i="3" s="1"/>
  <c r="G48" i="3"/>
  <c r="F48" i="3"/>
  <c r="F37" i="3"/>
  <c r="G37" i="3" s="1"/>
  <c r="EU55" i="4"/>
  <c r="B55" i="4" s="1"/>
  <c r="E55" i="3"/>
  <c r="G16" i="3"/>
  <c r="F16" i="3"/>
  <c r="G38" i="3"/>
  <c r="F43" i="3"/>
  <c r="G43" i="3" s="1"/>
  <c r="EU58" i="4"/>
  <c r="B58" i="4" s="1"/>
  <c r="E58" i="3"/>
  <c r="G28" i="3"/>
  <c r="F28" i="3"/>
  <c r="AT179" i="3"/>
  <c r="AU179" i="3" s="1"/>
  <c r="F11" i="3"/>
  <c r="G11" i="3" s="1"/>
  <c r="F23" i="3"/>
  <c r="G23" i="3" s="1"/>
  <c r="G45" i="3"/>
  <c r="G51" i="3"/>
  <c r="F34" i="3"/>
  <c r="G34" i="3"/>
  <c r="DL164" i="3"/>
  <c r="AP61" i="3"/>
  <c r="AT204" i="3"/>
  <c r="AU204" i="3" s="1"/>
  <c r="AQ110" i="3"/>
  <c r="F51" i="3"/>
  <c r="DJ74" i="3"/>
  <c r="C73" i="3"/>
  <c r="G15" i="3"/>
  <c r="G47" i="3"/>
  <c r="DQ190" i="3"/>
  <c r="EV68" i="4"/>
  <c r="C68" i="4" s="1"/>
  <c r="DK163" i="3"/>
  <c r="E68" i="3"/>
  <c r="AU195" i="3"/>
  <c r="EV64" i="4"/>
  <c r="C64" i="4" s="1"/>
  <c r="DK159" i="3"/>
  <c r="AT190" i="3"/>
  <c r="AU190" i="3" s="1"/>
  <c r="AU197" i="3"/>
  <c r="G7" i="3"/>
  <c r="G39" i="3"/>
  <c r="E64" i="3"/>
  <c r="E66" i="3"/>
  <c r="AU163" i="3"/>
  <c r="DQ186" i="3"/>
  <c r="AU178" i="3"/>
  <c r="AU188" i="3"/>
  <c r="AU200" i="3"/>
  <c r="F12" i="3"/>
  <c r="G12" i="3" s="1"/>
  <c r="F21" i="3"/>
  <c r="G21" i="3" s="1"/>
  <c r="G30" i="3"/>
  <c r="G35" i="3"/>
  <c r="F44" i="3"/>
  <c r="G44" i="3" s="1"/>
  <c r="F53" i="3"/>
  <c r="G53" i="3" s="1"/>
  <c r="E56" i="3"/>
  <c r="AT171" i="3"/>
  <c r="AU171" i="3" s="1"/>
  <c r="AU180" i="3"/>
  <c r="AU182" i="3"/>
  <c r="AU184" i="3"/>
  <c r="AU186" i="3"/>
  <c r="AT170" i="3"/>
  <c r="AU170" i="3" s="1"/>
  <c r="AU160" i="3"/>
  <c r="AU193" i="3"/>
  <c r="EV63" i="4"/>
  <c r="C63" i="4" s="1"/>
  <c r="DK158" i="3"/>
  <c r="EV71" i="4"/>
  <c r="C71" i="4" s="1"/>
  <c r="DK166" i="3"/>
  <c r="AU191" i="3"/>
  <c r="AU198" i="3"/>
  <c r="DK160" i="3"/>
  <c r="G22" i="3"/>
  <c r="G27" i="3"/>
  <c r="F36" i="3"/>
  <c r="F45" i="3"/>
  <c r="G54" i="3"/>
  <c r="B57" i="3"/>
  <c r="E59" i="3"/>
  <c r="E69" i="3"/>
  <c r="E63" i="3"/>
  <c r="EV67" i="4"/>
  <c r="C67" i="4" s="1"/>
  <c r="DK162" i="3"/>
  <c r="AU173" i="3"/>
  <c r="AU175" i="3"/>
  <c r="I13" i="4"/>
  <c r="E36" i="5"/>
  <c r="I11" i="4"/>
  <c r="EW112" i="4"/>
  <c r="D112" i="4"/>
  <c r="DQ160" i="3"/>
  <c r="DK165" i="3"/>
  <c r="DL165" i="3" s="1"/>
  <c r="AT194" i="3"/>
  <c r="AU194" i="3" s="1"/>
  <c r="E7" i="4"/>
  <c r="E23" i="4"/>
  <c r="I27" i="4"/>
  <c r="I43" i="4"/>
  <c r="E63" i="4"/>
  <c r="G108" i="4"/>
  <c r="I108" i="4" s="1"/>
  <c r="E64" i="4"/>
  <c r="E66" i="4"/>
  <c r="E28" i="5"/>
  <c r="E21" i="4"/>
  <c r="E37" i="4"/>
  <c r="I41" i="4"/>
  <c r="I72" i="4"/>
  <c r="G100" i="4"/>
  <c r="I100" i="4" s="1"/>
  <c r="E24" i="5"/>
  <c r="E56" i="5"/>
  <c r="AT202" i="3"/>
  <c r="AU202" i="3" s="1"/>
  <c r="E19" i="4"/>
  <c r="I39" i="4"/>
  <c r="AU161" i="3"/>
  <c r="DQ187" i="3"/>
  <c r="DQ191" i="3"/>
  <c r="E72" i="4"/>
  <c r="AT174" i="3"/>
  <c r="AU174" i="3" s="1"/>
  <c r="DT205" i="3"/>
  <c r="I19" i="4"/>
  <c r="E49" i="4"/>
  <c r="I56" i="4"/>
  <c r="I78" i="4"/>
  <c r="E16" i="5"/>
  <c r="E48" i="5"/>
  <c r="DK161" i="3"/>
  <c r="DL161" i="3" s="1"/>
  <c r="E15" i="4"/>
  <c r="E31" i="4"/>
  <c r="I35" i="4"/>
  <c r="I17" i="4"/>
  <c r="E47" i="4"/>
  <c r="E70" i="4"/>
  <c r="G104" i="4"/>
  <c r="I104" i="4" s="1"/>
  <c r="D112" i="3"/>
  <c r="DT202" i="3"/>
  <c r="I15" i="4"/>
  <c r="G96" i="4"/>
  <c r="I96" i="4" s="1"/>
  <c r="E8" i="5"/>
  <c r="E40" i="5"/>
  <c r="DT199" i="3"/>
  <c r="E11" i="4"/>
  <c r="E27" i="4"/>
  <c r="I31" i="4"/>
  <c r="E43" i="4"/>
  <c r="I47" i="4"/>
  <c r="E65" i="4"/>
  <c r="B113" i="6"/>
  <c r="E110" i="6"/>
  <c r="E112" i="6" s="1"/>
  <c r="E109" i="7"/>
  <c r="E112" i="7" s="1"/>
  <c r="E58" i="4" l="1"/>
  <c r="DL166" i="3"/>
  <c r="DL167" i="3"/>
  <c r="DJ75" i="3"/>
  <c r="C74" i="3"/>
  <c r="EV73" i="4"/>
  <c r="C73" i="4" s="1"/>
  <c r="DK168" i="3"/>
  <c r="DL168" i="3" s="1"/>
  <c r="E55" i="4"/>
  <c r="EU57" i="4"/>
  <c r="B57" i="4" s="1"/>
  <c r="E57" i="3"/>
  <c r="DL159" i="3"/>
  <c r="AQ112" i="3"/>
  <c r="AU172" i="3"/>
  <c r="AP62" i="3"/>
  <c r="B61" i="3"/>
  <c r="DL162" i="3"/>
  <c r="E67" i="4"/>
  <c r="E68" i="4"/>
  <c r="DL160" i="3"/>
  <c r="DL163" i="3"/>
  <c r="AU203" i="3"/>
  <c r="E60" i="4"/>
  <c r="E57" i="4" l="1"/>
  <c r="EV74" i="4"/>
  <c r="C74" i="4" s="1"/>
  <c r="DK169" i="3"/>
  <c r="DL169" i="3" s="1"/>
  <c r="E74" i="3"/>
  <c r="DJ76" i="3"/>
  <c r="C75" i="3"/>
  <c r="EU61" i="4"/>
  <c r="B61" i="4" s="1"/>
  <c r="E61" i="3"/>
  <c r="B62" i="3"/>
  <c r="AP63" i="3"/>
  <c r="E61" i="4" l="1"/>
  <c r="AP64" i="3"/>
  <c r="AS158" i="3"/>
  <c r="EV75" i="4"/>
  <c r="C75" i="4" s="1"/>
  <c r="DK170" i="3"/>
  <c r="DL170" i="3" s="1"/>
  <c r="E75" i="3"/>
  <c r="DJ77" i="3"/>
  <c r="C76" i="3"/>
  <c r="EU62" i="4"/>
  <c r="B62" i="4" s="1"/>
  <c r="E62" i="3"/>
  <c r="E74" i="4"/>
  <c r="DJ78" i="3" l="1"/>
  <c r="C77" i="3"/>
  <c r="DK171" i="3"/>
  <c r="DL171" i="3" s="1"/>
  <c r="E76" i="3"/>
  <c r="EV76" i="4"/>
  <c r="C76" i="4" s="1"/>
  <c r="E75" i="4"/>
  <c r="AS159" i="3"/>
  <c r="AR159" i="3" s="1"/>
  <c r="AP65" i="3"/>
  <c r="E62" i="4"/>
  <c r="E76" i="4" l="1"/>
  <c r="EV77" i="4"/>
  <c r="C77" i="4" s="1"/>
  <c r="DK172" i="3"/>
  <c r="DL172" i="3" s="1"/>
  <c r="AS160" i="3"/>
  <c r="AR160" i="3" s="1"/>
  <c r="AP66" i="3"/>
  <c r="DJ79" i="3"/>
  <c r="C78" i="3"/>
  <c r="AP67" i="3" l="1"/>
  <c r="AS161" i="3"/>
  <c r="AR161" i="3" s="1"/>
  <c r="EV78" i="4"/>
  <c r="C78" i="4" s="1"/>
  <c r="DK173" i="3"/>
  <c r="DL173" i="3" s="1"/>
  <c r="DJ80" i="3"/>
  <c r="DJ81" i="3" s="1"/>
  <c r="C79" i="3"/>
  <c r="DJ82" i="3" l="1"/>
  <c r="C81" i="3"/>
  <c r="EV79" i="4"/>
  <c r="C79" i="4" s="1"/>
  <c r="DK174" i="3"/>
  <c r="AS162" i="3"/>
  <c r="AR162" i="3" s="1"/>
  <c r="AP68" i="3"/>
  <c r="AP69" i="3" l="1"/>
  <c r="AS163" i="3"/>
  <c r="AR163" i="3" s="1"/>
  <c r="DL174" i="3"/>
  <c r="DL175" i="3"/>
  <c r="EV81" i="4"/>
  <c r="C81" i="4" s="1"/>
  <c r="DK176" i="3"/>
  <c r="DL176" i="3" s="1"/>
  <c r="DJ83" i="3"/>
  <c r="C82" i="3"/>
  <c r="DJ84" i="3" l="1"/>
  <c r="C83" i="3"/>
  <c r="EV82" i="4"/>
  <c r="C82" i="4" s="1"/>
  <c r="DK177" i="3"/>
  <c r="DL177" i="3" s="1"/>
  <c r="AS164" i="3"/>
  <c r="AR164" i="3" s="1"/>
  <c r="AP70" i="3"/>
  <c r="AS165" i="3" l="1"/>
  <c r="AR165" i="3" s="1"/>
  <c r="AP71" i="3"/>
  <c r="DK178" i="3"/>
  <c r="DL178" i="3" s="1"/>
  <c r="EV83" i="4"/>
  <c r="C83" i="4" s="1"/>
  <c r="DJ85" i="3"/>
  <c r="C84" i="3"/>
  <c r="AS166" i="3" l="1"/>
  <c r="AR166" i="3" s="1"/>
  <c r="B71" i="3"/>
  <c r="AP72" i="3"/>
  <c r="EV84" i="4"/>
  <c r="C84" i="4" s="1"/>
  <c r="DK179" i="3"/>
  <c r="DL179" i="3" s="1"/>
  <c r="DJ86" i="3"/>
  <c r="C85" i="3"/>
  <c r="EV85" i="4" l="1"/>
  <c r="C85" i="4" s="1"/>
  <c r="DK180" i="3"/>
  <c r="DL180" i="3" s="1"/>
  <c r="DJ87" i="3"/>
  <c r="C86" i="3"/>
  <c r="EU71" i="4"/>
  <c r="B71" i="4" s="1"/>
  <c r="DJ166" i="3"/>
  <c r="E71" i="3"/>
  <c r="AS167" i="3"/>
  <c r="AR167" i="3" s="1"/>
  <c r="AP73" i="3"/>
  <c r="AS168" i="3" l="1"/>
  <c r="AR168" i="3" s="1"/>
  <c r="AP74" i="3"/>
  <c r="B73" i="3"/>
  <c r="E71" i="4"/>
  <c r="DJ88" i="3"/>
  <c r="C87" i="3"/>
  <c r="DI166" i="3"/>
  <c r="DI167" i="3"/>
  <c r="EV86" i="4"/>
  <c r="C86" i="4" s="1"/>
  <c r="DK181" i="3"/>
  <c r="DL181" i="3" s="1"/>
  <c r="EU73" i="4" l="1"/>
  <c r="B73" i="4" s="1"/>
  <c r="E73" i="3"/>
  <c r="DJ168" i="3"/>
  <c r="EV87" i="4"/>
  <c r="C87" i="4" s="1"/>
  <c r="DK182" i="3"/>
  <c r="DL182" i="3" s="1"/>
  <c r="AS169" i="3"/>
  <c r="AR169" i="3" s="1"/>
  <c r="AP75" i="3"/>
  <c r="DJ89" i="3"/>
  <c r="C88" i="3"/>
  <c r="DJ90" i="3" l="1"/>
  <c r="C89" i="3"/>
  <c r="DI168" i="3"/>
  <c r="DI169" i="3"/>
  <c r="E73" i="4"/>
  <c r="AS170" i="3"/>
  <c r="AR170" i="3" s="1"/>
  <c r="AP76" i="3"/>
  <c r="EV88" i="4"/>
  <c r="C88" i="4" s="1"/>
  <c r="DK183" i="3"/>
  <c r="DL183" i="3" s="1"/>
  <c r="EV89" i="4" l="1"/>
  <c r="C89" i="4" s="1"/>
  <c r="DK184" i="3"/>
  <c r="DL184" i="3" s="1"/>
  <c r="AP77" i="3"/>
  <c r="AS171" i="3"/>
  <c r="AR171" i="3" s="1"/>
  <c r="DJ91" i="3"/>
  <c r="C90" i="3"/>
  <c r="EV90" i="4" l="1"/>
  <c r="C90" i="4" s="1"/>
  <c r="DK185" i="3"/>
  <c r="DL185" i="3" s="1"/>
  <c r="AS172" i="3"/>
  <c r="AR172" i="3" s="1"/>
  <c r="AP78" i="3"/>
  <c r="B77" i="3"/>
  <c r="C91" i="3"/>
  <c r="DJ92" i="3"/>
  <c r="EV91" i="4" l="1"/>
  <c r="C91" i="4" s="1"/>
  <c r="DK186" i="3"/>
  <c r="DL186" i="3" s="1"/>
  <c r="EU77" i="4"/>
  <c r="B77" i="4" s="1"/>
  <c r="DJ172" i="3"/>
  <c r="DI172" i="3" s="1"/>
  <c r="E77" i="3"/>
  <c r="AS173" i="3"/>
  <c r="AR173" i="3" s="1"/>
  <c r="B78" i="3"/>
  <c r="AP79" i="3"/>
  <c r="DJ93" i="3"/>
  <c r="C92" i="3"/>
  <c r="EV92" i="4" l="1"/>
  <c r="C92" i="4" s="1"/>
  <c r="DK187" i="3"/>
  <c r="DL187" i="3" s="1"/>
  <c r="EU78" i="4"/>
  <c r="B78" i="4" s="1"/>
  <c r="DJ173" i="3"/>
  <c r="DI173" i="3" s="1"/>
  <c r="E78" i="3"/>
  <c r="E77" i="4"/>
  <c r="DJ94" i="3"/>
  <c r="C93" i="3"/>
  <c r="AP80" i="3"/>
  <c r="AS174" i="3"/>
  <c r="AR174" i="3" s="1"/>
  <c r="B79" i="3"/>
  <c r="AP81" i="3" l="1"/>
  <c r="AS175" i="3"/>
  <c r="AR175" i="3" s="1"/>
  <c r="B80" i="3"/>
  <c r="EV93" i="4"/>
  <c r="C93" i="4" s="1"/>
  <c r="DK188" i="3"/>
  <c r="DL188" i="3" s="1"/>
  <c r="E78" i="4"/>
  <c r="DJ174" i="3"/>
  <c r="DI174" i="3" s="1"/>
  <c r="EU79" i="4"/>
  <c r="B79" i="4" s="1"/>
  <c r="E79" i="3"/>
  <c r="DJ95" i="3"/>
  <c r="C94" i="3"/>
  <c r="DJ96" i="3" l="1"/>
  <c r="C95" i="3"/>
  <c r="E79" i="4"/>
  <c r="EU80" i="4"/>
  <c r="B80" i="4" s="1"/>
  <c r="E80" i="3"/>
  <c r="DJ175" i="3"/>
  <c r="DI175" i="3" s="1"/>
  <c r="EV94" i="4"/>
  <c r="C94" i="4" s="1"/>
  <c r="DK189" i="3"/>
  <c r="DL189" i="3" s="1"/>
  <c r="AS176" i="3"/>
  <c r="AR176" i="3" s="1"/>
  <c r="AP82" i="3"/>
  <c r="B81" i="3"/>
  <c r="E80" i="4" l="1"/>
  <c r="EV95" i="4"/>
  <c r="C95" i="4" s="1"/>
  <c r="DK190" i="3"/>
  <c r="DL190" i="3" s="1"/>
  <c r="EU81" i="4"/>
  <c r="B81" i="4" s="1"/>
  <c r="E81" i="3"/>
  <c r="DJ176" i="3"/>
  <c r="DI176" i="3" s="1"/>
  <c r="AS177" i="3"/>
  <c r="AR177" i="3" s="1"/>
  <c r="B82" i="3"/>
  <c r="AP83" i="3"/>
  <c r="DJ97" i="3"/>
  <c r="C96" i="3"/>
  <c r="E81" i="4" l="1"/>
  <c r="EV96" i="4"/>
  <c r="C96" i="4" s="1"/>
  <c r="DK191" i="3"/>
  <c r="DL191" i="3" s="1"/>
  <c r="DJ98" i="3"/>
  <c r="C97" i="3"/>
  <c r="AP84" i="3"/>
  <c r="B83" i="3"/>
  <c r="AS178" i="3"/>
  <c r="AR178" i="3" s="1"/>
  <c r="EU82" i="4"/>
  <c r="B82" i="4" s="1"/>
  <c r="DJ177" i="3"/>
  <c r="DI177" i="3" s="1"/>
  <c r="E82" i="3"/>
  <c r="EU83" i="4" l="1"/>
  <c r="B83" i="4" s="1"/>
  <c r="E83" i="3"/>
  <c r="DJ178" i="3"/>
  <c r="DI178" i="3" s="1"/>
  <c r="AS179" i="3"/>
  <c r="AR179" i="3" s="1"/>
  <c r="AP85" i="3"/>
  <c r="B84" i="3"/>
  <c r="DJ99" i="3"/>
  <c r="C98" i="3"/>
  <c r="E82" i="4"/>
  <c r="EV97" i="4"/>
  <c r="C97" i="4" s="1"/>
  <c r="DK192" i="3"/>
  <c r="DL192" i="3" s="1"/>
  <c r="DJ100" i="3" l="1"/>
  <c r="C99" i="3"/>
  <c r="EV98" i="4"/>
  <c r="C98" i="4" s="1"/>
  <c r="DK193" i="3"/>
  <c r="DL193" i="3" s="1"/>
  <c r="AP86" i="3"/>
  <c r="AS180" i="3"/>
  <c r="AR180" i="3" s="1"/>
  <c r="B85" i="3"/>
  <c r="EU84" i="4"/>
  <c r="B84" i="4" s="1"/>
  <c r="DJ179" i="3"/>
  <c r="DI179" i="3" s="1"/>
  <c r="E84" i="3"/>
  <c r="E83" i="4"/>
  <c r="AS181" i="3" l="1"/>
  <c r="AR181" i="3" s="1"/>
  <c r="B86" i="3"/>
  <c r="AP87" i="3"/>
  <c r="EV99" i="4"/>
  <c r="C99" i="4" s="1"/>
  <c r="DK194" i="3"/>
  <c r="DL194" i="3" s="1"/>
  <c r="EU85" i="4"/>
  <c r="B85" i="4" s="1"/>
  <c r="DJ180" i="3"/>
  <c r="DI180" i="3" s="1"/>
  <c r="E85" i="3"/>
  <c r="E84" i="4"/>
  <c r="DJ101" i="3"/>
  <c r="C100" i="3"/>
  <c r="EV100" i="4" l="1"/>
  <c r="C100" i="4" s="1"/>
  <c r="DK195" i="3"/>
  <c r="DL195" i="3" s="1"/>
  <c r="AP88" i="3"/>
  <c r="B87" i="3"/>
  <c r="AS182" i="3"/>
  <c r="AR182" i="3" s="1"/>
  <c r="EU86" i="4"/>
  <c r="B86" i="4" s="1"/>
  <c r="DJ181" i="3"/>
  <c r="DI181" i="3" s="1"/>
  <c r="E86" i="3"/>
  <c r="DJ102" i="3"/>
  <c r="C101" i="3"/>
  <c r="E85" i="4"/>
  <c r="AP89" i="3" l="1"/>
  <c r="AS183" i="3"/>
  <c r="AR183" i="3" s="1"/>
  <c r="B88" i="3"/>
  <c r="EV101" i="4"/>
  <c r="C101" i="4" s="1"/>
  <c r="DK196" i="3"/>
  <c r="DL196" i="3" s="1"/>
  <c r="E86" i="4"/>
  <c r="EU87" i="4"/>
  <c r="B87" i="4" s="1"/>
  <c r="E87" i="3"/>
  <c r="DJ182" i="3"/>
  <c r="DI182" i="3" s="1"/>
  <c r="DJ103" i="3"/>
  <c r="C102" i="3"/>
  <c r="DJ104" i="3" l="1"/>
  <c r="C103" i="3"/>
  <c r="E87" i="4"/>
  <c r="EV102" i="4"/>
  <c r="C102" i="4" s="1"/>
  <c r="DK197" i="3"/>
  <c r="DL197" i="3" s="1"/>
  <c r="E88" i="3"/>
  <c r="DJ183" i="3"/>
  <c r="DI183" i="3" s="1"/>
  <c r="EU88" i="4"/>
  <c r="B88" i="4" s="1"/>
  <c r="AS184" i="3"/>
  <c r="AR184" i="3" s="1"/>
  <c r="AP90" i="3"/>
  <c r="B89" i="3"/>
  <c r="EU89" i="4" l="1"/>
  <c r="B89" i="4" s="1"/>
  <c r="E89" i="3"/>
  <c r="DJ184" i="3"/>
  <c r="DI184" i="3" s="1"/>
  <c r="AS185" i="3"/>
  <c r="AR185" i="3" s="1"/>
  <c r="B90" i="3"/>
  <c r="AP91" i="3"/>
  <c r="EV103" i="4"/>
  <c r="C103" i="4" s="1"/>
  <c r="DK198" i="3"/>
  <c r="DL198" i="3" s="1"/>
  <c r="E88" i="4"/>
  <c r="DJ105" i="3"/>
  <c r="C104" i="3"/>
  <c r="AP92" i="3" l="1"/>
  <c r="B91" i="3"/>
  <c r="AS186" i="3"/>
  <c r="AR186" i="3" s="1"/>
  <c r="EV104" i="4"/>
  <c r="C104" i="4" s="1"/>
  <c r="DK199" i="3"/>
  <c r="DL199" i="3" s="1"/>
  <c r="EU90" i="4"/>
  <c r="B90" i="4" s="1"/>
  <c r="DJ185" i="3"/>
  <c r="DI185" i="3" s="1"/>
  <c r="E90" i="3"/>
  <c r="DJ106" i="3"/>
  <c r="C105" i="3"/>
  <c r="E89" i="4"/>
  <c r="E90" i="4" l="1"/>
  <c r="EU91" i="4"/>
  <c r="B91" i="4" s="1"/>
  <c r="E91" i="3"/>
  <c r="DJ186" i="3"/>
  <c r="DI186" i="3" s="1"/>
  <c r="AP93" i="3"/>
  <c r="B92" i="3"/>
  <c r="AS187" i="3"/>
  <c r="AR187" i="3" s="1"/>
  <c r="EV105" i="4"/>
  <c r="C105" i="4" s="1"/>
  <c r="DK200" i="3"/>
  <c r="DL200" i="3" s="1"/>
  <c r="DJ107" i="3"/>
  <c r="C106" i="3"/>
  <c r="E91" i="4" l="1"/>
  <c r="DJ108" i="3"/>
  <c r="C107" i="3"/>
  <c r="EV106" i="4"/>
  <c r="C106" i="4" s="1"/>
  <c r="DK201" i="3"/>
  <c r="DL201" i="3" s="1"/>
  <c r="EU92" i="4"/>
  <c r="B92" i="4" s="1"/>
  <c r="E92" i="3"/>
  <c r="DJ187" i="3"/>
  <c r="DI187" i="3" s="1"/>
  <c r="AS188" i="3"/>
  <c r="AR188" i="3" s="1"/>
  <c r="AP94" i="3"/>
  <c r="B93" i="3"/>
  <c r="EU93" i="4" l="1"/>
  <c r="B93" i="4" s="1"/>
  <c r="E93" i="3"/>
  <c r="DJ188" i="3"/>
  <c r="DI188" i="3" s="1"/>
  <c r="AS189" i="3"/>
  <c r="AR189" i="3" s="1"/>
  <c r="B94" i="3"/>
  <c r="AP95" i="3"/>
  <c r="DJ109" i="3"/>
  <c r="C108" i="3"/>
  <c r="S144" i="3"/>
  <c r="E92" i="4"/>
  <c r="EV107" i="4"/>
  <c r="C107" i="4" s="1"/>
  <c r="DK202" i="3"/>
  <c r="DL202" i="3" s="1"/>
  <c r="EU94" i="4" l="1"/>
  <c r="B94" i="4" s="1"/>
  <c r="DJ189" i="3"/>
  <c r="DI189" i="3" s="1"/>
  <c r="E94" i="3"/>
  <c r="DJ110" i="3"/>
  <c r="C109" i="3"/>
  <c r="EV108" i="4"/>
  <c r="C108" i="4" s="1"/>
  <c r="DK203" i="3"/>
  <c r="DL203" i="3" s="1"/>
  <c r="AP96" i="3"/>
  <c r="B95" i="3"/>
  <c r="AS190" i="3"/>
  <c r="AR190" i="3" s="1"/>
  <c r="E93" i="4"/>
  <c r="DJ112" i="3" l="1"/>
  <c r="DI113" i="3"/>
  <c r="C110" i="3"/>
  <c r="EV109" i="4"/>
  <c r="G27" i="10"/>
  <c r="D27" i="10"/>
  <c r="G26" i="10"/>
  <c r="D26" i="10"/>
  <c r="DK204" i="3"/>
  <c r="DL204" i="3" s="1"/>
  <c r="EU95" i="4"/>
  <c r="B95" i="4" s="1"/>
  <c r="E95" i="3"/>
  <c r="DJ190" i="3"/>
  <c r="DI190" i="3" s="1"/>
  <c r="AP97" i="3"/>
  <c r="B96" i="3"/>
  <c r="AS191" i="3"/>
  <c r="AR191" i="3" s="1"/>
  <c r="E94" i="4"/>
  <c r="J25" i="12" l="1"/>
  <c r="J27" i="12" s="1"/>
  <c r="C109" i="4"/>
  <c r="EV110" i="4"/>
  <c r="DK205" i="3"/>
  <c r="DL205" i="3" s="1"/>
  <c r="C112" i="3"/>
  <c r="EU96" i="4"/>
  <c r="B96" i="4" s="1"/>
  <c r="E96" i="3"/>
  <c r="DJ191" i="3"/>
  <c r="DI191" i="3" s="1"/>
  <c r="E95" i="4"/>
  <c r="AS192" i="3"/>
  <c r="AR192" i="3" s="1"/>
  <c r="AP98" i="3"/>
  <c r="B97" i="3"/>
  <c r="E96" i="4" l="1"/>
  <c r="EV112" i="4"/>
  <c r="C110" i="4"/>
  <c r="EU97" i="4"/>
  <c r="B97" i="4" s="1"/>
  <c r="E97" i="3"/>
  <c r="DJ192" i="3"/>
  <c r="DI192" i="3" s="1"/>
  <c r="B98" i="3"/>
  <c r="AS193" i="3"/>
  <c r="AR193" i="3" s="1"/>
  <c r="AP99" i="3"/>
  <c r="J7" i="12"/>
  <c r="G27" i="12" l="1"/>
  <c r="D27" i="12"/>
  <c r="G26" i="12"/>
  <c r="D26" i="12"/>
  <c r="EU98" i="4"/>
  <c r="B98" i="4" s="1"/>
  <c r="DJ193" i="3"/>
  <c r="DI193" i="3" s="1"/>
  <c r="E98" i="3"/>
  <c r="E97" i="4"/>
  <c r="AP100" i="3"/>
  <c r="B99" i="3"/>
  <c r="AS194" i="3"/>
  <c r="AR194" i="3" s="1"/>
  <c r="C112" i="4"/>
  <c r="EU99" i="4" l="1"/>
  <c r="B99" i="4" s="1"/>
  <c r="E99" i="3"/>
  <c r="DJ194" i="3"/>
  <c r="DI194" i="3" s="1"/>
  <c r="E98" i="4"/>
  <c r="AS195" i="3"/>
  <c r="AR195" i="3" s="1"/>
  <c r="AP101" i="3"/>
  <c r="B100" i="3"/>
  <c r="G27" i="15"/>
  <c r="D27" i="15"/>
  <c r="G26" i="15"/>
  <c r="D26" i="15"/>
  <c r="G27" i="14"/>
  <c r="D27" i="14"/>
  <c r="G26" i="14"/>
  <c r="D26" i="14"/>
  <c r="EU100" i="4" l="1"/>
  <c r="B100" i="4" s="1"/>
  <c r="E100" i="3"/>
  <c r="DJ195" i="3"/>
  <c r="DI195" i="3" s="1"/>
  <c r="AS196" i="3"/>
  <c r="AR196" i="3" s="1"/>
  <c r="AP102" i="3"/>
  <c r="B101" i="3"/>
  <c r="E99" i="4"/>
  <c r="B102" i="3" l="1"/>
  <c r="AS197" i="3"/>
  <c r="AR197" i="3" s="1"/>
  <c r="AP103" i="3"/>
  <c r="EU101" i="4"/>
  <c r="B101" i="4" s="1"/>
  <c r="DJ196" i="3"/>
  <c r="DI196" i="3" s="1"/>
  <c r="E101" i="3"/>
  <c r="E100" i="4"/>
  <c r="EU102" i="4" l="1"/>
  <c r="B102" i="4" s="1"/>
  <c r="DJ197" i="3"/>
  <c r="DI197" i="3" s="1"/>
  <c r="E102" i="3"/>
  <c r="E101" i="4"/>
  <c r="AP104" i="3"/>
  <c r="AS198" i="3"/>
  <c r="AR198" i="3" s="1"/>
  <c r="B103" i="3"/>
  <c r="E102" i="4" l="1"/>
  <c r="EU103" i="4"/>
  <c r="B103" i="4" s="1"/>
  <c r="E103" i="3"/>
  <c r="DJ198" i="3"/>
  <c r="DI198" i="3" s="1"/>
  <c r="AP105" i="3"/>
  <c r="B104" i="3"/>
  <c r="AS199" i="3"/>
  <c r="AR199" i="3" s="1"/>
  <c r="EU104" i="4" l="1"/>
  <c r="B104" i="4" s="1"/>
  <c r="DJ199" i="3"/>
  <c r="DI199" i="3" s="1"/>
  <c r="E104" i="3"/>
  <c r="AP106" i="3"/>
  <c r="B105" i="3"/>
  <c r="AS200" i="3"/>
  <c r="AR200" i="3" s="1"/>
  <c r="E103" i="4"/>
  <c r="EU105" i="4" l="1"/>
  <c r="B105" i="4" s="1"/>
  <c r="E105" i="3"/>
  <c r="DJ200" i="3"/>
  <c r="DI200" i="3" s="1"/>
  <c r="B106" i="3"/>
  <c r="AS201" i="3"/>
  <c r="AR201" i="3" s="1"/>
  <c r="AP107" i="3"/>
  <c r="E104" i="4"/>
  <c r="AS202" i="3" l="1"/>
  <c r="AR202" i="3" s="1"/>
  <c r="AP108" i="3"/>
  <c r="B107" i="3"/>
  <c r="EU106" i="4"/>
  <c r="B106" i="4" s="1"/>
  <c r="DJ201" i="3"/>
  <c r="DI201" i="3" s="1"/>
  <c r="E106" i="3"/>
  <c r="E105" i="4"/>
  <c r="E106" i="4" l="1"/>
  <c r="AP109" i="3"/>
  <c r="B108" i="3"/>
  <c r="AS203" i="3"/>
  <c r="AR203" i="3" s="1"/>
  <c r="Q144" i="3"/>
  <c r="N144" i="3" s="1"/>
  <c r="EU107" i="4"/>
  <c r="B107" i="4" s="1"/>
  <c r="E107" i="3"/>
  <c r="DJ202" i="3"/>
  <c r="DI202" i="3" s="1"/>
  <c r="AS204" i="3" l="1"/>
  <c r="AR204" i="3" s="1"/>
  <c r="AP110" i="3"/>
  <c r="B109" i="3"/>
  <c r="E107" i="4"/>
  <c r="EU108" i="4"/>
  <c r="B108" i="4" s="1"/>
  <c r="E108" i="3"/>
  <c r="DJ203" i="3"/>
  <c r="DI203" i="3" s="1"/>
  <c r="EU109" i="4" l="1"/>
  <c r="B109" i="4" s="1"/>
  <c r="DJ204" i="3"/>
  <c r="DI204" i="3" s="1"/>
  <c r="E109" i="3"/>
  <c r="AP112" i="3"/>
  <c r="AP114" i="3"/>
  <c r="AP116" i="3" s="1"/>
  <c r="B110" i="3"/>
  <c r="AP113" i="3"/>
  <c r="E108" i="4"/>
  <c r="EU110" i="4" l="1"/>
  <c r="B112" i="3"/>
  <c r="DJ205" i="3"/>
  <c r="DI205" i="3" s="1"/>
  <c r="E110" i="3"/>
  <c r="E112" i="3" s="1"/>
  <c r="B113" i="3"/>
  <c r="E109" i="4"/>
  <c r="EU114" i="4" l="1"/>
  <c r="EU116" i="4" s="1"/>
  <c r="EU112" i="4"/>
  <c r="B110" i="4"/>
  <c r="EU113" i="4"/>
  <c r="B112" i="4" l="1"/>
  <c r="E110" i="4"/>
  <c r="E112" i="4" s="1"/>
  <c r="B113" i="4"/>
  <c r="G26" i="13"/>
  <c r="D26" i="13"/>
  <c r="G27" i="13"/>
  <c r="D27" i="13"/>
</calcChain>
</file>

<file path=xl/sharedStrings.xml><?xml version="1.0" encoding="utf-8"?>
<sst xmlns="http://schemas.openxmlformats.org/spreadsheetml/2006/main" count="2472" uniqueCount="1262">
  <si>
    <t>Augmentation des cas de SARS-CoV-2 dans le monde 
du 02.01 au 22.03.2020 (1 image = 10 jours)</t>
  </si>
  <si>
    <t>Monde</t>
  </si>
  <si>
    <t>Afrique</t>
  </si>
  <si>
    <t>Asie</t>
  </si>
  <si>
    <t>Europe</t>
  </si>
  <si>
    <t>Autres 
(bateaux ...)</t>
  </si>
  <si>
    <t>Historique</t>
  </si>
  <si>
    <t>Liens</t>
  </si>
  <si>
    <t>Infectés</t>
  </si>
  <si>
    <t>Morts</t>
  </si>
  <si>
    <t>Guéris</t>
  </si>
  <si>
    <t>Encore 
inféctés</t>
  </si>
  <si>
    <t xml:space="preserve">Source : </t>
  </si>
  <si>
    <t>Chiffres de l'université de Johns Hopkins :</t>
  </si>
  <si>
    <t>Gueris</t>
  </si>
  <si>
    <t>https://coronavirus.jhu.edu/map.html</t>
  </si>
  <si>
    <t>Dates</t>
  </si>
  <si>
    <t xml:space="preserve">Suisse
</t>
  </si>
  <si>
    <t>Cantons</t>
  </si>
  <si>
    <r>
      <t>Carte du monde intéractive des cas et graphiques du journal</t>
    </r>
    <r>
      <rPr>
        <i/>
        <sz val="10"/>
        <rFont val="Arial"/>
      </rPr>
      <t xml:space="preserve"> Le Temps :</t>
    </r>
  </si>
  <si>
    <t>https://labs.letemps.ch/interactive/2020/carte-coronavirus-monde/</t>
  </si>
  <si>
    <t>Appenzell 
Rhodes-Ext.</t>
  </si>
  <si>
    <t>Appenzell 
Rhodes-Int.</t>
  </si>
  <si>
    <t>Argovie</t>
  </si>
  <si>
    <t>Bâle-
Campagne</t>
  </si>
  <si>
    <t>Bâle-Ville</t>
  </si>
  <si>
    <t xml:space="preserve">	Berne</t>
  </si>
  <si>
    <t>Fribourg</t>
  </si>
  <si>
    <t>Genève</t>
  </si>
  <si>
    <t>Glaris</t>
  </si>
  <si>
    <t>Grisons</t>
  </si>
  <si>
    <r>
      <t xml:space="preserve">Infographie: Paul Ronga, pour le journal </t>
    </r>
    <r>
      <rPr>
        <i/>
        <sz val="10"/>
        <rFont val="Arial"/>
      </rPr>
      <t>Le Temps</t>
    </r>
  </si>
  <si>
    <t>Jura</t>
  </si>
  <si>
    <t>Lucerne</t>
  </si>
  <si>
    <t>Neuchâtel</t>
  </si>
  <si>
    <t>Nidwald</t>
  </si>
  <si>
    <t>Obwald</t>
  </si>
  <si>
    <t xml:space="preserve">	Saint-Gall</t>
  </si>
  <si>
    <t>Schaffhouse</t>
  </si>
  <si>
    <t>Schwytz</t>
  </si>
  <si>
    <t>Soleure</t>
  </si>
  <si>
    <t>Tessin</t>
  </si>
  <si>
    <t>Thurgovie</t>
  </si>
  <si>
    <t>Uri</t>
  </si>
  <si>
    <t>Valais</t>
  </si>
  <si>
    <t>Vaud</t>
  </si>
  <si>
    <t>Zoug</t>
  </si>
  <si>
    <t>Zurich</t>
  </si>
  <si>
    <t>CHE</t>
  </si>
  <si>
    <t>AR</t>
  </si>
  <si>
    <t>AI</t>
  </si>
  <si>
    <t>AG</t>
  </si>
  <si>
    <t>BL</t>
  </si>
  <si>
    <t>BS</t>
  </si>
  <si>
    <t>BE</t>
  </si>
  <si>
    <t>FR</t>
  </si>
  <si>
    <t>GE</t>
  </si>
  <si>
    <t>GL</t>
  </si>
  <si>
    <t>GR</t>
  </si>
  <si>
    <t>JU</t>
  </si>
  <si>
    <t>LU</t>
  </si>
  <si>
    <t>NE</t>
  </si>
  <si>
    <t>NW</t>
  </si>
  <si>
    <t>OW</t>
  </si>
  <si>
    <t>SG</t>
  </si>
  <si>
    <t>SH</t>
  </si>
  <si>
    <t>SZ</t>
  </si>
  <si>
    <t>SO</t>
  </si>
  <si>
    <t>TI</t>
  </si>
  <si>
    <t>TG</t>
  </si>
  <si>
    <t>UR</t>
  </si>
  <si>
    <t>VS</t>
  </si>
  <si>
    <t>VD</t>
  </si>
  <si>
    <t>ZG</t>
  </si>
  <si>
    <t>ZH</t>
  </si>
  <si>
    <t>En Europe</t>
  </si>
  <si>
    <t>Dans l'UE</t>
  </si>
  <si>
    <t>Etats (ordre alphabétique)</t>
  </si>
  <si>
    <t>Andorre</t>
  </si>
  <si>
    <t>Albanie</t>
  </si>
  <si>
    <t>Allemagne</t>
  </si>
  <si>
    <t>Autriche</t>
  </si>
  <si>
    <t>Belgique</t>
  </si>
  <si>
    <t>Biélorussie</t>
  </si>
  <si>
    <t>Bosnie-
Herzégovine</t>
  </si>
  <si>
    <t>Bulgarie</t>
  </si>
  <si>
    <t>Chypre</t>
  </si>
  <si>
    <t>Croatie</t>
  </si>
  <si>
    <t>Danemark</t>
  </si>
  <si>
    <t>Espagne</t>
  </si>
  <si>
    <t>Estonie</t>
  </si>
  <si>
    <t>Finlande</t>
  </si>
  <si>
    <t>France</t>
  </si>
  <si>
    <t>Gibraltar</t>
  </si>
  <si>
    <t>Grèce</t>
  </si>
  <si>
    <t>Guernesey</t>
  </si>
  <si>
    <t>Hongrie</t>
  </si>
  <si>
    <t>Îles Féroé</t>
  </si>
  <si>
    <t>Irlande</t>
  </si>
  <si>
    <t>I</t>
  </si>
  <si>
    <t>M</t>
  </si>
  <si>
    <t>Islande</t>
  </si>
  <si>
    <t>G</t>
  </si>
  <si>
    <t>EI</t>
  </si>
  <si>
    <t>Italie</t>
  </si>
  <si>
    <t>Jersey</t>
  </si>
  <si>
    <t>Kosovo</t>
  </si>
  <si>
    <t>Lettonie</t>
  </si>
  <si>
    <t>Liechtenstein</t>
  </si>
  <si>
    <t>HÔ
Total*</t>
  </si>
  <si>
    <t>Lituanie</t>
  </si>
  <si>
    <t>Luxembourg</t>
  </si>
  <si>
    <t>Macédoine 
du Nord</t>
  </si>
  <si>
    <t>HÔ
SI*</t>
  </si>
  <si>
    <t>Malte</t>
  </si>
  <si>
    <t>Moldavie</t>
  </si>
  <si>
    <t>Monaco</t>
  </si>
  <si>
    <t>Monténégro</t>
  </si>
  <si>
    <t>Norvège</t>
  </si>
  <si>
    <t>Pays-Bas</t>
  </si>
  <si>
    <t>Pologne</t>
  </si>
  <si>
    <t>HÔ
I **</t>
  </si>
  <si>
    <t>Portugal</t>
  </si>
  <si>
    <t>République 
tchèque</t>
  </si>
  <si>
    <t>Royaume-Uni</t>
  </si>
  <si>
    <t>Roumanie</t>
  </si>
  <si>
    <t>Russie</t>
  </si>
  <si>
    <t>Saint-Marin</t>
  </si>
  <si>
    <t>Serbie</t>
  </si>
  <si>
    <t>Slovaquie</t>
  </si>
  <si>
    <t>Slovénie</t>
  </si>
  <si>
    <t>Suède</t>
  </si>
  <si>
    <t>Suisse</t>
  </si>
  <si>
    <t>Ukraine</t>
  </si>
  <si>
    <t>Vatican</t>
  </si>
  <si>
    <t>AND</t>
  </si>
  <si>
    <t>ALB</t>
  </si>
  <si>
    <t>DEU</t>
  </si>
  <si>
    <t>AUT</t>
  </si>
  <si>
    <t>BEL</t>
  </si>
  <si>
    <t>BLR</t>
  </si>
  <si>
    <t>BIH</t>
  </si>
  <si>
    <t>BGR</t>
  </si>
  <si>
    <t>CYP</t>
  </si>
  <si>
    <t>HRV</t>
  </si>
  <si>
    <t>DNK</t>
  </si>
  <si>
    <t>ESP</t>
  </si>
  <si>
    <t>EST</t>
  </si>
  <si>
    <t>FIN</t>
  </si>
  <si>
    <t>HÔ
Total</t>
  </si>
  <si>
    <t>FRA</t>
  </si>
  <si>
    <t>HÔ
SI</t>
  </si>
  <si>
    <t>GIB</t>
  </si>
  <si>
    <t>HÔ
I</t>
  </si>
  <si>
    <t>GRC</t>
  </si>
  <si>
    <t>GGY</t>
  </si>
  <si>
    <t>HUN</t>
  </si>
  <si>
    <t>FRO</t>
  </si>
  <si>
    <t>ISL</t>
  </si>
  <si>
    <t>ITA</t>
  </si>
  <si>
    <t>JEY</t>
  </si>
  <si>
    <t>LVA</t>
  </si>
  <si>
    <t>LIE</t>
  </si>
  <si>
    <t>LTU</t>
  </si>
  <si>
    <t>LUX</t>
  </si>
  <si>
    <t>MKD</t>
  </si>
  <si>
    <t>MLT</t>
  </si>
  <si>
    <t>MDA</t>
  </si>
  <si>
    <t>MCO</t>
  </si>
  <si>
    <t>MNE</t>
  </si>
  <si>
    <t>NOR</t>
  </si>
  <si>
    <t>NLD</t>
  </si>
  <si>
    <t>POL</t>
  </si>
  <si>
    <t>PRT</t>
  </si>
  <si>
    <t>CZE</t>
  </si>
  <si>
    <t>GBR</t>
  </si>
  <si>
    <t>ROU</t>
  </si>
  <si>
    <t>RUS</t>
  </si>
  <si>
    <t>SMR</t>
  </si>
  <si>
    <t>SRB</t>
  </si>
  <si>
    <t>SVK</t>
  </si>
  <si>
    <t>SVN</t>
  </si>
  <si>
    <t>SWE</t>
  </si>
  <si>
    <t>UKR</t>
  </si>
  <si>
    <t>VA</t>
  </si>
  <si>
    <t>HÔ</t>
  </si>
  <si>
    <t>1er mort à Wuhan en Chine, cette mort n'a été annoncée par les autorités que le 11 janvier</t>
  </si>
  <si>
    <t>https://pages.rts.ch/emissions/temps-present/11029337-coronavirus-enquete-aux-origines-du-desastre.html?fbclid=IwAR3q3tOZpMxGH1piEcL8sBngSFGlUj0Pfw5p0Q2g302drWBabGM1CY-VQqU#11029338</t>
  </si>
  <si>
    <t>https://www.who.int/csr/don/14-january-2020-novel-coronavirus-thailand-ex-china/fr/</t>
  </si>
  <si>
    <t>https://www.who.int/docs/default-source/coronaviruse/situation-reports/20200121-sitrep-1-2019-ncov.pdf?sfvrsn=20a99c10_4</t>
  </si>
  <si>
    <t>1er cas au Viet Nam (2 cas dont 1 ne venant pas de l'étranger, montre la transmition du virus d'humain à humain). 
1er cas à Singapour</t>
  </si>
  <si>
    <t>https://www.who.int/docs/default-source/coronaviruse/situation-reports/20200124-sitrep-4-2019-ncov.pdf?sfvrsn=9272d086_8</t>
  </si>
  <si>
    <t>https://www.who.int/docs/default-source/coronaviruse/situation-reports/20200125-sitrep-5-2019-ncov.pdf?sfvrsn=429b143d_8</t>
  </si>
  <si>
    <t>1er cas en Malaisie (4 cas)</t>
  </si>
  <si>
    <t>https://www.who.int/docs/default-source/coronaviruse/situation-reports/20200127-sitrep-7-2019--ncov.pdf?sfvrsn=98ef79f5_2</t>
  </si>
  <si>
    <t>https://www.who.int/docs/default-source/coronaviruse/situation-reports/20200128-sitrep-8-ncov-cleared.pdf?sfvrsn=8b671ce5_2</t>
  </si>
  <si>
    <t>https://www.who.int/docs/default-source/coronaviruse/situation-reports/20200129-sitrep-9-ncov-v2.pdf?sfvrsn=e2c8915_2</t>
  </si>
  <si>
    <t>https://www.who.int/docs/default-source/coronaviruse/situation-reports/20200130-sitrep-10-ncov.pdf?sfvrsn=d0b2e480_2</t>
  </si>
  <si>
    <t>https://www.who.int/docs/default-source/coronaviruse/situation-reports/20200201-sitrep-12-ncov.pdf?sfvrsn=273c5d35_2</t>
  </si>
  <si>
    <t>https://www.who.int/docs/default-source/coronaviruse/situation-reports/20200202-sitrep-13-ncov-v3.pdf?sfvrsn=195f4010_6</t>
  </si>
  <si>
    <t>https://www.who.int/docs/default-source/coronaviruse/situation-reports/20200204-sitrep-15-ncov.pdf?sfvrsn=88fe8ad6_4</t>
  </si>
  <si>
    <t>1er cas en France</t>
  </si>
  <si>
    <t>1ère mort au Japon
Modification du calcul des cas annoncés en Chine</t>
  </si>
  <si>
    <t>1er cas en Allemagne</t>
  </si>
  <si>
    <t>1ère mort en France</t>
  </si>
  <si>
    <t>https://www.who.int/docs/default-source/coronaviruse/situation-reports/20200217-sitrep-28-covid-19.pdf?sfvrsn=a19cf2ad_2</t>
  </si>
  <si>
    <t>1er cas en Finlande</t>
  </si>
  <si>
    <t>https://www.who.int/docs/default-source/coronaviruse/situation-reports/20200218-sitrep-29-covid-19.pdf?sfvrsn=6262de9e_2</t>
  </si>
  <si>
    <t>1er cas en Italie (2 cas)</t>
  </si>
  <si>
    <t>https://www.who.int/docs/default-source/coronaviruse/situation-reports/20200131-sitrep-11-ncov.pdf?sfvrsn=de7c0f7_4</t>
  </si>
  <si>
    <t>1er cas en Israël
1er cas au Liban</t>
  </si>
  <si>
    <t>https://www.who.int/docs/default-source/coronaviruse/situation-reports/20200222-sitrep-33-covid-19.pdf?sfvrsn=c9585c8f_4</t>
  </si>
  <si>
    <t>1er cas en Russie (2 cas)
1er cas en Espagne
1er cas en Suède
1er cas aux Royaume-Unis (2 cas)</t>
  </si>
  <si>
    <t>1er cas au Koweït (3 cas)</t>
  </si>
  <si>
    <t>https://www.who.int/docs/default-source/coronaviruse/situation-reports/20200224-sitrep-35-covid-19.pdf?sfvrsn=1ac4218d_2</t>
  </si>
  <si>
    <t>1er cas - Tessin - 1 homme de 70 ans, infecté le 15 février vers Milan</t>
  </si>
  <si>
    <t>https://www.illustre.ch/magazine/suisse-une-semaine-face-coronavirus</t>
  </si>
  <si>
    <t>https://www.who.int/docs/default-source/coronaviruse/situation-reports/20200225-sitrep-36-covid-19.pdf?sfvrsn=2791b4e0_2</t>
  </si>
  <si>
    <t>1er cas - Genève -1 homme 28 ans qui travaille à l'Imad à Carouge</t>
  </si>
  <si>
    <t>https://www.who.int/docs/default-source/coronaviruse/situation-reports/20200226-sitrep-37-covid-19.pdf?sfvrsn=2146841e_2</t>
  </si>
  <si>
    <t>1er cas - Vaud - 1 homme 49 ans domicilié en France
1er cas - Zürich - 1 femme 30 ans ayant voyagé à Milan
1er cas - Argovie - 1 homme 26 ans
1-2e cas - Grisons - 2 enfants italiens en vacances en Haute-Engadine</t>
  </si>
  <si>
    <t>1er cas - Valais - 1 homme 30 ans, en isolement à l’hôpital de Sion
2-3e cas - Genève - 1 homme 40 ans + 1 jeune fille revenus de Milan
2e cas - Zürich - 1 homme 45 ans revenu de Milan</t>
  </si>
  <si>
    <t>1er cas en Belgique</t>
  </si>
  <si>
    <t>https://www.who.int/docs/default-source/coronaviruse/situation-reports/20200205-sitrep-16-ncov.pdf?sfvrsn=23af287f_4</t>
  </si>
  <si>
    <t>https://www.who.int/docs/default-source/coronaviruse/situation-reports/20200229-sitrep-40-covid-19.pdf?sfvrsn=849d0665_2</t>
  </si>
  <si>
    <t>1er cas - Berne - 1 femme 21 ans infectée en Italie</t>
  </si>
  <si>
    <t xml:space="preserve">1er cas - Fribourg - 1  homme 30ans en Gruyère  probablement infecté en Lombardie
4-6e cas - Genève - 
2e cas - Valais - un proche du Haut-Valaisan infecté le 28
1er cas - Neuchâtel - 1 homme de 22 ans </t>
  </si>
  <si>
    <t>https://www.who.int/docs/default-source/coronaviruse/situation-reports/20200207-sitrep-18-ncov.pdf?sfvrsn=fa644293_2</t>
  </si>
  <si>
    <t>2e cas - Fribourg - 1 jeune homme a été en contact avec le premier
2e cas - Tessin - 1 résident âgé de la région de Lugano 
3-9e cas - Zürich - 6 hommes et 1 femme de 25 à 36 ans revenu d'Italie ou en contact avec des personnes contaminées en Italie</t>
  </si>
  <si>
    <t xml:space="preserve">https://www4.ti.ch/area-media/comunicati/dettaglio-comunicato/?NEWS_ID=187352&amp;tx_tichareamedia_comunicazioni%5Baction%5D=show&amp;tx_tichareamedia_comunicazioni%5Bcontroller%5D=Comunicazioni&amp;cHash=ea65dbcabb28d4711459f3b613bbc1b7
</t>
  </si>
  <si>
    <t>6 cas - Tessin - 2 femmes, 1 a été en contact le 2e patient enregistré dans le canton. L'autre s'est rendue revenait d'Italie.
1er cas - Zug - 1 homme de 21 ans contaminé lors d'une réunion privée en Suisse</t>
  </si>
  <si>
    <t xml:space="preserve">https://www4.ti.ch/area-media/comunicati/dettaglio-comunicato/?NEWS_ID=187369&amp;tx_tichareamedia_comunicazioni%5Baction%5D=show&amp;tx_tichareamedia_comunicazioni%5Bcontroller%5D=Comunicazioni&amp;cHash=3154d18e72821fc23d7b3c5cdfe9f9a3
https://www4.ti.ch/area-media/comunicati/dettaglio-comunicato/?NEWS_ID=187363&amp;tx_tichareamedia_comunicazioni%5Baction%5D=show&amp;tx_tichareamedia_comunicazioni%5Bcontroller%5D=Comunicazioni&amp;cHash=b34e82602a39cad67a7f8d54150dcf70
https://www.lenouvelliste.ch/articles/suisse/coronavirus-un-deuxieme-cas-detecte-dans-le-canton-de-vaud-915425
</t>
  </si>
  <si>
    <t>https://www.who.int/docs/default-source/coronaviruse/situation-reports/20200208-sitrep-19-ncov.pdf?sfvrsn=6e091ce6_4</t>
  </si>
  <si>
    <t>3-6e cas Argovie - 
1-3e cas - Schwyz - 
1er cas - St-Gall -
3-8e cas - Vaud - 1 femme et 5 hommes, âgés entre 33 ans et 78 ans.
1ers cas de transmissions interhumaines sur sol vaudois 
10-13e cas - Zürich -</t>
  </si>
  <si>
    <t xml:space="preserve">https://www.24heures.ch/vaud-regions/plusieurs-nouveaux-cas-infection-canton/story/21654898
</t>
  </si>
  <si>
    <t>https://www.who.int/docs/default-source/coronaviruse/situation-reports/20200209-sitrep-20-ncov.pdf?sfvrsn=6f80d1b9_4</t>
  </si>
  <si>
    <t>Presque 100 cas en suisse interview de Daniel Koch (OFSP)
1-2e cas - Lucerne - 1 femme  16 ans revenant d'italie et 1 homme 45 ans en contact avec un malade dans un autre canton
1ère mort en Suisse - Vaud - une femme de 74 ans infectée par le coronavirus. Elle était hospitalisée depuis le 3 mars et est décédée durant la nuit du 4 au 5 mars. Les autorités vaudoises feront un point de situation dans le cadre d’un point presse à 13h30.</t>
  </si>
  <si>
    <t>https://www.24heures.ch/suisse/coronavirus/grippe-coronavirus-savoir/story/12663134
https://www.bag.admin.ch/bag/fr/home/das-bag/aktuell/medienmitteilungen.msg-id-78354.html</t>
  </si>
  <si>
    <t>https://www.who.int/docs/default-source/coronaviruse/situation-reports/20200210-sitrep-21-ncov.pdf?sfvrsn=947679ef_2</t>
  </si>
  <si>
    <t>1er cas - Thurgovie 
Au moins 19 cantons touchés</t>
  </si>
  <si>
    <t>https://www.letemps.ch/monde/continu-19-cantons-touches-lepidemie-coronavirus</t>
  </si>
  <si>
    <t>https://www.who.int/docs/default-source/coronaviruse/situation-reports/20200211-sitrep-22-ncov.pdf?sfvrsn=fb6d49b1_2</t>
  </si>
  <si>
    <t xml:space="preserve">45 cas - Tessin - </t>
  </si>
  <si>
    <t>https://www4.ti.ch/area-media/comunicati/dettaglio-comunicato/?NEWS_ID=187406&amp;tx_tichareamedia_comunicazioni%5Baction%5D=show&amp;tx_tichareamedia_comunicazioni%5Bcontroller%5D=Comunicazioni&amp;cHash=e553d0b42db2ead87a7d05e499fac4db</t>
  </si>
  <si>
    <t>https://www.usnews.com/news/world/articles/2020-03-09/panamas-health-ministry-confirms-first-coronavirus-case</t>
  </si>
  <si>
    <t>https://www.who.int/docs/default-source/coronaviruse/situation-reports/20200213-sitrep-24-covid-19.pdf?sfvrsn=9a7406a4_4</t>
  </si>
  <si>
    <t xml:space="preserve">1ère mort - Bâle-Campagne - 1 homme de 76 ans
58 cas - Tessin - </t>
  </si>
  <si>
    <r>
      <t xml:space="preserve">https://www.rts.ch/info/suisse/11148788-le-coronavirus-fait-un-deuxieme-mort-en-suisse-a-bale-campagne.html
</t>
    </r>
    <r>
      <rPr>
        <sz val="10"/>
        <color rgb="FF000000"/>
        <rFont val="Arial"/>
      </rPr>
      <t>https://www4.ti.ch/area-media/comunicati/dettaglio-comunicato/?NEWS_ID=187407&amp;tx_tichareamedia_comunicazioni%5Baction%5D=show&amp;tx_tichareamedia_comunicazioni%5Bcontroller%5D=Comunicazioni&amp;cHash=8d1ff4bf2a674892913340827de952ea</t>
    </r>
  </si>
  <si>
    <t xml:space="preserve">
68 cas - Tessin -</t>
  </si>
  <si>
    <t xml:space="preserve">
https://www4.ti.ch/area-media/comunicati/dettaglio-comunicato/?NEWS_ID=187417&amp;tx_tichareamedia_comunicazioni%5Baction%5D=show&amp;tx_tichareamedia_comunicazioni%5Bcontroller%5D=Comunicazioni&amp;cHash=20e9b76118246e98781581881b459523</t>
  </si>
  <si>
    <t>1e mort - Genève - 1 femme de 32 ans
1ère mort - Tessin - 1 personne de 80+ ans</t>
  </si>
  <si>
    <t>https://www4.ti.ch/area-media/comunicati/dettaglio-comunicato/?NEWS_ID=187422&amp;tx_tichareamedia_comunicazioni%5Baction%5D=show&amp;tx_tichareamedia_comunicazioni%5Bcontroller%5D=Comunicazioni&amp;cHash=24aa247e65de88fdd1551a61fcc407d9</t>
  </si>
  <si>
    <t>2e mort - Bâle-Campagne - 1 homme de 54 ans 
2-3e mort - Vaud -
1er cas - Schaffhouse - 1 femme de 30 ans</t>
  </si>
  <si>
    <t>https://www.lfm.ch/actualite/suisse/le-coronavirus-tue-une-4e-fois-en-suisse/
https://www.20min.ch/ro/news/monde/story/Direct-Coronavirus-14927039</t>
  </si>
  <si>
    <t>1ère mort - Bâle-Ville - 1 femme de 67 ans
2-3e morts - Tessin - 2 personnes de 80+ ans</t>
  </si>
  <si>
    <t>https://telebasel.ch/2020/03/12/kanton-basel-stadt-meldet-ersten-corona-todesfall/?channel=588036
https://www4.ti.ch/area-media/comunicati/dettaglio-comunicato/?NEWS_ID=187437&amp;tx_tichareamedia_comunicazioni%5Baction%5D=show&amp;tx_tichareamedia_comunicazioni%5Bcontroller%5D=Comunicazioni&amp;cHash=59cf6112c82abed490acd8901f5a0bb2</t>
  </si>
  <si>
    <t>https://www.who.int/docs/default-source/coronaviruse/situation-reports/20200216-sitrep-27-covid-19.pdf?sfvrsn=78c0eb78_4</t>
  </si>
  <si>
    <t xml:space="preserve">1ère mort - Valais - 1 personne de 90+ ans
3e mort - Vaud - </t>
  </si>
  <si>
    <t>https://canal9.ch/premier-deces-lie-au-covi-19-en-valais-confirme/
https://www.lfm.ch/actualite/suisse/coronavirus-le-suivi-suisse-du-vendredi-13-mars/</t>
  </si>
  <si>
    <t>4-5e mort - Tessin - 2 personnes âgées dans les groupes à risque
4e mort - Vaud -</t>
  </si>
  <si>
    <t xml:space="preserve">https://www4.ti.ch/area-media/comunicati/dettaglio-comunicato/?NEWS_ID=187466&amp;tx_tichareamedia_comunicazioni%5Baction%5D=show&amp;tx_tichareamedia_comunicazioni%5Bcontroller%5D=Comunicazioni&amp;cHash=1b10e6e8117296766155edcf9c317a4c
</t>
  </si>
  <si>
    <t>2-3e mort - Genève -
6e mort - Tessin - 1 personne âgée
2e mort - Valais -
5e mort - Vaud -</t>
  </si>
  <si>
    <t xml:space="preserve">https://www4.ti.ch/area-media/comunicati/dettaglio-comunicato/?NEWS_ID=187467&amp;tx_tichareamedia_comunicazioni%5Baction%5D=show&amp;tx_tichareamedia_comunicazioni%5Bcontroller%5D=Comunicazioni&amp;cHash=af5473066754ef4d1272e156056acc07
</t>
  </si>
  <si>
    <t xml:space="preserve">7-8e mort - Tessin - 2 personnes âgées
3e mort - Valais -
6-7e mort - Vaud - 
1ère mort - Zürich - 1 homme de 88 ans
Déclaration de l'état d'urgence niveau 3 en Suisse </t>
  </si>
  <si>
    <t>https://www4.ti.ch/area-media/comunicati/dettaglio-comunicato/?NEWS_ID=187475&amp;tx_tichareamedia_comunicazioni%5Baction%5D=show&amp;tx_tichareamedia_comunicazioni%5Bcontroller%5D=Comunicazioni&amp;cHash=dee4a529abd4e9300e116c7ff4db5774
https://www.radiolac.ch/actualite/coronavirus-premier-deces-dans-le-canton-de-zurich/
http://www.agefi.com/home/politique/detail/edition/online/article/la-pandemie-de-coronavirus-a-deja-fait-plus-de-2000-deces-en-europe-les-banques-centrales-et-les-gouvernements-prennent-des-mesures-le-suivi-en-direct-494944.html</t>
  </si>
  <si>
    <r>
      <t xml:space="preserve">1ère mort - Neuchâtel - 
4e mort - Genève -
8-10e mort - Tessin - 
8-9e mort - Vaud -
</t>
    </r>
    <r>
      <rPr>
        <i/>
        <sz val="10"/>
        <color rgb="FF999999"/>
        <rFont val="Arial"/>
      </rPr>
      <t>Entre 2500 et 2700 cas en Suisse 
Il y a une différence entre le total de cas annoncé et le total des canton combinés... mais si j'ai bien compris ce que disait Daniel Koch dans la conférence de presse aujoud'hui, il y a des cas doublement confirmés, des cas positifs mais pas confirmés par un double test et des cas qui ne sont pas encore saisi.... 
Ici les chiffres sont ceux que les journalistes ont pu trouvés en faisant des recherches directement auprès de chaque canton pour connaître leurs chiffres, car l'OFSP n'arrive pas à suivre et n'ont pas le chiffre les plus récents compilé actuellement.</t>
    </r>
  </si>
  <si>
    <t>https://www4.ti.ch/area-media/comunicati/dettaglio-comunicato/?NEWS_ID=187486&amp;tx_tichareamedia_comunicazioni%5Baction%5D=show&amp;tx_tichareamedia_comunicazioni%5Bcontroller%5D=Comunicazioni&amp;cHash=d106aab74491da09b294ff13ffadd02f
https://www.rts.ch/info/11170233-la-suisse-au-ralenti-apres-l-etat-de-necessite-decrete-par-le-conseil-federal.html
https://www.24heures.ch/monde/direct-deux-nouveaux-deces-valais/story/24581768
https://www.heidi.news/articles/les-grandes-etapes-du-coronavirus-jusqu-ici?fbclid=IwAR2GBacWF4PFkc5PeQaZk73K6xcw0yIIN3Cdq-FZMjL_pPN32z8RKDxoxVo</t>
  </si>
  <si>
    <t>5e mort - Genève -
2e mort - Neuchâtel -
9-14e mort - Tessin -
4e mort - Valais -
10-12e mort - Vaud -</t>
  </si>
  <si>
    <t xml:space="preserve">https://www4.ti.ch/area-media/comunicati/dettaglio-comunicato/?NEWS_ID=187493&amp;tx_tichareamedia_comunicazioni%5Baction%5D=show&amp;tx_tichareamedia_comunicazioni%5Bcontroller%5D=Comunicazioni&amp;cHash=7803bbc03dd49ef2e421dfd6b12dd239
</t>
  </si>
  <si>
    <t>6e mort - Genève -
3e mort - Neuchâtel -
15e mort - Tessin - 
5-6e mort - Valais -
13e mort - Vaud - 
2-3e mort - Zürich - 2 personnes 78 et 80 ans</t>
  </si>
  <si>
    <t>https://www4.ti.ch/area-media/comunicati/dettaglio-comunicato/?NEWS_ID=187499&amp;tx_tichareamedia_comunicazioni%5Baction%5D=show&amp;tx_tichareamedia_comunicazioni%5Bcontroller%5D=Comunicazioni&amp;cHash=634a783514bdcbb426c005f1ea916268
https://www.24heures.ch/suisse/coronavirus/vaud-enregistre-7-deces-32-personnes-soins-intensifs/story/22106672
https://gd.zh.ch/internet/gesundheitsdirektion/de/themen/coronavirus.html#title-content-internet-gesundheitsdirektion-de-themen-coronavirus-jcr-content-contentPar-textimage_7</t>
  </si>
  <si>
    <t xml:space="preserve">1ère mort - Argovie - 1 personne de +85 ans
3e mort - Bâle-Campagne -
7-8e mort - Genève -
16-22e mort - Tessin
7e mort - Valais -
14-18e mort - Vaud - </t>
  </si>
  <si>
    <t>1er morts en Italie (2 morts)</t>
  </si>
  <si>
    <t>https://www.who.int/docs/default-source/coronaviruse/situation-reports/20200223-sitrep-34-covid-19.pdf?sfvrsn=44ff8fd3_2</t>
  </si>
  <si>
    <t>1ère mort - Appenzell Rhodes-Ext. - 1 homme de 86 ans
2e mort - Fribourg -
1ère mort à Lucerne - 1 homme de 55 ans
4e mort - Neuchâtel -
8-10e mort - Valais -
19-20e mort - Vaud -</t>
  </si>
  <si>
    <t xml:space="preserve">https://www.ar.ch/schnellzugriff/medienmitteilungen-der-kantonalen-verwaltung/detail/news/coronavirus-erster-todesfall-in-appenzell-ausserrhoden/?tx_news_pi1%5Bcontroller%5D=News&amp;tx_news_pi1%5Baction%5D=detail&amp;cHash=a88f209df29c38474f9c5f9e1c5dd53f
https://newsletter.lu.ch/inxmail/html_mail.jsp?params=7UGt4J1Fx6OIONHlV9upAAuOzkQ6ZmQA%2FxRrLjJkeDWZdweUdKfwhAE94i2Apium%2F6rIvcF2Z5MaTtV52A77W2jrwVmrkZ8UhFPVmHC4iuI%3D
</t>
  </si>
  <si>
    <t>3e mort - Fribourg - 
9e mort - Genève -
29-37e mort - Tessin -
11e mort - Valais -
21e mort - Vaud -</t>
  </si>
  <si>
    <t xml:space="preserve">https://www.laliberte.ch/info-regionale/sante/en-continu-un-4e-deces-dans-le-canton-de-fribourg-558068
https://www4.ti.ch/area-media/comunicati/dettaglio-comunicato/?NEWS_ID=187507&amp;tx_tichareamedia_comunicazioni%5Baction%5D=show&amp;tx_tichareamedia_comunicazioni%5Bcontroller%5D=Comunicazioni&amp;cHash=6ca92d7c1f43a6e2b2ebf9e2d14af079
</t>
  </si>
  <si>
    <t>https://www.swissinfo.ch/eng/reuters/botswana-records-first-three-cases-of-coronavirus---health-minister/45654912
https://afrique.lalibre.be/48448/coronavirus-langola-annonce-ses-deux-premiers-morts/</t>
  </si>
  <si>
    <t>4e mort - Fribourg -
10-13e mort - Genève -
5e mort - Neuchâtel -
1ère mort - Saint-Gall - 1 homme de 86 ans
1ère mort - Soleur - 1 homme de 90 ans
38-48e mort - Tessin - 
12-13e mort - Valais -
22-25e mort - Vaud - 
4-5e mort - Zürich - 2 personnes 96 ans et 97 ans</t>
  </si>
  <si>
    <t>https://www.sg.ch/tools/informationen-coronavirus/medieninformation-coronavirus.html
https://www.srf.ch/news/regional/aargau-solothurn/corona-lage-aargau-solothurn-polizeien-schliessen-kleine-posten
https://www4.ti.ch/area-media/comunicati/dettaglio-comunicato/?NEWS_ID=187510&amp;tx_tichareamedia_comunicazioni%5Baction%5D=show&amp;tx_tichareamedia_comunicazioni%5Bcontroller%5D=Comunicazioni&amp;cHash=0120f665ab49651b9d66c876ef272a91
https://www.24heures.ch/suisse/coronavirus/grippe-coronavirus-savoir/story/12663134</t>
  </si>
  <si>
    <t xml:space="preserve">2e mort - Argovie 1 personne de +85 ans
4e mort - Bâle-Camagne -
6-8e mort - Bâle-Ville - 3 personnes de 66, 73 et 100 ans
5e mort - Fribourg - 
14e mort - Genève -
6e mort - Neuchâtel -
49-53e mort - Tessin - 
1ère mort - Thurgovie - 1 femme de 87 ans
14e mort - Valais -
26-29e mort - Vaud - </t>
  </si>
  <si>
    <t xml:space="preserve">
https://www.coronavirus.bs.ch/nm/2020-tagesbulletin-coronavirus-466-bestaetigte-faelle-im-kanton-basel-stadt-gd.html
https://www4.ti.ch/area-media/comunicati/dettaglio-comunicato/?NEWS_ID=187520&amp;tx_tichareamedia_comunicazioni%5Baction%5D=show&amp;tx_tichareamedia_comunicazioni%5Bcontroller%5D=Comunicazioni&amp;cHash=4d581f57e92de04937175bab9e5b0f14
https://www.tg.ch/news/news-detailseite.html/485/news/44925
</t>
  </si>
  <si>
    <t xml:space="preserve">1er cas en Autriche (2 cas)
1er cas en Croatie (2 cas)
1er Suisse (1 cas) </t>
  </si>
  <si>
    <t>5e mort - Bâle-Campagne - 
9-12e- Bâle-Ville - 3 hommes et 1 femme entre 71 et 93 ans
6e mort - Fribourg - 
15-21e mort - Genève -
2e mort - Lucerne - 1 femme de 92 ans
7-9e mort - Neuchâtel -
1ère mort - Schwitz - 1 homme de 79 ans
54-60e mort - Tessin - 
15e mort - Valais -
30-36e  mort - Vaud -
6-7e mort - Zürich - 2 personnes de 78 et 90 ans</t>
  </si>
  <si>
    <t>https://www.coronavirus.bs.ch/nm/2020-tagesbulletin-coronavirus-505-bestaetigte-faelle-im-kanton-basel-stadt-gd.html
https://newsletter.lu.ch/inxmail/html_mail.jsp?params=7UGt4J1Fx6OIONHlV9upAJcHXYmL0y%2FPAuXPw0kNT7xv9fti5DCn3zpUvSWMGCEnrJes%2FCb37h3qyJvnOYIX2NuAfZAWOiib5mI5a%2FFHWJo%3D
https://www.sz.ch/public/upload/assets/45743/MM_Todesfall_26_3_2020.pdf
https://www4.ti.ch/area-media/comunicati/dettaglio-comunicato/?NEWS_ID=187523&amp;tx_tichareamedia_comunicazioni%5Baction%5D=show&amp;tx_tichareamedia_comunicazioni%5Bcontroller%5D=Comunicazioni&amp;cHash=982795a2c13394282accc3a8506c9ba0
https://gd.zh.ch/internet/gesundheitsdirektion/de/themen/coronavirus.html#medienmitteilungen</t>
  </si>
  <si>
    <t>7-11e mort - Fribourg - 
22-23e mort - Genève -
7-9e mort - Grisons -
3e mort - Lucerne - 1 homme de 93 ans 
10-11e mort - Neuchâtel -
2e mort - St-Gall - 
61-67e mort Tessin -
16-17e mort - Valais -  
37-47e mort - Vaud -
8-9e mort - Zürich - 2 personnes de 80 et 85 ans</t>
  </si>
  <si>
    <t xml:space="preserve">
https://newsletter.lu.ch/inxmail/html_mail.jsp?params=7UGt4J1Fx6OIONHlV9upAIvif1U8dGIk9SYAlVzVtEiZdweUdKfwhAE94i2ApiumtVfStd4l2AvFz5FHPP2Kd5WqXft1GUrhSz5WxWSG5UQ%3D
https://www4.ti.ch/area-media/comunicati/dettaglio-comunicato/?NEWS_ID=187529&amp;cHash=c60f3ca7d5f9f03a7000fc8a4f37d3b8
https://gd.zh.ch/internet/gesundheitsdirektion/de/themen/coronavirus.html#medienmitteilungen</t>
  </si>
  <si>
    <t>1er cas au Danemark (1 cas)
1er cas en Estonie (1 cas)
1er cas en Grèce (1 cas)
1er cas en Macédoine du Nord (1 cas)
1er cas en Norvège (1 cas)
1er cas en Roumanie (1 cas)</t>
  </si>
  <si>
    <t>https://www.who.int/docs/default-source/coronaviruse/situation-reports/20200227-sitrep-38-covid-19.pdf?sfvrsn=9f98940c_2</t>
  </si>
  <si>
    <t>3e mort - Argovie -
13e mort - Bâle-Ville - 1 patient de plus de 65 ans
12-15e mort - Fribourg -
24-30e mort - Genève -
12e mort - Neuchâtel -
68-76e mort - Tessin - 
18-21e mort - Valais -
48e mort - Vaud -
1ère mort - Zoug - 1 homme de 73 ans
10-11e mort - Zürich - 2 personnes de 75 et 78 ans</t>
  </si>
  <si>
    <t>https://www.coronavirus.bs.ch/nm/2020-tagesbulletin-coronavirus-534-bestaetigte-faelle-im-kanton-basel-stadt-gd.html
https://www4.ti.ch/area-media/comunicati/dettaglio-comunicato/?NEWS_ID=187533&amp;cHash=11560162b69fad29670652bda6d32875
https://www.zentralplus.ch/erster-covid-19-todesfall-im-kanton-zug-1761203/
https://gd.zh.ch/internet/gesundheitsdirektion/de/themen/coronavirus.html#title-content-internet-gesundheitsdirektion-de-themen-coronavirus-jcr-content-contentPar-textimage_7</t>
  </si>
  <si>
    <t>1er cas en Biélorussie (1 cas)
1er cas en Lituanie (1 cas)
1er cas aux Pays-Bas (1 cas)</t>
  </si>
  <si>
    <t>https://www.who.int/docs/default-source/coronaviruse/situation-reports/20200228-sitrep-39-covid-19.pdf?sfvrsn=5bbf3e7d_2</t>
  </si>
  <si>
    <t>https://www.banouto.info/article/bien-etre/20200406-coronavirus-au-bnin-un-premier-cas-de-dcs-officiel/</t>
  </si>
  <si>
    <t>6e mort - Bâle-Campagne -
9e mort - Berne - 
31-37e mort - Genève-
1ère mort - Glaris - 
4e mort - Lucerne - 
13-15e mort - Neuchâtel - 
3-5e mort - St-Gall - 
2e mort - Schwitz - 1 femme de 76 ans
22-25e mort - Valais -
49-55e mort - Vaud - 
12-15e mort - Zürich - 4 personnes de 84,87,91 et 94 ans</t>
  </si>
  <si>
    <r>
      <t xml:space="preserve">https://www.sz.ch/public/upload/assets/45770/MM_KFS_2_Todesfall.pdf
</t>
    </r>
    <r>
      <rPr>
        <sz val="10"/>
        <color rgb="FF000000"/>
        <rFont val="Arial"/>
      </rPr>
      <t>https://gd.zh.ch/internet/gesundheitsdirektion/de/themen/coronavirus.html#medienmitteilungen</t>
    </r>
  </si>
  <si>
    <t>1ère mort au Malawi - 1 femme de 51 ans</t>
  </si>
  <si>
    <t>1er cas à St-Marin (1 cas)
15 cas désormais décelés en Suisse</t>
  </si>
  <si>
    <t>https://youtu.be/K7ZFQhaK7LQ?t=2839</t>
  </si>
  <si>
    <t xml:space="preserve">14-15e mort - Bâle-Ville - 2 femmes de 87 et 88 ans
10e mort - Berne - 
16e mort - Fribourg -
38-44e mort - Genève -
5e mort - Lucerne - 
16-18e mort - Neuchâtel -
2e mort - Soleur -
56-66e - Vaud - 
26-31e mort - Valais -
86-93e mort - Tessin - </t>
  </si>
  <si>
    <t>https://www.coronavirus.bs.ch/nm/2020-tagesbulletin-coronavirus-609-bestaetigte-faelle-im-kanton-basel-stadt-gd.html
https://www4.ti.ch/area-media/comunicati/dettaglio-comunicato/?NEWS_ID=187540&amp;cHash=73708c0b43a3ab14619ae84ead83bd4e</t>
  </si>
  <si>
    <t>4-8e mort - Argovie -
7e mort - Bâle-Campagne -
11-13e mort - Berne -
17e mort - Fribourg -
45-53e mort - Genève
10-12e mort - Grisons - 
6e mort - Lucerne - 
19-21e mort - Neuchâtel -
94-105e mort - Tessin -
2e mort - Thurgovie -
32-35e mort - Valais -
67-77e mort - Vaud -
16-21e mort - Zürich - 6 personnes de 65, 70, 75, 83, 85 et 92 ans</t>
  </si>
  <si>
    <t xml:space="preserve">
https://www.tdg.ch/coronavirus/standard/geneve-enregistre-42-deces/story/18360350
https://www4.ti.ch/area-media/comunicati/dettaglio-comunicato/?NEWS_ID=187546&amp;cHash=01d00919d578fd855dd1c4510b70937a
https://gd.zh.ch/internet/gesundheitsdirektion/de/themen/coronavirus.html#medienmitteilungen</t>
  </si>
  <si>
    <t>https://fr.africanews.com/2020/04/09/coronavirus-djibouti-mise-a-jour-covid-19-09-avril-2020/</t>
  </si>
  <si>
    <t>1er cas en Irlande
1er cas à Monaco
18 cas en Suisse</t>
  </si>
  <si>
    <t>https://www.ouest-france.fr/sante/virus/coronavirus/coronavirus-premier-cas-monaco-transfere-au-chu-de-nice-6757730
https://www.letemps.ch/suisse/face-coronavirus-autorites-appellent-suisses-lautodiscipline-nouvelles-29-fevrier</t>
  </si>
  <si>
    <t>https://www.lepoint.fr/monde/premier-cas-de-coronavirus-au-yemen-en-guerre-10-04-2020-2370865_24.php</t>
  </si>
  <si>
    <t>9-11e mort - Argovie - 
8-10e mort - Bâle-Campagne -
16e mort - Bâle-Ville - 1 homme de 71 ans
14-16e mort - Berne - 
18-20e mort - Fribourg -
54-61e mort - Genève -
2e mort - Glaris -
13-19e mort - Grisons -
7e mort - Lucerne -
22-23e mort -  Neuchâtel -
6-7e mort - Saint-Gall -
3-4e mort - Schwitz -
106-120e mort - Tessin -
3e mort - Thurgovie -
78-84e mort - Vaud - 
36-37e mort - Valais -
22-25e mort - Zürich - 4 personnes de 80, 85, 86, 97 ans</t>
  </si>
  <si>
    <t xml:space="preserve">https://www.ag.ch/media/kanton_aargau/themen_1/coronavirus_1/lagebulletins/200331_KFS_Coronavirus_Lagebulletin_23.pdf
https://www.coronavirus.bs.ch/nm/2020-tagesbulletin-coronavirus-628-bestaetigte-faelle-im-kanton-basel-stadt-gd.html
</t>
  </si>
  <si>
    <t>23 cas en Suisse
1er cas en République tchèque (3 cas)</t>
  </si>
  <si>
    <t>https://www.rts.ch/info/suisse/11131299-le-canton-de-fribourg-est-a-son-tour-touche-par-un-cas-de-covid-19.html
https://www.rtbf.be/info/monde/detail_covid-19-trois-premiers-cas-de-coronavirus-en-republique-tcheque-des-personnes-venant-du-nord-de-l-italie?id=10445029</t>
  </si>
  <si>
    <t>11e mort - Bâle-Campagne -
17-18e mort - Bâle-Ville - 1 homme de 61 ans et 1 femme de 84 ans
17-20e mort - Berne -
21-23e mort - Fribourg -
62-69e mort - Genève -
20-21e mort - Grisons -
24-25e mort - Neuchâtel -
1ère mort - Schaffouse -
3e mort - Soleure -
8e mort - St-Gall -
121-132e mort - Tessin -
4e mort - Thurgovie -
1ère mort - Uri -
38-40e mort -Valais -
85-92e mort - Vaud -
26-29e mort - Zürich - 4 personnes 77, 80, 82, 89 ans</t>
  </si>
  <si>
    <t xml:space="preserve">https://www.coronavirus.bs.ch/nm/2020-tagesbulletin-coronavirus-691-bestaetigte-faelle-im-kanton-basel-stadt-gd.html
https://www4.ti.ch/area-media/comunicati/dettaglio-comunicato/?NEWS_ID=187555&amp;cHash=6b581a52a46bd679e876aaf4ad2a965f
</t>
  </si>
  <si>
    <t>3e mort en France et 191 cas...
30 cas en Suisse
1er cas au Portugal (2 cas)
1er cas à Andorre (1 cas)
1er cas en Lettonie (1 cas)</t>
  </si>
  <si>
    <t>https://www.linternaute.com/actualite/guide-vie-quotidienne/2462477-direct-coronavirus-en-france-suivez-la-propagation-de-la-maladie-par-departement/
https://www.bag.admin.ch/bag/fr/home/krankheiten/ausbrueche-epidemien-pandemien/aktuelle-ausbrueche-epidemien/novel-cov.html
https://www.lesoir.be/284158/article/2020-03-02/coronavirus-premiers-cas-confirmes-au-portugal</t>
  </si>
  <si>
    <t>1ère mort au Burundi - 1 homme</t>
  </si>
  <si>
    <t>12e mort - Argovie -
12e mort - Bâle-Campagne - 
19e mort - Bâle-Ville - 1 femme de 92 ans
21-23e mort - Berne -
24-26e mort - Fribourg -
70-77e mort - Genève -
22-23e mort - Grisons -
26-28e mort - Neuchâtel
133-141e mort - Tessin -
41-47e mort - Valais -
93-107e mort - Vaud -</t>
  </si>
  <si>
    <t xml:space="preserve">https://www.ag.ch/media/kanton_aargau/themen_1/coronavirus_1/lagebulletins/200402_KFS_Coronavirus_Lagebulletin_25.pdf
https://www.coronavirus.bs.ch/nm/2020-tagesbulletin-coronavirus-718-bestaetigte-faelle-im-kanton-basel-stadt-gd.html
</t>
  </si>
  <si>
    <t>1ère mort en Guinée - 1 homme de 75 ans</t>
  </si>
  <si>
    <t>https://www.lefigaro.fr/flash-actu/la-guinee-declare-son-premier-deces-du-coronavirus-20200414</t>
  </si>
  <si>
    <t>1er cas en Ukaraine</t>
  </si>
  <si>
    <t>https://www.lesoir.be/284350/article/2020-03-03/premier-cas-de-coronavirus-confirme-en-ukraine</t>
  </si>
  <si>
    <t>13-14e mort - Bâle-Campagne -
20-21e mort - Bâle-Ville - 1 homme de 85 ans et 1 femme 89 ans 
24-26e mort - Berne-
27-31e mort - Fribourg -
78-81e mort - Genève 
24-27e mort - Grisons -
29e mort - Neuchâtel -
142-155e mort - Tessin -
5e mort - Thurgovie -
48-51e mort - Valais -
108-123e mort - Vaud - 
2e mort - Zoug -
37-38e mort - Zürich -</t>
  </si>
  <si>
    <t xml:space="preserve">https://www4.ti.ch/area-media/comunicati/dettaglio-comunicato/?NEWS_ID=187570&amp;cHash=ed89a6d06a9181c74233ea5eb6cb855d
</t>
  </si>
  <si>
    <t>435 **</t>
  </si>
  <si>
    <t>1ère mort à Eswatini</t>
  </si>
  <si>
    <t>https://www.ouest-france.fr/sante/virus/coronavirus/coronavirus-plus-de-140-000-morts-dans-le-monde-depuis-le-debut-de-l-epidemie-6810264</t>
  </si>
  <si>
    <t>1er cas au Liechtenstein (1 cas)
1er cas aux Îles Féroé (1 cas)
1er cas en Hongrie (2 cas)</t>
  </si>
  <si>
    <t>https://www.laliberte.ch/news-agence/detail/coronavirus-mesures-pour-soutenir-l-economie-ruee-sur-les-masques/555971</t>
  </si>
  <si>
    <t>15-19e mort - Bâle-Campagne -
22-24e mort - Bâle-Ville - 1 homme de 85 ans et 2 femme de 85 et 83 ans
27-28e mort - Berne -
82-94e mort - Genève -
30-31e mort - Neuchâtel -
9e mort - St-Gall -
5e mort - Schwitz -
156-165e mort - Tessin -
52-53e mort - Valais-
39-41e mort - Zürich -</t>
  </si>
  <si>
    <t xml:space="preserve">https://www.coronavirus.bs.ch/nm/2020-tagesbulletin-coronavirus-771-bestaetigte-faelle-im-kanton-basel-stadt-gd.html
https://www4.ti.ch/area-media/comunicati/dettaglio-comunicato/?NEWS_ID=187575&amp;cHash=719f6cfe224b8cdb8de3f8f5929c3c49#
</t>
  </si>
  <si>
    <t>25-26e mort - Bâle-Ville - 2 hommes de 71 et 59 ans
38-40e mort - Fribourg -
95-101e mort - Genève -
28-30e mort - Grisons -
8-9e mort - Lucerne -
166-177e mort - Tessin -
6-7e mort - Thurgovie - 
2e mort - Uri -
54-57e mort - Valais -
139-147e mort - Vaud -
42-45e mort - Zürich -</t>
  </si>
  <si>
    <t xml:space="preserve">https://www.coronavirus.bs.ch/nm/2020-tagesbulletin-coronavirus-794-bestaetigte-faelle-im-kanton-basel-stadt-gd.html
https://www4.ti.ch/area-media/comunicati/dettaglio-comunicato/?NEWS_ID=187576&amp;cHash=1c888fcc04e52e30eba55ce43f2a1926#
</t>
  </si>
  <si>
    <t xml:space="preserve">1er cas en Slovénie (1 cas)
1er cas en Bosnie-Herzégovine (2 cas)
1ère mort en Suisse </t>
  </si>
  <si>
    <t xml:space="preserve">
https://www.laliberte.ch/info-regionale/sante/coronavirus-premier-deces-en-suisse-a-lausanne-556299</t>
  </si>
  <si>
    <t>13e mort - Argovie -
29-31e mort - Berne - 
41e mort - Fribourg - 
102-112e mort - Genève -
31e mort - Grisons -
32-34e mort - Neuchâtel -
10-11e mort - St-Gall -
6e mort -  Schwitz - 
178-189e mort - Tessin -
58-60e mort - Valais -
148-160e mort - Vaud -
3e mort - Zoug -
46-48e mort - Zürich -</t>
  </si>
  <si>
    <t xml:space="preserve">https://www4.ti.ch/area-media/comunicati/dettaglio-comunicato/?NEWS_ID=187585&amp;cHash=71dae3c15afd6b09d15f28f43d415af1
</t>
  </si>
  <si>
    <t>1er cas au Vatican (1 cas)
1er cas en Serbie (1 cas)
1er cas en Slovaquie (1 cas)
1ère mort aux Pays-Bas</t>
  </si>
  <si>
    <t>14-16e mort - Argovie 
27-28e mort - Bâle-Ville - 2 femmes de 81 et 84 ans
32-33e mort - Berne - 
42-44e mort - Fribourg -
113-123e mort - Genève -
32-34e mort - Grisons -
35-36e mort - Neuchâtel -
12-13e mort - St-Gall - 
7e mort - Schwitz -
190-198e mort - Tessin -
8e mort - Thurgovie -
61-68e mort - Valais -
161-172e mort - Vaud -
40-52e mort - Zürich -</t>
  </si>
  <si>
    <t xml:space="preserve">https://www.coronavirus.bs.ch/nm/2020-tagesbulletin-coronavirus-813-bestaetigte-faelle-im-kanton-basel-stadt-gd.html
https://www4.ti.ch/area-media/comunicati/dettaglio-comunicato/?NEWS_ID=187590&amp;cHash=56fe6ed25b40cb02734e2ef489978246#
</t>
  </si>
  <si>
    <t>Depuis hier</t>
  </si>
  <si>
    <t>20-21e mort - Bâle-Campagne -
29-31e mort - Bâle-Ville - 2 femmes de 85 et 98 ans et 1 homme de 83 ans
124-136e mort - Genève -
1ère mort - Jura - 1 homme de 70+ ans
37-39e mort - Neuchâtel -
14-15e mort - St-Gall - 
199-211e mort - Tessin -
3-4e mort - Uri -
69-71e mort - Valais -
173-185e mort - Vaud -
53-57e mort - Zürich -</t>
  </si>
  <si>
    <t xml:space="preserve">https://www.arcinfo.ch/dossiers/coronavirus/articles/coronavirus-premier-deces-dans-le-canton-du-jura-927521
https://www4.ti.ch/area-media/comunicati/dettaglio-comunicato/?NEWS_ID=187593&amp;cHash=04877af9adec32de4f5ef43a5916f801
</t>
  </si>
  <si>
    <t>1er cas en Moldavie (1 cas)</t>
  </si>
  <si>
    <t>https://www.who.int/docs/default-source/coronaviruse/situation-reports/20200308-sitrep-48-covid-19.pdf?sfvrsn=16f7ccef_4</t>
  </si>
  <si>
    <t>17e mort - Argovie -
32-33e mort - Bâle-Ville - 2 femmes de 85 et 90 ans
38e mort - Berne -
46e mort - Fribourg -
137-145e mort - Genève -
35e mort - Grisons -
40e mort - Neuchâtel -
16e mort - St-Gall -
8-9e mort - Schwitz -
4-5e mort - Soleure -
212-219e mort - Tessin -
72-77e mort - Valais -
186-204e mort - Vaud -
58-62e mort - Zürich -</t>
  </si>
  <si>
    <t xml:space="preserve">https://www4.ti.ch/area-media/comunicati/dettaglio-comunicato/?NEWS_ID=187601&amp;cHash=957507c2688219fc7b91d4201c060edf
</t>
  </si>
  <si>
    <t>1er cas à Malte (3 cas)
1er cas en Bulgarie (4 cas)
2e mort en Suisse</t>
  </si>
  <si>
    <t>18e mort - Argovie -
22e mort - Bâle-Campagne -
39-42e mort - Berne -
47-49e mort - Fribourg -
2-3e mort - Jura - 2 personnes de 80+ ans 
146-154e mort - Genève -
17e mort - St-Gall - 
10e mort - Schwitz -
220-227e mort - Tessin -
78-83e mort - Valais -
205-224e mort - Vaud -
63-64e mort - Zürich -</t>
  </si>
  <si>
    <t xml:space="preserve">https://www.arcinfo.ch/dossiers/coronavirus/articles/coronavirus-le-canton-du-jura-compte-deux-deces-supplementaires-927845
https://www4.ti.ch/area-media/comunicati/dettaglio-comunicato/?NEWS_ID=187607&amp;cHash=ce95f3ce010bff1ede88eba166f1dec7#
</t>
  </si>
  <si>
    <t>Sources:</t>
  </si>
  <si>
    <t>Chiffres de l'OMS :</t>
  </si>
  <si>
    <t>http://who.maps.arcgis.com/apps/opsdashboard/index.html#/c88e37cfc43b4ed3baf977d77e4a0667</t>
  </si>
  <si>
    <t>1er cas en Albanie (2 cas)
France 1412 cas et 25 morts</t>
  </si>
  <si>
    <t>http://www.leparisien.fr/societe/sante/coronavirus-25-deces-et-1412-cas-confirmes-en-france-09-03-2020-8276211.php</t>
  </si>
  <si>
    <t>Liste des pays par continent utilisée pour classifier les pays contaminés:</t>
  </si>
  <si>
    <t>https://fr.wikipedia.org/wiki/Liste_des_%C3%89tats_du_monde_par_continent</t>
  </si>
  <si>
    <t>43-44e mort - Berne -
50-53e mort - Fribourg -
10e mort - Lucerne -
155-161e mort - Genève -
41-42e mort - Neuchâtel
18e mort - St-Gall -
6e mort - Soleure -
228-229e mort - Tessin -
84-85e mort - Valais -
225-228e mort - Vaud -
4e mort - Zoug -
65-66e mort - Zürich -</t>
  </si>
  <si>
    <t>23e mort - Bâle-Campagne -
45-39e mort - Berne -
54e mort - Fribourg -
162-167e mort - Genève -
43-47e mort - Neuchâtel -
19-21e mort - St-Gall - 
11e mort - Schwitz -
7e mort - Soleure -
230-244e mort - Tessin -
86-90e mort - Valais -
229-233e mort - Vaud -
5e mort - Zoug -
67-70e mort - Zürich -</t>
  </si>
  <si>
    <t xml:space="preserve">https://www4.ti.ch/area-media/comunicati/dettaglio-comunicato/?NEWS_ID=187612&amp;cHash=b83676622988bf3edc1dea5cc87d4dde
</t>
  </si>
  <si>
    <t>1er cas dans les Îles Anglo-Normandes (1 cas)</t>
  </si>
  <si>
    <t>Cas 
supl.</t>
  </si>
  <si>
    <t>Morts
supl.</t>
  </si>
  <si>
    <t>19e mort - Argovie -
24e mort - Bâle-Campagne -
34e mort - Bâle-Ville - 1 femme de 86 ans (sans problème médical antérieur)
55e mort - Fribourg -
168-170e mort - Genève -
48e mort - Neuchâtel -
1ère mort - Nidwald - 1 femme de 81 ans
12e mort - Schwitz -
247-251e mort - Tessin -
91-92e mort - Valais -
234-237e mort - Vaud -
71-76e mort - Zürich -</t>
  </si>
  <si>
    <t xml:space="preserve">https://www.coronavirus.bs.ch/nm/2020-tagesbulletin-coronavirus-893-bestaetigte-faelle-im-kanton-basel-stadt-gd.html
https://www.nw.ch/aktuellesinformationen/64765
https://www4.ti.ch/area-media/comunicati/dettaglio-comunicato/?NEWS_ID=187614&amp;cHash=6a831795f215c2d11ca8867a9b73e79e
</t>
  </si>
  <si>
    <t>1ère mort en Albanie - 1 femme de 73 ans à l’hôpital de Durrës
1ère mort en Belgique - 1 femme de 90 ans déjà très malade
1ère mort en Bulgarie - 1 femme de 66 ans souffrant de maladies chroniques
1ère mort en Irlande - 1 femme agée 
1ère mort en Suède - 1 personne agée</t>
  </si>
  <si>
    <t>https://www.lavenir.net/cnt/dmf20200311_01455391/coronavirus-un-premier-dans-les-pays-nordiques
https://www.rtbf.be/info/societe/detail_un-premier-deces-lie-au-coronavirus-en-belgique?id=10453501
https://www.lavenir.net/cnt/dmf20200311_01455391/coronavirus-un-premier-dans-les-pays-nordiques
https://www.bbc.com/news/uk-northern-ireland-51838237
https://www.thelocal.se/20200311/sweden-confirms-first-death-of-coronavirus-patient</t>
  </si>
  <si>
    <t>25e mort - Bâle-Campagne -
56-57e mort - Fribourg -
171-174e mort - Genève -
36-37e mort - Grisons -
11e mort - Lucerne -
49-51e mort - Neuchâtel -
13e mort - Schwitz -
8e mort - Soleure -
252-258e mort - Tessin -
9-10e mort - Thurgovie -
93-94e mort - Valais -
238-254e mort - Vaud -
77-78e mort - Zürich -</t>
  </si>
  <si>
    <t xml:space="preserve">https://www4.ti.ch/area-media/comunicati/dettaglio-comunicato/?NEWS_ID=187617&amp;cHash=0cb24c83cde4ac5acf7ae77d2d6e953e
</t>
  </si>
  <si>
    <t>20-22e mort - Argovie -
35-36e mort - Bâle-Ville - 1 femme et 1 homme de 84 et 65 ans.
50-53e mort - Berne -
58-63e mort - Fribourg -
175-178e mort - Genève -
38e mort - Grisons -
12e mort - Lucerne -
52e mort - Neuchâtel -
2e mort - Nidwald - 
22-23e mort - St-Gall -
259-263e mort - Tessin -
11e mort - Thurgovie -
255-266e mort - Vaud -
79-85e mort - Zürich -</t>
  </si>
  <si>
    <t xml:space="preserve">https://www.coronavirus.bs.ch/nm/2020-tagesbulletin-coronavirus-909-bestaetigte-faelle-im-kanton-basel-stadt-gd.html
https://www4.ti.ch/area-media/comunicati/dettaglio-comunicato/?NEWS_ID=187624&amp;cHash=e0ec8599865e02545aace5fa3d8f4afe
</t>
  </si>
  <si>
    <t>1ère mort en Grèce - 1 homme de 66 ans
1ère mort en Autriche - 1 homme de 69 ans
1ère mort en Pologne - 1 femme de 57 ans</t>
  </si>
  <si>
    <r>
      <t xml:space="preserve">https://www.lalibre.be/planete/sante/coronavirus-crainte-d-un-nouveau-foyer-d-infection-a-seoul-premier-deces-en-grece-le-point-sur-la-pandemie-dans-le-monde-5e69d494d8ad582f31692f3f
</t>
    </r>
    <r>
      <rPr>
        <sz val="10"/>
        <color rgb="FF000000"/>
        <rFont val="Arial"/>
      </rPr>
      <t>http://www.leparisien.fr/societe/direct-coronavirus-plus-de-4500-morts-dans-le-monde-et-48-en-france-les-etats-unis-interdisent-leur-sol-aux-europeens-12-03-2020-8278149.php</t>
    </r>
  </si>
  <si>
    <t>23e mort - Argovie -
37e mort - Bâle-Ville -  1 homme de 87 ans
54-55e mort - Berne -
64-65e mort - Fribourg - 
179-184e mort - Genève -
3e mort - Glaris -
13e mort - Lucerne -
53e mort - Neuchâtel -
24-25e mort - St-Gall -
14e mort - Schwitz -
264-269e mort - Tessin -
5e mort - Uri -
95e mort - Valais -
267-279e mort - Vaud -
6e mort - Zoug -
86-90e mort - Zürich -</t>
  </si>
  <si>
    <t xml:space="preserve">https://www.coronavirus.bs.ch/nm/2020-tagesbulletin-coronavirus-917-bestaetigte-faelle-im-kanton-basel-stadt-gd.html
https://www4.ti.ch/area-media/comunicati/dettaglio-comunicato/?NEWS_ID=187632&amp;cHash=3d5fd2d1825b9f22a6cf1548d554de3b#
</t>
  </si>
  <si>
    <t>1ère mort au Luxembourg - 1 homme de 94 ans
1ère mort en Ukraine - 1 femme de 71 ans 
1ère mort en Norvège - 1 personne âgée</t>
  </si>
  <si>
    <t>https://www.lefigaro.fr/sciences/coronavirus-premier-mort-en-norvege-20200312</t>
  </si>
  <si>
    <t>24e mort - Argovie -
56-67e mort - Berne -
66-67e mort - Fribourg -
185-190e mort - Genève -
39e mort - Grisons -
14e mort - Lucerne -
3e mort - Nidwald -
26-27e mort - St-Gall -
9e mort - Soleure -
270e mort - Tessin -
12e mort - Thurgovie -
96-99e mort - Valais -
280-291e mort - Vaud -
91-92e mort - Zürich -</t>
  </si>
  <si>
    <t>https://www4.ti.ch/area-media/comunicati/dettaglio-comunicato/?NEWS_ID=187639&amp;cHash=9066deb81d7f63f4d355d6acae0214ae#</t>
  </si>
  <si>
    <t>1ère mort au Danemark - 1 personne de 81 ans</t>
  </si>
  <si>
    <t>https://www.lalibre.be/dernieres-depeches/belga/coronavirus-le-danemark-annonce-son-premier-mort-du-coronavirus-5e6d1cdaf20d5a29c6654bb0</t>
  </si>
  <si>
    <t>25e mort - Argovie - 
38-40e mort - Bâle-Ville - 1 homme de 79 ans et 2 femmes de 77 et 78 ans
68-69e mort - Berne -
68-69e mort - Fribourg -
191-193e mort - Genève -
15e mort - Lucerne -
10e mort - Soleure -
271-277e mort - Tessin - 
13e mort - Thurgovie -
100-104e mort - Valais -
292e mort - Vaud -
7e mort - Zoug -
93-97e mort - Zürich -</t>
  </si>
  <si>
    <t xml:space="preserve">https://www.coronavirus.bs.ch/nm/2020-tagesbulletin-coronavirus-929-bestaetigte-faelle-im-kanton-basel-stadt-gd.html
https://www4.ti.ch/area-media/comunicati/dettaglio-comunicato/?NEWS_ID=187644&amp;cHash=fbfb04010437fe27bae3d9e963ae13c9
</t>
  </si>
  <si>
    <t>70-71e mort - Fribourg - 
194-195e mot - Genève -
40e mort - Grisons -
4e mort - Jura -
15e mort - Schwitz -
11e mort - Soleure -
278-281e mort - Tessin -
105-107e mort - Valais -
293-298e mort - Vaud -
98-101e mort - Zürich -</t>
  </si>
  <si>
    <t>https://www4.ti.ch/area-media/comunicati/dettaglio-comunicato/?NEWS_ID=187645&amp;cHash=7b087e8c9cf96255581da0c1e9421650</t>
  </si>
  <si>
    <t>1er cas au Kosovo (2 cas)
1ère mort en Hongrie - 1 homme de 75 ans
1ère mort en Slovénie -  1 homme âgé</t>
  </si>
  <si>
    <t xml:space="preserve">
http://french.xinhuanet.com/2020-03/16/c_138880895.htm
http://french.xinhuanet.com/2020-03/15/c_138878698.htm</t>
  </si>
  <si>
    <t>260**</t>
  </si>
  <si>
    <t>26-28e mort - Argovie -
41-42e mort - Bâle-Ville - 2 femmes de 85 et 98 ans
70-73e mort - Berne -
72e mort - Fribourg -
4-5e mort - Glaris - 
282-288e mort - Tessin -
108e mort - Valais -
102-103e mort - Zürich -</t>
  </si>
  <si>
    <r>
      <t xml:space="preserve">https://www.coronavirus.bs.ch/nm/2020-tagesbulletin-coronavirus-933-bestaetigte-faelle-im-kanton-basel-stadt-gd.html
</t>
    </r>
    <r>
      <rPr>
        <sz val="10"/>
        <color rgb="FF000000"/>
        <rFont val="Arial"/>
      </rPr>
      <t>https://www4.ti.ch/area-media/comunicati/dettaglio-comunicato/?NEWS_ID=187648&amp;cHash=a51740236e5eadec83ea8015802cbddd</t>
    </r>
  </si>
  <si>
    <t>1ère mort au Portugal - 1 homme de 80 ans
1ère mort en Islande - 1 australien de 30 ans, la  cause de décès n'a pas été déterminée, malgré des tests positifs au  COVID-19, ses symptômes n'étaient pas typiques de la maladie.
+27 morts en France</t>
  </si>
  <si>
    <t>https://www.ouest-france.fr/sante/virus/coronavirus/coronavirus-premier-deces-au-portugal-qui-suspend-ses-liaisons-avec-l-espagne-6782512
https://www.icelandreview.com/society/foreign-tourist-with-coronavirus-dies-in-north-iceland/
https://www.sudouest.fr/2020/03/17/coronavirus-en-france-175-deces-au-total-dont-7-de-moins-de-65-ans-699-cas-en-reanimation-7338432-10861.php</t>
  </si>
  <si>
    <t>1er cas au Monténégro (2 cas) 
640 cas au Portugal - va déclarer l'état d'urgence demain</t>
  </si>
  <si>
    <t>https://www.usnews.com/news/world/articles/2020-03-17/montenegro-reports-first-case-of-corona-virus-infection
https://www.tvanouvelles.ca/2020/03/18/coronavirus-le-portugal-sapprete-a-declarer-letat-durgence</t>
  </si>
  <si>
    <t>% létalité</t>
  </si>
  <si>
    <t>1ère mort en Croatie
1ère mort en Moldavie</t>
  </si>
  <si>
    <t>https://www.lalibre.be/planete/sante/plus-de-7-800-morts-de-nombreux-pays-passent-en-confinement-et-ferment-leurs-frontieres-le-point-sur-l-epidemie-de-coronavirus-dans-le-monde-5e71d0c3d8ad582f31a33501</t>
  </si>
  <si>
    <t>1ère mort en Serbie</t>
  </si>
  <si>
    <t>% de la population du pays testé positive</t>
  </si>
  <si>
    <t>1ère mort en Bosnie-Herzégovine
1ère mort en Finlande - 1 homme âgé
1ère mort en Lituanie - 1 femme âgée</t>
  </si>
  <si>
    <r>
      <t xml:space="preserve">https://www.liberation.fr/direct/element/premiers-deces-lies-au-nouveau-coronavirus-en-finlande-et-sur-lile-maurice_111036/
</t>
    </r>
    <r>
      <rPr>
        <sz val="10"/>
        <color rgb="FF000000"/>
        <rFont val="Arial"/>
      </rPr>
      <t>https://www.rtbf.be/info/monde/detail_coronavirus-en-europe-un-premier-deces-en-lituanie?id=10463931</t>
    </r>
  </si>
  <si>
    <t>Nombre d'habitants dans le Canton (min.2018)</t>
  </si>
  <si>
    <t>55'234</t>
  </si>
  <si>
    <t>678'207</t>
  </si>
  <si>
    <t>289'527</t>
  </si>
  <si>
    <t>200'298</t>
  </si>
  <si>
    <t>1'034'977</t>
  </si>
  <si>
    <t>1ère mort à Chypre - 1 homme de 70 ans
1ère mort d'un médecin en France - 1urgentiste de l'hôpital de Compiègne (Oise), il avait 68 ans
1ère mort au Kosovo
1ère mort en Macédoine du Nord - 1 femme de 57 ans
1ère mort dans la Principauté d'Andorre
1ère mort en République tchèque - 1 homme de 95 ans
1ère mort en Roumanie - 2 hommes de 67 et 74 ans</t>
  </si>
  <si>
    <t>318'714</t>
  </si>
  <si>
    <t>https://in-cyprus.com/coronavirus-cyprus-reports-first-death/
https://sante.journaldesfemmes.fr/maladies/2605417-coronavirus-france-italie-epidemie-evolution-courbe-deces-chiffres-direct-carte-regions-odorat-couvre-feu-medecin-urgentiste/
https://www.who.int/docs/default-source/coronaviruse/situation-reports/20200323-sitrep-63-covid-19.pdf?sfvrsn=b617302d_4
https://www.reuters.com/article/helath-coronavirus-north-macedonia/north-macedonia-reports-countrys-first-death-from-coronavirus-idUSL8N2BD8KW
https://www.lalibre.be/dernieres-depeches/belga/coronavirus-premier-mort-du-coronavirus-en-republique-tcheque-5e77ceacf20d5a29c6815dce
https://www.ouest-france.fr/sante/virus/coronavirus/coronavirus-la-roumanie-annonce-ses-premiers-morts-6788435</t>
  </si>
  <si>
    <t>506'765</t>
  </si>
  <si>
    <t>40'403</t>
  </si>
  <si>
    <t>198'379</t>
  </si>
  <si>
    <t>73'419</t>
  </si>
  <si>
    <t>409'557</t>
  </si>
  <si>
    <t>176'328</t>
  </si>
  <si>
    <t>43'223</t>
  </si>
  <si>
    <t>37'841</t>
  </si>
  <si>
    <t>507'697</t>
  </si>
  <si>
    <t>81'991</t>
  </si>
  <si>
    <t>159'165</t>
  </si>
  <si>
    <t>273'194</t>
  </si>
  <si>
    <t>353'343</t>
  </si>
  <si>
    <t>276'472</t>
  </si>
  <si>
    <t>36'433</t>
  </si>
  <si>
    <t xml:space="preserve"> 343'955</t>
  </si>
  <si>
    <t>806'088</t>
  </si>
  <si>
    <t>126'837</t>
  </si>
  <si>
    <t>1'520'968</t>
  </si>
  <si>
    <t>Nbr de personnes infectées pour 100'000 hab.</t>
  </si>
  <si>
    <t>/ 100'000</t>
  </si>
  <si>
    <t>1ère mort au Monténégro
1ère mort en Russie</t>
  </si>
  <si>
    <t>https://www.rtbf.be/info/dossier/epidemie-de-coronavirus/detail_coronavirus-l-epidemie-de-covid-19-a-deja-fait-pres-de-17-000-morts-dans-le-monde?id=10466140
https://www.marianne.net/monde/organisation-du-plebiscite-en-russie-le-coronavirus-vote-poutine</t>
  </si>
  <si>
    <t>Sources des chiffres officiels par cantons :</t>
  </si>
  <si>
    <t>https://www.ar.ch/verwaltung/departement-gesundheit-und-soziales/amt-fuer-gesundheit/informationsseite-coronavirus/</t>
  </si>
  <si>
    <t>https://www.ai.ch/themen/gesundheit-alter-und-soziales/gesundheitsfoerderung-und-praevention/uebertragbare-krankheiten/coronavirus</t>
  </si>
  <si>
    <t>https://www.ag.ch/de/themen_1/coronavirus_2/lagebulletins/lagebulletins_1.jsp</t>
  </si>
  <si>
    <t>https://www.baselland.ch/politik-und-behorden/direktionen/volkswirtschafts-und-gesundheitsdirektion/amt-fur-gesundheit/medizinische-dienste/kantonsarztlicher-dienst/aktuelles/covid-19-faelle-kanton-basel-landschaft</t>
  </si>
  <si>
    <t>https://www.coronavirus.bs.ch/</t>
  </si>
  <si>
    <t>https://www.besondere-lage.sites.be.ch/besondere-lage_sites/de/index/corona/index.html#originRequestUrl=www.be.ch/corona</t>
  </si>
  <si>
    <t>https://www.fr.ch/covid19/sante/covid-19/coronavirus-statistiques-evolution-de-la-situation-dans-le-canton</t>
  </si>
  <si>
    <t>https://www.ge.ch/document/covid-19-situation-epidemiologique-geneve</t>
  </si>
  <si>
    <t>https://www.gl.ch/verwaltung/finanzen-und-gesundheit/gesundheit/coronavirus.html/4817#Fallzahlen</t>
  </si>
  <si>
    <t>https://www.gr.ch/DE/institutionen/verwaltung/djsg/ga/coronavirus/info/Seiten/Start.aspx</t>
  </si>
  <si>
    <t>https://www.jura.ch/fr/Autorites/Coronavirus/Accueil/Coronavirus-Informations-officielles-a-la-population-jurassienne.html</t>
  </si>
  <si>
    <t>1ère mort en Estonie - 1 homme de 83 ans</t>
  </si>
  <si>
    <t>https://fr.sputniknews.com/international/202003251043384652-covid-19-en-continu-la-france-se-prepare-a-la-prolongation-du-confinement-les-restrictions-levees/</t>
  </si>
  <si>
    <t>https://gesundheit.lu.ch/themen/Humanmedizin/Infektionskrankheiten/Coronavirus</t>
  </si>
  <si>
    <t>https://www.ne.ch/autorites/DFS/SCSP/medecin-cantonal/maladies-vaccinations/Pages/Coronavirus.aspx</t>
  </si>
  <si>
    <t>https://www.nw.ch/gesundheitsamtdienste/6044#Anzahl%C2%A0Erkrankungen</t>
  </si>
  <si>
    <t>https://www.ow.ch/de/verwaltung/dienstleistungen/?dienst_id=5962</t>
  </si>
  <si>
    <t>https://www.sg.ch/tools/informationen-coronavirus.html</t>
  </si>
  <si>
    <t>https://sh.ch/CMS/Webseite/Kanton-Schaffhausen/Beh-rde/Verwaltung/Departement-des-Innern/Gesundheitsamt-3209198-DE.html</t>
  </si>
  <si>
    <t>https://www.sz.ch/behoerden/information-medien/medienmitteilungen/coronavirus.html/72-416-412-1379-6948</t>
  </si>
  <si>
    <t>https://corona.so.ch/</t>
  </si>
  <si>
    <t>https://www4.ti.ch/area-media/comunicati/dettaglio-comunicato/?NEWS_ID=187648&amp;cHash=a51740236e5eadec83ea8015802cbddd</t>
  </si>
  <si>
    <t>https://www.tg.ch/news/fachdossier-coronavirus.html/10552</t>
  </si>
  <si>
    <t>https://www.ur.ch/themen/2920</t>
  </si>
  <si>
    <t>https://www.vs.ch/de/web/coronavirus</t>
  </si>
  <si>
    <t>https://www.vd.ch/toutes-les-actualites/hotline-et-informations-sur-le-coronavirus/point-de-situation-statistique-dans-le-canton-de-vaud/</t>
  </si>
  <si>
    <t>https://www.zg.ch/behoerden/gesundheitsdirektion/amt-fuer-gesundheit/corona</t>
  </si>
  <si>
    <t>https://gd.zh.ch/internet/gesundheitsdirektion/de/themen/coronavirus.html#medienmitteilungen</t>
  </si>
  <si>
    <t>Dernière mise à jour des chiffres officiels:</t>
  </si>
  <si>
    <t>1ère mort à Jersey</t>
  </si>
  <si>
    <t>https://www.who.int/docs/default-source/coronaviruse/situation-reports/20200327-sitrep-67-covid-19.pdf?sfvrsn=b65f68eb_4</t>
  </si>
  <si>
    <t>Dernière mise à jour du tableau cantonal 
le 18-04-2020 à 22:30</t>
  </si>
  <si>
    <t>* le Canton annonce dans son rapport du 11 avril qu'il y a environs 300 personnes guéries
* le Canton d'Argovie annonce dans sont rapport que dès le 19 mars, selon les instructions de l'OFSP le nombre de guéris n'est plus enregistré.</t>
  </si>
  <si>
    <t>* ils ont ajouté les chiffres des personnes guéries à posteriori, le 01.04.2020
*chiffres des hospitalisation ajoutés à posteriori le 13.04.2020</t>
  </si>
  <si>
    <t>* chiffres des hospitalisations ne sera pas mis à jour jusqu'au 21.04</t>
  </si>
  <si>
    <t xml:space="preserve">*18.04 nouvelles modifications dans des chiffres plutôt anciens j'aimeris bien connaître la raison de tant de modification à posteriori ... 
* 16.04 à nouveau pas mal de modifications des nombres de cas par jours  sur des vieux chiffres p.ex. 16.03, 19.03.... et du nombre de morts sur les 4 derniers jours
*15.04. tous les chiffres depuis le 14.03 modifiés à nouveau... 
*12.04 mise à jour de tous les chiffres des morts et des cas depuis le début selon le rapport du jour (il semble que les morts en EMS aient été ajouté et j'avais pas vu et le nombre des cas par jour a été ajustés semble-t-il... )
*les chiffres du jour sont povisoires
* les nombres de cas et les décès sont actualisés de minuit à minuit
* je ne sais pourquoi, mais le 31 mars, tous les chiffres des cas du Canton de Genève, depuis le 2 mars on été modifiés, a posteriori !? (revus à la hausse de beaucoup chaque jour p.ex dans le fichier du 23 mars les chiffre pour le 12 étaient de 80, dans le fichier aujourd'hui a été revue à la hausse à 107 ! C'est 27 de plus ! je suis vraiment très désapointée de voir qu'on a minimisé le nombre de cas au début de cette épidémie comment peut-on croire les chiffres après ce genre de constatation ?) 
S'il y a des journalistes qui me lisent vous pouvez comparer les fichiers que j'ai téléchargé ici : 
</t>
  </si>
  <si>
    <t xml:space="preserve">* le 31 mars, j'ai remarqué une différence des chiffres à partir du 23 mars revus à la hausse : le 24.03 le chiffre est passé de 66 à 76, le 25 de 78 à 83, le 27 de 112 à 114,...
* le 5 avril tous les chiffres depuis le 3 mars ont été modifiés, revu à la hausse pex:le 24.03 le chiffre est passé de 76 à 82, le 25 de 83 à 92, le 30 de 122 à 128 ...
donc cumulé pour le 24 mars par ex on est passé d'une annonce de 66 cas le jour J à 82 cas ... une diffréence de tout de même 16 cas... 
*le 08.04 tous les chiffres des hospitalisations ont été modifiés </t>
  </si>
  <si>
    <t>* Chiffre des décès/cas temporaires, ils sont rajoutés régulièrement à posteriori (sans doute que l'information est transmise avec du retard).
Dernier chiffres des cas 17.04
* je ne sais pourquoi, mais le 31 mars, les chiffres ont été revus à la hausse dans le décompte détaillés publié ce jour. P.ex. le 12 mars le chiffre est passé de 33 à 46, le 13 mars de 37 à 59, le 16 mars de 39 à 93, le 25 mars de 256 à 280,  ...
Tous les chiffres des décès ont encore changé le 02.04...
le 31 mars passe ainsi de 6 à 17 !! 
10.04 chiffres des décès revus à la hausse depuis le 27 mars le 31 mars est donc passé de 6 à 23....
L'explication évoquée sur le site est : 
les chiffres publiés sont basés sur la date de décès.
Les déclarations de décès parviennent tardivement au service de la santépublique, expliquantainsi l'évolution des données publiées quotidiennement.</t>
  </si>
  <si>
    <t xml:space="preserve">* Un décès annoncé le 15 était en fait COVID négatif et a été supprimé du décompte
* le top aujourd'hui 15.04... le canton du valais à rajouté un cas testé le 17 mars, soit il y a 1 mois! !? il était où ce cas durant tout ce temps .. ?
* le nombre de cas et de morts sont réctifier chaque jour à posteriori
Dernier chiffre des cas le 14.04
Raison évoquée sur le document :
Le graphique représente les cas positifs par date de test. Certains laboratoires nous transmettent directement les résultats et
dans ce cas, il y a un jour de décalage entre le test et l’inscription du cas dans la base de donnée. Les autres laboratoires
rapportent les cas en suivant la procédure standard qui est de signaler les cas positifs sous 24 h via le système de déclaration
des maladies obligatoires. L’inscription de ces cas-là dans notre base de données peut prendre plusieurs jours. Ainsi les données
du graphique ne sont pas consolidées, en tout cas pour les derniers jours.
∆ J-1 ne représente pas les cas positifs testés dans les dernières 24h mais le nombre de nouvelles entrées dans la base de
données durant les dernières 24h. Le délai entre test et saisie explique que le nombre de cas positif du dernier jour n’est pas égal
au ∆ J-1.
</t>
  </si>
  <si>
    <t>* je ne sais pourquoi, mais le 28 mars, tous les chiffres du Canton de Vaud, depuis le 10 mars on été modifiés, a posteriori !? (revus à la hausse + 10 morts)
* les sorties d'hôpital non communiquées depuis le 01.04.2020
* 08.04 modification de tous les chiffres des hospitalisations (revu à la hausse)</t>
  </si>
  <si>
    <t>* je suis en cours d'ajout des colonnes "Hospitalisés", "En soins intensifs" et "Intubés" ....mais les recherches sont longues :p 
Certains cantons précisent "intubés" et d'autre ne marquent que "En soins intensifs" donc impossible de savoir s'ils sont intubés.</t>
  </si>
  <si>
    <t>** 435 est le nombre de personnes intubées donné dans la conférence de presse de l'OFSP le 04.04.2020.
Je pense donc qu'une partie des personnes déclarées en "soins intensifs" dans les cantons qui ne détaillent pas les personnes intubées sont en fait également intublées, mais il m'est impossible d'en déduire un chiffre précis  
** 260 personnes aux soins intensifs selon la conférence de presse de l'OFSP du 20.04.2020.</t>
  </si>
  <si>
    <t>* a venir nombre de personnes hospitalisées</t>
  </si>
  <si>
    <r>
      <rPr>
        <b/>
        <sz val="10"/>
        <rFont val="Arial"/>
      </rPr>
      <t xml:space="preserve">Note 1: </t>
    </r>
    <r>
      <rPr>
        <sz val="10"/>
        <color rgb="FF000000"/>
        <rFont val="Arial"/>
      </rPr>
      <t>Les cases dans lesquelles il est noté "0", représentent soit qu'il n'y a pas de cas ressensés, soit que je n'ai pas pu collecter de données à ce jour.</t>
    </r>
  </si>
  <si>
    <t>Nbr de cas confirmés en Suisse</t>
  </si>
  <si>
    <t>https://www.bag.admin.ch/bag/fr/home/krankheiten/ausbrueche-epidemien-pandemien/aktuelle-ausbrueche-epidemien/novel-cov.html</t>
  </si>
  <si>
    <r>
      <rPr>
        <b/>
        <sz val="10"/>
        <rFont val="Arial"/>
      </rPr>
      <t>Note 2:</t>
    </r>
    <r>
      <rPr>
        <sz val="10"/>
        <color rgb="FF000000"/>
        <rFont val="Arial"/>
      </rPr>
      <t xml:space="preserve"> Les chiffres présentés dans ce tableau, bien que précisément exprimés, ne représent pas la vérité absolue. Il existe un certain nombre d'incertitudes. De plus certains chiffres pourraient différer d'autres sources car je n'ai pas été en mesure de collecter les chiffres tous les jours à la même heure et vu la rapidité de la propagation, il se peut qu'il y aie des inexactitudes dans les chiffres au jour le jour.</t>
    </r>
  </si>
  <si>
    <t>1ère mort à Monaco - 1 femme de 80 ans (non résidente)</t>
  </si>
  <si>
    <t>https://www.nicematin.com/sante/coronavirus-un-premier-deces-enregistre-ce-samedi-a-monaco-487637</t>
  </si>
  <si>
    <t>Population par canton</t>
  </si>
  <si>
    <t>https://fr.wikipedia.org/wiki/Canton_(Suisse)
https://www.bfs.admin.ch/bfs/fr/home/statistiques/statistique-regions/portraits-regionaux-chiffres-cles/cantons.html
https://www.ge.ch/statistique/domaines/apercu.asp?dom=01_01
http://www.scris.vd.ch/default.aspx?docID=7837
https://www.vs.ch/web/acf/statpop
https://www.ne.ch/autorites/DEAS/STAT/Pages/accueil.aspx</t>
  </si>
  <si>
    <t>https://drive.google.com/open?id=1PtnQtYZxOQrryxkIt3ep26131Zdyc218</t>
  </si>
  <si>
    <r>
      <rPr>
        <b/>
        <sz val="10"/>
        <rFont val="Arial"/>
      </rPr>
      <t>Note 3:</t>
    </r>
    <r>
      <rPr>
        <sz val="10"/>
        <color rgb="FF000000"/>
        <rFont val="Arial"/>
      </rPr>
      <t xml:space="preserve"> Il se peut que les chiffres de ce tableau diffèrent de ceux transmis par l'OMS, car l'OMS ne communique que les cas qui ont été doublement confirmés. Les chiffres de ce tableau reflètent ceux publiés par l'Université Johns Hopkins qui compte tous les cas annoncés par les pays.</t>
    </r>
  </si>
  <si>
    <r>
      <rPr>
        <b/>
        <sz val="10"/>
        <rFont val="Arial"/>
      </rPr>
      <t xml:space="preserve">Note 4: </t>
    </r>
    <r>
      <rPr>
        <sz val="10"/>
        <color rgb="FF000000"/>
        <rFont val="Arial"/>
      </rPr>
      <t>Actuellement nous ne savons absolument pas si ces données reflètent réellement la situation en Chine, car il y a de nombreux facteurs qui laissent penser que le Gouvernement chinois ne nous communiquent pas du tout les chiffres réels. Cette remarque est également valable pour d'autres pays, dont on a actuellement des doutes quant à leur sincérité.</t>
    </r>
  </si>
  <si>
    <t>Chiffres au 18.04.2020</t>
  </si>
  <si>
    <r>
      <rPr>
        <b/>
        <sz val="10"/>
        <rFont val="Arial"/>
      </rPr>
      <t xml:space="preserve">Suisse Romande
</t>
    </r>
    <r>
      <rPr>
        <sz val="10"/>
        <color rgb="FF000000"/>
        <rFont val="Arial"/>
      </rPr>
      <t xml:space="preserve">
6 Cantons 
(FR,GE,JU,NE,VD, VS)
2'225'269 hab. </t>
    </r>
  </si>
  <si>
    <t>/ 100'000 hab.</t>
  </si>
  <si>
    <r>
      <rPr>
        <b/>
        <sz val="10"/>
        <rFont val="Arial"/>
      </rPr>
      <t xml:space="preserve">Suisse Allemande
</t>
    </r>
    <r>
      <rPr>
        <sz val="10"/>
        <color rgb="FF000000"/>
        <rFont val="Arial"/>
      </rPr>
      <t xml:space="preserve">
19 Cantons (AR,AI,AG,BL,BS, BE,GL,GR,LU,NW, OW,SG,SH,SZ,SO, TG,UR,ZG,ZH)
5'986'548 hab.</t>
    </r>
  </si>
  <si>
    <t xml:space="preserve">1ère mort en Biélorussie - 
1ère mort à Guernesey - </t>
  </si>
  <si>
    <r>
      <t xml:space="preserve">https://www.swissinfo.ch/eng/reuters/belarus-reports-first-coronavirus-death---belta-cites-lukashenko/45656474
</t>
    </r>
    <r>
      <rPr>
        <sz val="10"/>
        <color rgb="FF000000"/>
        <rFont val="Arial"/>
      </rPr>
      <t>https://www.who.int/docs/default-source/coronaviruse/situation-reports/20200401-sitrep-72-covid-19.pdf?sfvrsn=3dd8971b_2</t>
    </r>
  </si>
  <si>
    <r>
      <rPr>
        <b/>
        <sz val="10"/>
        <rFont val="Arial"/>
      </rPr>
      <t xml:space="preserve">Suisse Italienne
</t>
    </r>
    <r>
      <rPr>
        <sz val="10"/>
        <color rgb="FF000000"/>
        <rFont val="Arial"/>
      </rPr>
      <t xml:space="preserve">
1 Canton (TI)
353'343 hab.</t>
    </r>
  </si>
  <si>
    <r>
      <rPr>
        <b/>
        <sz val="15"/>
        <rFont val="Arial"/>
      </rPr>
      <t xml:space="preserve">Augmentation réelle* des cas est des morts par jour </t>
    </r>
    <r>
      <rPr>
        <b/>
        <sz val="14"/>
        <rFont val="Arial"/>
      </rPr>
      <t xml:space="preserve">
</t>
    </r>
    <r>
      <rPr>
        <sz val="8"/>
        <rFont val="Arial"/>
      </rPr>
      <t xml:space="preserve">
* en effet les chiffres journellement annoncés, sont faussés par l'ajout à postériori de cas et de déccès. 
Voici donc le réel nombre de cas/morts par jours qui se met à jours à chaque modification.</t>
    </r>
  </si>
  <si>
    <t xml:space="preserve">1ère mort en Slovaquie </t>
  </si>
  <si>
    <t>https://www.reuters.com/article/health-coronavirus-slovakia-death/slovakia-registers-first-coronavirus-death-idUSL8N2BN7MD</t>
  </si>
  <si>
    <t>Date</t>
  </si>
  <si>
    <t>Données du rapport de situation pour le coronavirus, état au 2020-04-20 08:00 h</t>
  </si>
  <si>
    <t>ME</t>
  </si>
  <si>
    <t xml:space="preserve"> -</t>
  </si>
  <si>
    <t>-</t>
  </si>
  <si>
    <t>ME 04.03.2020</t>
  </si>
  <si>
    <t>Source: OFSP/MT</t>
  </si>
  <si>
    <t>JE</t>
  </si>
  <si>
    <t>JE 05.03.2020</t>
  </si>
  <si>
    <t>Graphique 4: cas de COVID-19 hospitalisés déclarés en Suisse et dans la Principauté de Liechtenstein par sexe et âge</t>
  </si>
  <si>
    <t>1ère mort en Lettonie -</t>
  </si>
  <si>
    <t>VE</t>
  </si>
  <si>
    <t>VE 06.03.2020</t>
  </si>
  <si>
    <t>SA</t>
  </si>
  <si>
    <t>SA 07.03.2020</t>
  </si>
  <si>
    <t>DI</t>
  </si>
  <si>
    <t>DI 08.03.2020</t>
  </si>
  <si>
    <t>Classe d'âge</t>
  </si>
  <si>
    <t>Hommes: 
cas hospitalisés</t>
  </si>
  <si>
    <t>Femmes: cas hospitalisés</t>
  </si>
  <si>
    <t>Sexe inconnu*: cas hospitalisés</t>
  </si>
  <si>
    <t>Total: cas hospitalisés</t>
  </si>
  <si>
    <t>LU 09.03.2020</t>
  </si>
  <si>
    <t>MA</t>
  </si>
  <si>
    <t>MA 10.03.2020</t>
  </si>
  <si>
    <t xml:space="preserve">1ère mort au Lichtenstein </t>
  </si>
  <si>
    <t>https://www.regierung.li/media/attachments/168-corona-person-verstorben-0404.pdf?t=637216416685069383</t>
  </si>
  <si>
    <t>ME 11.03.2020</t>
  </si>
  <si>
    <t>0 - 9</t>
  </si>
  <si>
    <t>JE 12.03.2020</t>
  </si>
  <si>
    <t>10 - 19</t>
  </si>
  <si>
    <t>VE 13.03.2020</t>
  </si>
  <si>
    <t>20 - 29</t>
  </si>
  <si>
    <t>SA 14.03.2020</t>
  </si>
  <si>
    <t>30 - 39</t>
  </si>
  <si>
    <t>DI 15.03.2020</t>
  </si>
  <si>
    <t>40 - 49</t>
  </si>
  <si>
    <t>LU 16.03.2020</t>
  </si>
  <si>
    <t>50 - 59</t>
  </si>
  <si>
    <t>MA 17.03.2020</t>
  </si>
  <si>
    <t>60 - 69</t>
  </si>
  <si>
    <t>ME 18.03.2020</t>
  </si>
  <si>
    <t>70 - 79</t>
  </si>
  <si>
    <t>JE 19.03.2020</t>
  </si>
  <si>
    <t>80+</t>
  </si>
  <si>
    <t>VE 20.03.2020</t>
  </si>
  <si>
    <t>Classe d'âge Inconnue*</t>
  </si>
  <si>
    <t xml:space="preserve"> SA 21.03.2020</t>
  </si>
  <si>
    <t>TOTAL</t>
  </si>
  <si>
    <t>DI 22.03.2020</t>
  </si>
  <si>
    <t>1ère mort à Malte - 1 femme de 92 ans</t>
  </si>
  <si>
    <t>https://medicalxpress.com/news/2020-04-malta-coronavirus-death.html</t>
  </si>
  <si>
    <t>*Pour certains cas confirmés, les données sur l'âge et/ou le sexe des patients manquent actuellement.</t>
  </si>
  <si>
    <t>LU 23.03.2020</t>
  </si>
  <si>
    <t>MA 24.03.2020</t>
  </si>
  <si>
    <t>ME 25.03.2020</t>
  </si>
  <si>
    <t>JE 26.03.2020</t>
  </si>
  <si>
    <t>VE 27.03.2020</t>
  </si>
  <si>
    <t>SA 28.03.2020</t>
  </si>
  <si>
    <t>DI 29.03.2020</t>
  </si>
  <si>
    <t>LU 30.03.2020</t>
  </si>
  <si>
    <t>MA 31.03.2020</t>
  </si>
  <si>
    <t>ME 01.04.2020</t>
  </si>
  <si>
    <t>JE 02.04.2020</t>
  </si>
  <si>
    <t>VE 03.04.2020</t>
  </si>
  <si>
    <t>SA 04.04.2020</t>
  </si>
  <si>
    <t>DI 05.04.2020</t>
  </si>
  <si>
    <t>LU 06.04.2020</t>
  </si>
  <si>
    <t>MA 07.04.2020</t>
  </si>
  <si>
    <t>ME 08.04.2020</t>
  </si>
  <si>
    <t>JE 09.04.2020</t>
  </si>
  <si>
    <t>VE 10.04.2020</t>
  </si>
  <si>
    <t>SA 11.04.2020</t>
  </si>
  <si>
    <t>DI 12.04.2020</t>
  </si>
  <si>
    <t>LU 13.04.2020</t>
  </si>
  <si>
    <t>MA 14.04.2020</t>
  </si>
  <si>
    <t>ME 15.04.2020</t>
  </si>
  <si>
    <t>JE 16.04.2020</t>
  </si>
  <si>
    <t>VE 17.04.2020</t>
  </si>
  <si>
    <t>SA 18.04.2020</t>
  </si>
  <si>
    <t>DI 19.04.2020</t>
  </si>
  <si>
    <t>En Afrique</t>
  </si>
  <si>
    <t>LU 20.04.2020</t>
  </si>
  <si>
    <t>Afrique 
du Sud</t>
  </si>
  <si>
    <t>Algérie</t>
  </si>
  <si>
    <t>Angola</t>
  </si>
  <si>
    <t>Bénin</t>
  </si>
  <si>
    <t>Botswana</t>
  </si>
  <si>
    <t>Burkina Faso</t>
  </si>
  <si>
    <t>Burundi</t>
  </si>
  <si>
    <t>Cameroun</t>
  </si>
  <si>
    <t>Cap-Vert</t>
  </si>
  <si>
    <t>Côte d'Ivoire</t>
  </si>
  <si>
    <t>Djibouti</t>
  </si>
  <si>
    <t>*les 3-5 derniers jours sont incomplets
car certains cantons rajoutent des cas/morts 
à la date du prélèvement après avoir 
reçu les résultats ce qui engendre des décalages</t>
  </si>
  <si>
    <t>Égypte</t>
  </si>
  <si>
    <t>Érythrée</t>
  </si>
  <si>
    <t>Eswatini</t>
  </si>
  <si>
    <t>Éthiopie</t>
  </si>
  <si>
    <t>Gabon</t>
  </si>
  <si>
    <t>Gambie</t>
  </si>
  <si>
    <t>Ghana</t>
  </si>
  <si>
    <t>Guinée</t>
  </si>
  <si>
    <t>Guinée-
Bissau</t>
  </si>
  <si>
    <t>Guinée 
équatoriale</t>
  </si>
  <si>
    <t>*chiffres du 18.04.2020 non communiqués</t>
  </si>
  <si>
    <t>Kenya</t>
  </si>
  <si>
    <t>La Réunion</t>
  </si>
  <si>
    <t>Liberia</t>
  </si>
  <si>
    <t>Libye</t>
  </si>
  <si>
    <t>Madagascar</t>
  </si>
  <si>
    <t>Malawi</t>
  </si>
  <si>
    <t>Mali</t>
  </si>
  <si>
    <t>Maroc</t>
  </si>
  <si>
    <t>Maurice</t>
  </si>
  <si>
    <t>Mauritanie</t>
  </si>
  <si>
    <t>Mayotte</t>
  </si>
  <si>
    <t>Mozambique</t>
  </si>
  <si>
    <t>Namibie</t>
  </si>
  <si>
    <t>Niger</t>
  </si>
  <si>
    <t>Nigeria</t>
  </si>
  <si>
    <t>Ouganda</t>
  </si>
  <si>
    <t>République 
centrafricaine</t>
  </si>
  <si>
    <t>République 
démocratique 
du Congo (K)</t>
  </si>
  <si>
    <t>République 
du Congo (B)</t>
  </si>
  <si>
    <t>Rwanda</t>
  </si>
  <si>
    <t>Sahara 
Occidental</t>
  </si>
  <si>
    <t>Sao Tomé
-et-Principe</t>
  </si>
  <si>
    <t>Sénégal</t>
  </si>
  <si>
    <t>Seychelles</t>
  </si>
  <si>
    <t>Sierra Leone</t>
  </si>
  <si>
    <t>Somalie</t>
  </si>
  <si>
    <t>Soudan</t>
  </si>
  <si>
    <t>Soudan 
du Sud</t>
  </si>
  <si>
    <t>Tanzanie</t>
  </si>
  <si>
    <t>Tchad</t>
  </si>
  <si>
    <t>Togo</t>
  </si>
  <si>
    <t>Tunisie</t>
  </si>
  <si>
    <t>Zambie</t>
  </si>
  <si>
    <t>Zimbabwe</t>
  </si>
  <si>
    <t>ZAF</t>
  </si>
  <si>
    <t>DZA</t>
  </si>
  <si>
    <t>AGO</t>
  </si>
  <si>
    <t>BEN</t>
  </si>
  <si>
    <t>BWA</t>
  </si>
  <si>
    <t>BFA</t>
  </si>
  <si>
    <t>BDI</t>
  </si>
  <si>
    <t>CMR</t>
  </si>
  <si>
    <t>CPV</t>
  </si>
  <si>
    <t>CIV</t>
  </si>
  <si>
    <t>DJI</t>
  </si>
  <si>
    <t>EGY</t>
  </si>
  <si>
    <t>ERI</t>
  </si>
  <si>
    <t>SWZ</t>
  </si>
  <si>
    <t>ETH</t>
  </si>
  <si>
    <t>GAB</t>
  </si>
  <si>
    <t>GMB</t>
  </si>
  <si>
    <t>GHA</t>
  </si>
  <si>
    <t>GIN</t>
  </si>
  <si>
    <t>GNB</t>
  </si>
  <si>
    <t>GNQ</t>
  </si>
  <si>
    <t>KEN</t>
  </si>
  <si>
    <t>REU</t>
  </si>
  <si>
    <t>LBR</t>
  </si>
  <si>
    <t>LBY</t>
  </si>
  <si>
    <t>MDG</t>
  </si>
  <si>
    <t>MWI</t>
  </si>
  <si>
    <t>MLI</t>
  </si>
  <si>
    <t>MAR</t>
  </si>
  <si>
    <t>MUS</t>
  </si>
  <si>
    <t>MRT</t>
  </si>
  <si>
    <t>MYT</t>
  </si>
  <si>
    <t>MOZ</t>
  </si>
  <si>
    <t>NAM</t>
  </si>
  <si>
    <t>NER</t>
  </si>
  <si>
    <t>UGA</t>
  </si>
  <si>
    <t>CAF</t>
  </si>
  <si>
    <t>COD</t>
  </si>
  <si>
    <t>COG</t>
  </si>
  <si>
    <t>RWA</t>
  </si>
  <si>
    <t>ESH</t>
  </si>
  <si>
    <t>STP</t>
  </si>
  <si>
    <t>SEN</t>
  </si>
  <si>
    <t>SYC</t>
  </si>
  <si>
    <t>SLE</t>
  </si>
  <si>
    <t>SOM</t>
  </si>
  <si>
    <t>SDN</t>
  </si>
  <si>
    <t>SSD</t>
  </si>
  <si>
    <t>TZA</t>
  </si>
  <si>
    <t>TCD</t>
  </si>
  <si>
    <t>TGO</t>
  </si>
  <si>
    <t>TUN</t>
  </si>
  <si>
    <t>Espagne - changement de comptage des morts fait débat</t>
  </si>
  <si>
    <t>ZMB</t>
  </si>
  <si>
    <t>ZWE</t>
  </si>
  <si>
    <t>https://www.ouest-france.fr/sante/virus/coronavirus/coronavirus-pres-de-19-500-morts-en-espagne-la-confusion-regne-sur-les-chiffres-6811078</t>
  </si>
  <si>
    <t>https://www.regierung.li/coronavirus</t>
  </si>
  <si>
    <t>https://www.mairie.mc/annonces/info-covid19/communiques-presse-gouvernement</t>
  </si>
  <si>
    <t>Nombre d'habitant dans le pays</t>
  </si>
  <si>
    <t>81'400'000</t>
  </si>
  <si>
    <t>8'693'294</t>
  </si>
  <si>
    <t>11'661'769</t>
  </si>
  <si>
    <t>5'784'226</t>
  </si>
  <si>
    <t>45'694'924</t>
  </si>
  <si>
    <t>5'637'026</t>
  </si>
  <si>
    <t>67'063'703</t>
  </si>
  <si>
    <t>10'747'350</t>
  </si>
  <si>
    <t>4'757'551</t>
  </si>
  <si>
    <t>340'579</t>
  </si>
  <si>
    <t>60'014'605</t>
  </si>
  <si>
    <t>102'700</t>
  </si>
  <si>
    <t>629'374</t>
  </si>
  <si>
    <t>5'533'332</t>
  </si>
  <si>
    <t>17'208'505</t>
  </si>
  <si>
    <t>38'654'433</t>
  </si>
  <si>
    <t>10'133'734</t>
  </si>
  <si>
    <t>10'581'190</t>
  </si>
  <si>
    <t>66'674'536</t>
  </si>
  <si>
    <t>18'781'642</t>
  </si>
  <si>
    <t>146'585'274</t>
  </si>
  <si>
    <t>8'657'837</t>
  </si>
  <si>
    <t>10'173'073</t>
  </si>
  <si>
    <t>8'766'502</t>
  </si>
  <si>
    <t>Nbr de personne infectée pour 100'000 hab.</t>
  </si>
  <si>
    <t>https://www.gouvernement.fr/info-coronavirus/carte-et-donnees</t>
  </si>
  <si>
    <t>Nombre de pays touchés :</t>
  </si>
  <si>
    <t>* chiffres corrigés selon les déclarations officielles du Gouvernement français
* 04.04.2020 chiffres des déces en  EHPAD ou EMS ajoutés
*explication de la différence des chiffres dans mon fichier avec ceux de Johns Hoppkins: 
la différence de plus de 20 000 cas entre le décompte des autorités françaises et le décompte de Johns-Hopkins ou Worldometer quant aux cas confirmés en France, tient au fait que ces deux sites ajoutent les cas dans les Ehpad, communiqué depuis peu par les autorités, au bilan des cas confirmés par test. Mais ces chiffres inclue des cas non confirmé par un test, donc dans le doute et dans l'attente de chiffres officiels je vais conserver uniquement les chiffres annoncés par l'état français
https://www.liberation.fr/checknews/2020/04/05/covid-19-pourquoi-des-sites-evoquent-90-000-cas-en-france-contre-68-000-au-bilan-officiel_1784232</t>
  </si>
  <si>
    <r>
      <rPr>
        <b/>
        <sz val="10"/>
        <rFont val="Arial"/>
      </rPr>
      <t xml:space="preserve">Note 1: </t>
    </r>
    <r>
      <rPr>
        <sz val="10"/>
        <color rgb="FF000000"/>
        <rFont val="Arial"/>
      </rPr>
      <t>Les cases dans lesquelles il est noté "0", représentent soit qu'il n'y a pas de cas ressensés, soit que je n'ai pas pu collecter de données à ce jour.</t>
    </r>
  </si>
  <si>
    <t xml:space="preserve"> </t>
  </si>
  <si>
    <r>
      <rPr>
        <b/>
        <sz val="10"/>
        <rFont val="Arial"/>
      </rPr>
      <t>Note 2:</t>
    </r>
    <r>
      <rPr>
        <sz val="10"/>
        <color rgb="FF000000"/>
        <rFont val="Arial"/>
      </rPr>
      <t xml:space="preserve"> Les chiffres présentés dans ce tableau, bien que précisément exprimés, ne représent pas la vérité absolue. 
Il existe un certain nombre d'incertitudes. De plus certains chiffres pourraient différer d'autres sources car je n'ai pas été en mesure de collecter les chiffres tous les jours à la même heure et vu la rapidité de la propagation, il se peut qu'il y aie des inexactitudes dans les chiffres au jour le jour.</t>
    </r>
  </si>
  <si>
    <r>
      <rPr>
        <b/>
        <sz val="10"/>
        <rFont val="Arial"/>
      </rPr>
      <t>Note 3:</t>
    </r>
    <r>
      <rPr>
        <sz val="10"/>
        <color rgb="FF000000"/>
        <rFont val="Arial"/>
      </rPr>
      <t xml:space="preserve"> Il se peut que les chiffres de ce tableau diffèrent de ceux transmis par l'OMS, car l'OMS ne communique que les cas qui ont été doublement confirmés. Les chiffres de ce tableau reflètent ceux publiés par l'Université Johns Hopkins qui compte tous les cas annoncés par les pays.</t>
    </r>
  </si>
  <si>
    <r>
      <rPr>
        <b/>
        <sz val="10"/>
        <rFont val="Arial"/>
      </rPr>
      <t xml:space="preserve">Note 4: </t>
    </r>
    <r>
      <rPr>
        <sz val="10"/>
        <color rgb="FF000000"/>
        <rFont val="Arial"/>
      </rPr>
      <t>Actuellement nous ne savons absolument pas si ces données reflètent réellement la situation en Chine, car il y a de nombreux facteurs qui laissent penser que le Gouvernement chinois ne nous communiquent pas du tout les chiffres réels. Cette remarque est également valable pour d'autres pays, dont on a actuellement des doutes quant à leur sincérité.</t>
    </r>
  </si>
  <si>
    <t>Nombre d'habitants par pays</t>
  </si>
  <si>
    <t>https://countrymeters.info/fr/Iceland</t>
  </si>
  <si>
    <t>En Amérique</t>
  </si>
  <si>
    <t xml:space="preserve"> Antigua-et-
Barbuda</t>
  </si>
  <si>
    <t>Argentine</t>
  </si>
  <si>
    <t>Aruba</t>
  </si>
  <si>
    <t>Bahamas</t>
  </si>
  <si>
    <t>Barbade</t>
  </si>
  <si>
    <t>Belize</t>
  </si>
  <si>
    <t>Bolivie</t>
  </si>
  <si>
    <t>Brésil</t>
  </si>
  <si>
    <t>Canada</t>
  </si>
  <si>
    <t>Chili</t>
  </si>
  <si>
    <t>Colombie</t>
  </si>
  <si>
    <t>Costa Rica</t>
  </si>
  <si>
    <t>Cuba</t>
  </si>
  <si>
    <t>Curaçao</t>
  </si>
  <si>
    <t>Dominique</t>
  </si>
  <si>
    <t>El Salvador</t>
  </si>
  <si>
    <t>Équateur</t>
  </si>
  <si>
    <t>Etats-Unis</t>
  </si>
  <si>
    <t>Grenade</t>
  </si>
  <si>
    <t>Groenland</t>
  </si>
  <si>
    <t>Guadeloupe</t>
  </si>
  <si>
    <t>Guatemala</t>
  </si>
  <si>
    <t>Guyana</t>
  </si>
  <si>
    <t>Guyane
française</t>
  </si>
  <si>
    <t>Haïti</t>
  </si>
  <si>
    <t>Honduras</t>
  </si>
  <si>
    <t>Îes Caïmans</t>
  </si>
  <si>
    <t>Jamaïque</t>
  </si>
  <si>
    <t>Martinique</t>
  </si>
  <si>
    <t>Mexique</t>
  </si>
  <si>
    <t>Nicaragua</t>
  </si>
  <si>
    <t>Panama</t>
  </si>
  <si>
    <t>Paraguay</t>
  </si>
  <si>
    <t>Pérou</t>
  </si>
  <si>
    <t>Porto Rico</t>
  </si>
  <si>
    <t>République 
dominicaine</t>
  </si>
  <si>
    <t>Saint-
Barthélemy</t>
  </si>
  <si>
    <t>Saint-
Christophe-
et-Niévès</t>
  </si>
  <si>
    <t>Sainte-Lucie</t>
  </si>
  <si>
    <t>Saint-Martin</t>
  </si>
  <si>
    <t>Saint-Pierre-
et-Miquelon</t>
  </si>
  <si>
    <t>Saint-Vincent
-et-les-
Grenadines</t>
  </si>
  <si>
    <t>Suriname</t>
  </si>
  <si>
    <t>Trinité-et-
Tobago</t>
  </si>
  <si>
    <t>Uruguay</t>
  </si>
  <si>
    <t>Venezuela</t>
  </si>
  <si>
    <t>ATG</t>
  </si>
  <si>
    <t>ARG</t>
  </si>
  <si>
    <t>ABW</t>
  </si>
  <si>
    <t>BHS</t>
  </si>
  <si>
    <t>BRB</t>
  </si>
  <si>
    <t>BLZ</t>
  </si>
  <si>
    <t>BOL</t>
  </si>
  <si>
    <t>BRA</t>
  </si>
  <si>
    <t>CAN</t>
  </si>
  <si>
    <t>CHL</t>
  </si>
  <si>
    <t>COL</t>
  </si>
  <si>
    <t>CRI</t>
  </si>
  <si>
    <t>CUB</t>
  </si>
  <si>
    <t>CUW</t>
  </si>
  <si>
    <t>DMA</t>
  </si>
  <si>
    <t>SLV</t>
  </si>
  <si>
    <t>ECU</t>
  </si>
  <si>
    <t>USA</t>
  </si>
  <si>
    <t>GRD</t>
  </si>
  <si>
    <t>GRL</t>
  </si>
  <si>
    <t>GLP</t>
  </si>
  <si>
    <t>GTM</t>
  </si>
  <si>
    <t>GUY</t>
  </si>
  <si>
    <t>GUF</t>
  </si>
  <si>
    <t>HTI</t>
  </si>
  <si>
    <t>HND</t>
  </si>
  <si>
    <t>CYM</t>
  </si>
  <si>
    <t>JAM</t>
  </si>
  <si>
    <t>MTQ</t>
  </si>
  <si>
    <t>MEX</t>
  </si>
  <si>
    <t>NIC</t>
  </si>
  <si>
    <t>PAN</t>
  </si>
  <si>
    <t>PRY</t>
  </si>
  <si>
    <t>PER</t>
  </si>
  <si>
    <t>PRI</t>
  </si>
  <si>
    <t>DOM</t>
  </si>
  <si>
    <t>BLM</t>
  </si>
  <si>
    <t>KNA</t>
  </si>
  <si>
    <t>LCA</t>
  </si>
  <si>
    <t>MAF / SXM</t>
  </si>
  <si>
    <t>SPM</t>
  </si>
  <si>
    <t>VCT</t>
  </si>
  <si>
    <t>SUR</t>
  </si>
  <si>
    <t>TTO</t>
  </si>
  <si>
    <t>URY</t>
  </si>
  <si>
    <t>VEN</t>
  </si>
  <si>
    <t>1er cas annoncé aux USA</t>
  </si>
  <si>
    <t>https://www.francetvinfo.fr/sante/maladie/coronavirus/coronavirus-un-cas-confirme-pres-de-seattle-aux-etats-unis_3794647.html</t>
  </si>
  <si>
    <t>1er cas en Egypte</t>
  </si>
  <si>
    <t>https://www.lefigaro.fr/sciences/le-ministere-egyptien-de-la-sante-annonce-un-cas-sur-son-territoire-le-premier-en-afrique-20200214
https://www.who.int/docs/default-source/coronaviruse/situation-reports/20200215-sitrep-26-covid-19.pdf?sfvrsn=a4cc6787_2</t>
  </si>
  <si>
    <t>2 cas confirmés aux USA</t>
  </si>
  <si>
    <t>https://www.24heures.ch/monde/coronavirus-usa-analysent-50-cas-potentiels/story/25215000
https://www.who.int/docs/default-source/coronaviruse/situation-reports/20200125-sitrep-5-2019-ncov.pdf?sfvrsn=429b143d_8</t>
  </si>
  <si>
    <t>1er cas au Canada</t>
  </si>
  <si>
    <t>https://www.who.int/docs/default-source/coronaviruse/situation-reports/20200203-sitrep-14-ncov.pdf?sfvrsn=f7347413_4</t>
  </si>
  <si>
    <t>1er cas en Algérie</t>
  </si>
  <si>
    <t>https://www.who.int/docs/default-source/coronaviruse/situation-reports/20200226-sitrep-37-covid-19.pdf?sfvrsn=2146841e_2
https://www.lefigaro.fr/sciences/algerie-premier-cas-de-coronavirus-confirme-20200225</t>
  </si>
  <si>
    <t>1er cas au Nigeria</t>
  </si>
  <si>
    <t>https://www.who.int/docs/default-source/coronaviruse/situation-reports/20200228-sitrep-39-covid-19.pdf?sfvrsn=5bbf3e7d_2
http://www.leparisien.fr/societe/coronavirus-38-cas-de-contamination-confirmes-en-france-un-premier-au-nigeria-28-02-2020-8268615.php</t>
  </si>
  <si>
    <t>https://www.who.int/docs/default-source/coronaviruse/situation-reports/20200206-sitrep-17-ncov.pdf?sfvrsn=17f0dca_4</t>
  </si>
  <si>
    <t>1er cas au Sénégal</t>
  </si>
  <si>
    <t>http://www.leparisien.fr/societe/coronavirus-bilan-en-france-ecoles-fermees-mesure-de-precaution-suivez-en-direct-l-evolution-de-l-epidemie-02-03-2020-8270472.php</t>
  </si>
  <si>
    <t>https://www.who.int/docs/default-source/coronaviruse/situation-reports/20200214-sitrep-25-covid-19.pdf?sfvrsn=61dda7d_2</t>
  </si>
  <si>
    <t>1er cas au Maroc (1 cas)
1er cas en Tunisie (1 cas)</t>
  </si>
  <si>
    <t>https://www.voaafrique.com/a/coronavirus-premier-cas-confirm%C3%A9-au-maroc/5312650.html</t>
  </si>
  <si>
    <t>En Asie</t>
  </si>
  <si>
    <t>Arabie 
saoudite</t>
  </si>
  <si>
    <t>Arménie</t>
  </si>
  <si>
    <t>Afghanistan</t>
  </si>
  <si>
    <t>Azerbaïdjan</t>
  </si>
  <si>
    <t>Bahreïn</t>
  </si>
  <si>
    <t>Bangladesh</t>
  </si>
  <si>
    <t>Bhoutan</t>
  </si>
  <si>
    <t>Birmanie</t>
  </si>
  <si>
    <t>Brunei</t>
  </si>
  <si>
    <t>Cambodge</t>
  </si>
  <si>
    <t>Chine</t>
  </si>
  <si>
    <t>Corée du Sud</t>
  </si>
  <si>
    <t>Émirats 
arabes unis</t>
  </si>
  <si>
    <t>Géorgie</t>
  </si>
  <si>
    <t>Hong-Kong</t>
  </si>
  <si>
    <t>Inde</t>
  </si>
  <si>
    <t xml:space="preserve"> Indonésie</t>
  </si>
  <si>
    <t>Irak</t>
  </si>
  <si>
    <t>Iran</t>
  </si>
  <si>
    <t>Israël</t>
  </si>
  <si>
    <t>Japon</t>
  </si>
  <si>
    <t>Jordanie</t>
  </si>
  <si>
    <t>Kazakhstan</t>
  </si>
  <si>
    <t>Kirghizistan</t>
  </si>
  <si>
    <t>Koweït</t>
  </si>
  <si>
    <t>Laos</t>
  </si>
  <si>
    <t>Liban</t>
  </si>
  <si>
    <t>Macao</t>
  </si>
  <si>
    <t>Malaisie</t>
  </si>
  <si>
    <t>Maldives</t>
  </si>
  <si>
    <t>Mongolie</t>
  </si>
  <si>
    <t>Népal</t>
  </si>
  <si>
    <t>Oman</t>
  </si>
  <si>
    <t>Ouzbékistan</t>
  </si>
  <si>
    <t>Pakistan</t>
  </si>
  <si>
    <t>Palestine</t>
  </si>
  <si>
    <t>Philippines</t>
  </si>
  <si>
    <t>Qatar</t>
  </si>
  <si>
    <t>Singapour</t>
  </si>
  <si>
    <t>Sri Lanka</t>
  </si>
  <si>
    <t>Syrie</t>
  </si>
  <si>
    <t>Taïwan</t>
  </si>
  <si>
    <t>Thaïlande</t>
  </si>
  <si>
    <t>Timor oriental</t>
  </si>
  <si>
    <t>Turquie</t>
  </si>
  <si>
    <t>Viêt Nam</t>
  </si>
  <si>
    <t>Yémen</t>
  </si>
  <si>
    <t>Cisjordanie
et Gaza</t>
  </si>
  <si>
    <t>SAU</t>
  </si>
  <si>
    <t>ARM</t>
  </si>
  <si>
    <t>AFG</t>
  </si>
  <si>
    <t>AZE</t>
  </si>
  <si>
    <t>BHR</t>
  </si>
  <si>
    <t>BGD</t>
  </si>
  <si>
    <t>BTN</t>
  </si>
  <si>
    <t>MMR</t>
  </si>
  <si>
    <t>BRN</t>
  </si>
  <si>
    <t>KHM</t>
  </si>
  <si>
    <t>CHN</t>
  </si>
  <si>
    <t>KOR</t>
  </si>
  <si>
    <t>ARE</t>
  </si>
  <si>
    <t>GEO</t>
  </si>
  <si>
    <t>HGK</t>
  </si>
  <si>
    <t>IND</t>
  </si>
  <si>
    <t>IDN</t>
  </si>
  <si>
    <t>IRQ</t>
  </si>
  <si>
    <t>IRN</t>
  </si>
  <si>
    <t>ISR</t>
  </si>
  <si>
    <t>JPN</t>
  </si>
  <si>
    <t>JOR</t>
  </si>
  <si>
    <t>KAZ</t>
  </si>
  <si>
    <t>KGZ</t>
  </si>
  <si>
    <t>KWT</t>
  </si>
  <si>
    <t>LAO</t>
  </si>
  <si>
    <t>LBN</t>
  </si>
  <si>
    <t>MAC</t>
  </si>
  <si>
    <t>MYS</t>
  </si>
  <si>
    <t>MDV</t>
  </si>
  <si>
    <t>MNG</t>
  </si>
  <si>
    <t>NPL</t>
  </si>
  <si>
    <t>OMN</t>
  </si>
  <si>
    <t>UZB</t>
  </si>
  <si>
    <t>PAK</t>
  </si>
  <si>
    <t>PSE</t>
  </si>
  <si>
    <t>PHL</t>
  </si>
  <si>
    <t>QAT</t>
  </si>
  <si>
    <t>SGP</t>
  </si>
  <si>
    <t>LKA</t>
  </si>
  <si>
    <t>SYR</t>
  </si>
  <si>
    <t>TWN</t>
  </si>
  <si>
    <t>THA</t>
  </si>
  <si>
    <t>TLS</t>
  </si>
  <si>
    <t>TUR</t>
  </si>
  <si>
    <t>VNM</t>
  </si>
  <si>
    <t>YEM</t>
  </si>
  <si>
    <t>ISR / PSE</t>
  </si>
  <si>
    <t>1er cas en Afrique du Sud (1 cas)</t>
  </si>
  <si>
    <t>1er cas au Cameroun (1 cas)
1er cas au Togo (1 cas)</t>
  </si>
  <si>
    <t>E</t>
  </si>
  <si>
    <t>1er cas au Burkina Faso (1 cas)
1ère mort au Maroc</t>
  </si>
  <si>
    <t>https://fr.hespress.com/131867-coronavirus-1er-deces-au-maroc-lie-au-virus.html</t>
  </si>
  <si>
    <t>1er cas à la République démocratique du Congo (1 cas)</t>
  </si>
  <si>
    <t>1ère mort en Algérie - 1 homme de 78 ans
1er cas à La Réunion (2 cas)
1er cas en Côte d'Ivoire (1 cas)</t>
  </si>
  <si>
    <t>https://fr.sputniknews.com/maghreb/202003121043246789-un-premier-mort-en-algerie-a-cause-du-coronavirus-la-maladie-se-propage-dans-le-pays/
https://www.clicanoo.re/Societe/Article/2020/03/12/Coronavirus-la-Reunion-deux-nouveaux-cas-averes_601199
https://www.jeuneafrique.com/909062/societe/cote-divoire-un-cas-confirme-de-coronavirus-les-autorites-appellent-au-calme/</t>
  </si>
  <si>
    <t>1er cas au Ghana (2 cas)
1er cas au Gabon (1 cas)
1er cas au Kenya (1 cas)
1er cas en Ethiopie (1cas)
1er cas et 1ère mort au Soudan (1 cas)</t>
  </si>
  <si>
    <t xml:space="preserve">https://www.ouest-france.fr/sante/virus/coronavirus/coronavirus-deux-premiers-cas-confirmes-au-ghana-6777569
https://www.gabonreview.com/coronavirus-le-gabon-enregistre-son-premier-cas/
https://beninwebtv.com/2020/03/coronavirus-lepidemie-progresse-en-afrique-le-kenya-confirme-un-premier-cas/
https://beninwebtv.com/2020/03/coronavirus-lafrique-de-lest-touchee-le-kenya-et-lethiopie-confirment-leurs-premiers-cas/
</t>
  </si>
  <si>
    <t>1er cas en Guinée (1 cas)
1er cas en Mauritanie (1 cas)
1er cas a Mayotte (1 cas)
1er cas en Namibie (2 cas)
1er cas au Rwanda (1 cas)
1er cas en Eswatini (1 cas)</t>
  </si>
  <si>
    <t xml:space="preserve">https://www.voaafrique.com/a/coronavirus-premier-cas-confirm%C3%A9-en-guin%C3%A9e-sur-une-belge/5327797.html
https://la1ere.francetvinfo.fr/mayotte/deuxieme-cas-coronavirus-mayotte-812796.html
https://news-24.fr/la-namibie-signale-les-deux-premiers-cas-de-coronavirus-et-impose-une-interdiction-de-voyager-2/
https://www.jeuneafrique.com/910772/politique/un-premier-cas-de-coronavirus-confirme-au-rwanda/
</t>
  </si>
  <si>
    <t>1er cas propagé sur le territoire aux USA
1er cas au Brésil (1 cas)</t>
  </si>
  <si>
    <t>https://lactualite.com/actualites/premier-cas-de-coronavirus-aux-etats-unis-sans-lien-apparent-avec-letranger/
https://www.who.int/docs/default-source/coronaviruse/situation-reports/20200227-sitrep-38-covid-19.pdf?sfvrsn=9f98940c_2</t>
  </si>
  <si>
    <t>1er cas au Congo (1 cas)
1er cas en Guinée équatoriale (1 cas)
1er cas en République centrafricaine (1 cas)
1er cas aux Seychelles (2 cas)</t>
  </si>
  <si>
    <t>https://www.lexpress.mu/article/372422/covid-19-deux-cas-detectes-aux-seychelles</t>
  </si>
  <si>
    <t>1er cas annoncé en Thaïlande</t>
  </si>
  <si>
    <t>1er cas au Mexique (2 cas)</t>
  </si>
  <si>
    <t xml:space="preserve">1er cas au Liberia (1 cas)
1er cas en Somalie (1 cas)
1er cas en Tanzanie (1 cas) </t>
  </si>
  <si>
    <t>https://www.aa.com.tr/en/africa/liberia-announces-1st-coronavirus-case/1768162
https://www.voaafrique.com/a/premiers-cas-de-coronavirus-en-tanzanie-et-somalie-la-r%C3%A9gion-se-ferme-/5330931.html
https://www.rtbf.be/info/monde/detail_coronavirus-premier-cas-de-coronavirus-en-tanzanie-l-afrique-de-l-est-multiplie-les-mesures?id=10459221</t>
  </si>
  <si>
    <t>1ère mort aux USA et début de la propagation dans le pays
1er cas en Equateur (1 cas)</t>
  </si>
  <si>
    <t>https://ici.radio-canada.ca/nouvelle/1539812/propagation-coronavirus-etats-unis-avertissement 
https://www.who.int/docs/default-source/coronaviruse/situation-reports/20200301-sitrep-41-covid-19.pdf?sfvrsn=6768306d_2</t>
  </si>
  <si>
    <t>1er cas au Bénin (1 cas)</t>
  </si>
  <si>
    <t>https://lanationbenin.info/1er-cas-de-coronavirus-au-benin-le-ministre-de-la-sante-rassure-ses-concitoyens/</t>
  </si>
  <si>
    <t>1er cas en République dominicaine (1 cas)</t>
  </si>
  <si>
    <t>https://www.rtbf.be/info/societe/detail_l-equateur-annonce-son-premier-cas-de-covid-19?id=10444504</t>
  </si>
  <si>
    <t>1er cas à Djibouti (1 cas)
1er cas en Gambie (1 cas)
1er cas en Zambie (2 cas) 
1ère mort au Burkina Faso - 1 femme 62 ans</t>
  </si>
  <si>
    <t>http://french.xinhuanet.com/afrique/2020-03/18/c_138891198.htm
https://www.pressafrik.com/Premier-cas-de-Coronavirus-en-Gambie_a213271.html
https://information.tv5monde.com/afrique/coronavirus-au-burkina-faso-un-mort-le-premier-en-afrique-subsaharienne-351996</t>
  </si>
  <si>
    <t xml:space="preserve">1er cas à l'ile Maurice (3 cas)
1er cas au Niger (1 cas)
1er cas au Tchad (1 cas) </t>
  </si>
  <si>
    <t>https://la1ere.francetvinfo.fr/reunion/ile-maurice-son-tour-touchee-coronavirus-813620.html
http://www.anp.ne/?q=article/le-niger-enregistre-son-premier-cas-de-coronavirus-officiel
https://tchadinfos.com/tchad/coronavirus-le-tchad-vient-denregistrer-un-premier-cas/</t>
  </si>
  <si>
    <t>1er cas en Argentine (1 cas) 
1er cas au Chili (1 cas)</t>
  </si>
  <si>
    <t>1er cas annoncé au Japon</t>
  </si>
  <si>
    <t>1er cas à Saint-Barthélemy (3 cas)</t>
  </si>
  <si>
    <t>1er cas en Angola (1 cas) 
1er cas au Cap-Vert (1 cas)
1er cas à Madagascar (3 cas) 
1er cas au Zimbabwe ( 1 cas) 
1ère mort en Tunisie - 1 femme 72 ans</t>
  </si>
  <si>
    <t xml:space="preserve">
https://www.lapresse.ca/international/202003/20/01-5265701-covid-19-plus-de-11-000-morts-recenses-dans-le-monde.php
https://www.zinfos974.com/Andry-Rajoelina-confirme-les-premiers-cas-de-Coronavirus-a-Madagascar_a151236.html
https://www.voaafrique.com/a/coronavirus-le-zimbabwe-signale-un-premier-cas-d-infection/5338786.html
http://www.rfi.fr/fr/afrique/20200320-tunisie-premier-d%C3%A9c%C3%A8s-d%C3%BB-coronavirus</t>
  </si>
  <si>
    <t>1er cas en Érythrée
1ère mort au Gabon - 1 homme de 50 ans
1ère mort à l'Ile Maurice
1ère mort en République démocratique du Congo</t>
  </si>
  <si>
    <t>https://news-24.fr/langola-lerythree-et-louganda-confirment-les-premiers-cas-de-propagation-du-coronavirus-en-afrique/
https://fr.africanews.com/2020/03/20/coronavirus-un-deces-au-gabon-le-premier-en-afrique-centrale//
https://la1ere.francetvinfo.fr/coronavirus-premier-mort-ile-maurice-814764.html
https://fr.africanews.com/2020/03/21/covid-19-1er-mort-en-rdc-et-des-ministres-suspectes/</t>
  </si>
  <si>
    <t>1er cas en Colombie (1 cas)
1er cas au Costa Rica (1 cas)
1er cas au Pérou (1 cas)</t>
  </si>
  <si>
    <t>1er cas en Guyanne française (5 cas)
1er casen Martiniques (2 cas)</t>
  </si>
  <si>
    <t>1er cas au Mozambique (1 cas)
1er cas en Ouganda (1 cas)
1ère mort au Ghana</t>
  </si>
  <si>
    <t>https://af.reuters.com/article/commoditiesNews/idAFL8N2BF0PT
https://www.aa.com.tr/en/africa/uganda-confirms-first-case-of-covid-19/1774578
https://www.pulse.com.gh/news/local/coronavirus-ghana-records-1-death-cases-rise-to-21/v4dqw4h</t>
  </si>
  <si>
    <t>1er cas au Paraguay (1 cas)</t>
  </si>
  <si>
    <t>1ère mort au Nigeria - 1 homme de 67 ans
1ère mort en Gambie - 1 homme de 70 ans
1ère mort au Zimbabwe - 1 homme de 30 ans</t>
  </si>
  <si>
    <t>https://www.voaafrique.com/a/coronavirus-premier-mort-au-nigeria-pays-le-plus-peupl%C3%A9-d-afrique/5341125.html
https://www.dakaractu.com/Coronavirus-Le-deces-enregistre-en-Gambie-une-piste-pour-le-Senegal-de-cerner-la-provenance-des-cas-issus-de-la_a185815.html
https://afrique.lalibre.be/48107/coronavirus-un-premier-mort-du-coronavirus-recense-au-zimbabwe/</t>
  </si>
  <si>
    <t>1er cas à Saint-Martin (2 cas)
1er cas au Panama (1 cas)</t>
  </si>
  <si>
    <t>1er cas annoncé en Corée du Sud</t>
  </si>
  <si>
    <t>1ère mort au Canada</t>
  </si>
  <si>
    <t>1er cas en Libye (1 cas)
1ère mort au Cap-Vert - 1 homme de 62 ans</t>
  </si>
  <si>
    <t>https://www.rts.ch/info/monde/11196705-le-coronavirus-arrive-au-mali-et-en-libye-territoires-en-guerre.html
https://www.rts.ch/info/monde/11193569-couvre-feux-et-confinements-en-afrique-ou-le-coronavirus-progresse.html</t>
  </si>
  <si>
    <t>1er cas en Bolivie (2 cas)
1er cas au Honduras (2 cas) - venant de Suisse 
et Espagne
1er cas en Jamaïque (1 cas)
1ère mort au Panama</t>
  </si>
  <si>
    <t xml:space="preserve">https://www.chine-magazine.com/la-bolivie-confirme-ses-deux-premiers-cas-de-coronavirus/
https://www.elheraldo.hn/pais/1363031-466/honduras-confirma-los-dos-primeros-casos-de-coronavirus
https://www.zonebourse.com/actualite-bourse/Coronavirus-La-Jamaique-dit-avoir-confirme-un-premier-cas--30140866/
</t>
  </si>
  <si>
    <t>1er cas en Guinée-Bissau (2 cas) 
1er cas au Mali (2 cas)
1ère mort au Cameroun - 1 homme
1ère mort au Niger - 1 homme de 63 ans</t>
  </si>
  <si>
    <t>https://www.dakaractu.com/Coronavirus-La-Guinee-Bissau-enregistre-ses-deux-premiers-cas_a185940.html
https://www.alwihdainfo.com/Coronavirus-Mali-Premiers-cas-de-coronavirus-au-Mali_a84650.html
https://afrique.lalibre.be/48201/cameroun-un-premier-mort-du-au-coronavirus/
http://www.anp.ne/?q=article/nouveau-bilan-du-covid-19-au-niger-7-cas-dont-un-mort-officiel</t>
  </si>
  <si>
    <t>1er cas à Taïwan</t>
  </si>
  <si>
    <t>1er cas à Cuba (3 cas)
1er cas et 1ère mort en Guyana (1 cas)</t>
  </si>
  <si>
    <t>https://www.zonebourse.com/actualite-bourse/Coronavirus-Des-premiers-cas-de-contamination-confirmes-a-Cuba--30147622/
https://www.usnews.com/news/world/articles/2020-03-11/guyana-confirms-first-case-of-coronavirus-in-woman-who-returned-from-us</t>
  </si>
  <si>
    <t>1ère mort au Kenya - 1 homme de 66 ans</t>
  </si>
  <si>
    <t>https://www.panapress.com/Le-Kenya-enregistre-son-premier--a_630634410-lang1.html</t>
  </si>
  <si>
    <t>1er cas à Trinité et Tobago (1 cas)
1ère mort en Equateur - 1 femme 71 ans</t>
  </si>
  <si>
    <t>https://www.lalibre.be/dernieres-depeches/belga/coronavirus-premier-deces-du-au-covid-19-en-equateur-le-5e-en-amerique-latine-5e6c06d6d8ad582f31776d11</t>
  </si>
  <si>
    <t>La Thaïlande annonce 2 cas supp.</t>
  </si>
  <si>
    <t>https://www.who.int/docs/default-source/coronaviruse/situation-reports/20200123-sitrep-3-2019-ncov.pdf?sfvrsn=d6d23643_8</t>
  </si>
  <si>
    <t>1ère mort en Afrique du Sud</t>
  </si>
  <si>
    <t>https://www.aa.com.tr/fr/afrique/lafrique-du-sud-annonce-les-deux-premiers-d%C3%A9c%C3%A8s-dus-au-coronavirus/1781805</t>
  </si>
  <si>
    <t>1er cas à Antigua-et-Barbuda (1 cas) 
1er cas à Aruba (2 cas)
1er cas au Curaçao (1 cas)
1er cas en Guadeloupe (1 cas)
1er cas au Guatemala (1 cas)
1er cas aux Îles Caïmans (1 cas)
1er cas à Puerto Rico (3 cas)
1er cas à Sainte-Lucie (1 cas)
1er cas à Saint-Vincent-et-les-Grenadines (1 cas)
1er cas au Suriname (1 cas)
1er cas en Uruguay (4 cas)
1er cas au Venezuela (2 cas)
1ère mort au Guyana - 1 femme</t>
  </si>
  <si>
    <t>https://ewnews.com/coronavirus-three-more-caribbean-countries-report-cases-of-covid-19
https://www.lavenir.net/cnt/dmf20200313_01456714/guatemala-et-suriname-enregistrent-leurs-premiers-cas-de-contamination
http://www.soualigapost.com/fr/actualite/35188/sant%C3%A9/coronavirus-pr%C3%A8s-d%E2%80%99une-trentaine-de-cas-dans-la-cara%C3%AFbe
https://www.nbcmiami.com/news/coronavirus/puerto-rico-gov-confirms-coronavirus-cases-on-island/2205575/
https://www.zayactu.org/2020/03/infos/caraibes/actualites-a-sainte-lucie/un-premier-cas-de-coronavirus-avere-a-sainte-lucie
https://www.zonebourse.com/actualite-bourse/Le-bilan-de-l-epidemie-causee-par-le-coronavirus-dans-le-monde-a-09H00-GMT--30156497/
https://www.ouest-france.fr/sante/virus/coronavirus/coronavirus-l-uruguay-ferme-partiellement-ses-frontieres-6779374
https://www.ouest-france.fr/sante/virus/coronavirus/coronavirus-deux-premiers-cas-confirmes-au-venezuela-les-ecoles-fermees-6779886
http://demerarawaves.com/2020/03/24/4-confirmed-coronavirus-cases-in-guyana-13-in-mandatory-quarantine/</t>
  </si>
  <si>
    <t>1ère mort à la Martinique - 1 femme de 86 ans
1ère mort au Guatemala - 1 homme de 85 ans</t>
  </si>
  <si>
    <t>https://la1ere.francetvinfo.fr/martinique/coronavirus-covid-19-premier-deces-lies-au-virus-15-patients-touches-martinique-811764.html
https://nationalpost.com/pmn/health-pmn/guatemala-has-first-coronavirus-death-panama-to-keep-out-non-resident-foreigners</t>
  </si>
  <si>
    <t xml:space="preserve">1ère mort au Togo </t>
  </si>
  <si>
    <t>https://beninwebtv.com/2020/03/coronavirus-3-nouveaux-cas-confirmes-ce-samedi-au-togo/</t>
  </si>
  <si>
    <t>1er cas à Macau (2 cas)
1er cas à Hong Kong (5 cas)
1er cas au Népal</t>
  </si>
  <si>
    <t>1er cas aux Bahamas (1 cas)
1er cas au Groenland (1 cas)</t>
  </si>
  <si>
    <r>
      <t xml:space="preserve">https://globalnews.ca/news/6681016/coronavirus-2-canadians-cruise-ship-bahamas/
</t>
    </r>
    <r>
      <rPr>
        <sz val="10"/>
        <color rgb="FF000000"/>
        <rFont val="Arial"/>
      </rPr>
      <t>https://www.tvanouvelles.ca/2020/03/16/meme-le-groenland-est-touche-par-la-covid-19</t>
    </r>
  </si>
  <si>
    <t>1ère mort au Mali
1ère mort en Côte d'ivoire</t>
  </si>
  <si>
    <t>https://www.voaafrique.com/a/mali-elections-coronavirus-premier-mort-au-mali-%C3%A0-la-veille-des-l%C3%A9gislatives/5350450.html
https://fr.africanews.com/2020/03/30/coronavirus-premier-deces-du-au-coronavirus-en-cote-d-ivoire-officiel//</t>
  </si>
  <si>
    <t>1er cas à la Barbade (2 cas) 
1ère mort en République dominicaine - 1 femme 
de 47 déjà atteinte du VIH et de la tuberculose
1ère mort au Brésil - 1 homme de 62 ans</t>
  </si>
  <si>
    <t>https://www.stlucianewsonline.com/update-barbados-reports-first-two-cases-of-the-coronavirus/
https://rezonodwes.com/2020/03/16/coronavirus-premier-deces-enregistre-en-republique-dominicaine/
https://www.lefigaro.fr/flash-actu/coronavirus-premier-deces-au-bresil-a-sao-paulo-20200317</t>
  </si>
  <si>
    <t>1er cas au Botswana (3 cas)
1ère mort en Angola -  2 personnes de 37 et 52 ans</t>
  </si>
  <si>
    <t>https://www.who.int/docs/default-source/coronaviruse/situation-reports/20200126-sitrep-6-2019--ncov.pdf?sfvrsn=beaeee0c_4</t>
  </si>
  <si>
    <t>1ère mort à Cuba - 1 homme italien de 61 ans
1ère mort au Curaçao - 1 homme de 68 ans</t>
  </si>
  <si>
    <r>
      <t xml:space="preserve">https://www.miamiherald.com/news/coronavirus/article241303006.html
</t>
    </r>
    <r>
      <rPr>
        <sz val="10"/>
        <color rgb="FF000000"/>
        <rFont val="Arial"/>
      </rPr>
      <t>https://www.stlucianewsonline.com/curacaos-first-coronavirus-patient-dies/</t>
    </r>
  </si>
  <si>
    <t xml:space="preserve">1er cas au Nicaragua (1 cas)
1er cas au Salvador (1 cas) 
1ère mort au Costa Rica
1ère mort en Jamaïque 
1ère mort au Mexique </t>
  </si>
  <si>
    <t>https://news-24.fr/le-nicaragua-enregistre-le-premier-cas-dinfection-a-coronavirus/
https://www.breakingnews.fr/sante/el-salvador-confirme-son-premier-cas-positif-de-coronavirus-365683.html
https://www.journaldemontreal.com/2020/03/18/coronavirus-1er-mort-au-costa-rica-panama-et-bolivie-sous-couvre-feu
https://www.zayactu.org/2020/03/infos/caraibes/jamaique/coronavirus-le-1er-cas-de-la-jamaique-est-decede-ce-mercredi
https://www.aa.com.tr/en/americas/mexico-confirms-first-coronavirus-death/1771362</t>
  </si>
  <si>
    <t>1er cas au Burundi (2 cas) 
1er cas en Sierra Leone (1 cas)
1ère mort au Botswana 
1ère mort en Mauritanie - 1 femme de 48 ans
1ère mort à Mayotte 
1ère mort en Tanzanie - 1 homme de 43 ans</t>
  </si>
  <si>
    <t>https://beninwebtv.com/2020/04/coronavirus-le-burundi-confirme-ses-deux-premiers-cas/
https://afrique.lalibre.be/48542/coronavirus-la-sierra-leone-annonce-son-premier-cas/
https://www.lematin.ch/monde/mesures-durcissent-afrique/story/15964473
https://fr.africanews.com/2020/03/31/la-mauritanie-annonce-son-1er-deces-du-coronavirus//
https://www.lci.fr/sante/coronavirus-premier-deces-lie-au-covid-19-a-mayotte-94-cas-recenses-sur-l-archipel-2149669.html
https://www.theeastafrican.co.ke/news/ea/Tanzania-registers-first-coronavirus-death/4552908-5509594-14y1jo/index.html</t>
  </si>
  <si>
    <t>1er cas au Cambodge 
1er cas au Sri Lanka
1ère mort en Corée du Sud</t>
  </si>
  <si>
    <t xml:space="preserve">1ère mort en Guadeloupe - 1 femme de 71 ans
1er cas en Haïti (2 cas)
1ère mort au Paraguay
1ère mort au Pérou (3 morts, 47, 69 et 78 ans ) </t>
  </si>
  <si>
    <t>https://www.guadeloupe.franceantilles.fr/actualite/sante/coronavirus/96-cas-de-coronavirus-en-guadeloupe-deux-deces-lies-au-virus-et-17-guerisons-568223.php
https://la1ere.francetvinfo.fr/coronavirus-deux-premiers-cas-confirmes-haiti-814306.html
https://www.journaldemontreal.com/2020/03/20/en-direct-20-mars-10-000-morts-dans-le-monde-les-derniers-developpements-de-la-pandemie-de-coronavirus
https://www.journaldemontreal.com/2020/03/19/trois-morts-du-coronavirus-au-perou-234-contaminations</t>
  </si>
  <si>
    <t>1ère mort en République du Congo (Brazaville) -
1ère mort au Sénégal - 1 homme de 68 ans (Pape Diouf)</t>
  </si>
  <si>
    <t>https://afrique.lalibre.be/48566/coronavirus-deux-premiers-deces-au-congo-brazzaville-109-cas-en-rdc/
https://www.rts.ch/sport/football/11212746-football-lom-en-deuil-pape-diouf-est-emporte-par-le-coronavirus.html</t>
  </si>
  <si>
    <t>1er cas aux Émirats arabes unis</t>
  </si>
  <si>
    <t>1er cas au Philipines
1er cas en Indes</t>
  </si>
  <si>
    <t>1er cas au Malawi (3 cas)
1ère mort en Libye - 1 femme de 85 ans
1ère mort en Zambie - 1 homme</t>
  </si>
  <si>
    <t>https://www.voaafrique.com/a/le-malawi-a-son-tour-touch%C3%A9-par-la-pand%C3%A9mie-de-coronavirus/5357432.html
https://www.libyaherald.com/2020/04/02/first-coronavirus-death-in-libya-announced/
http://www.infosplusgabon.com/index.php/actualites/submenu-1/23451-2020-04-02-21-17-55</t>
  </si>
  <si>
    <t>1er cas à la Dominique (1 cas)
1er cas à Grenade (1 cas)
1ère mort au Chili - 1 femme de 80 ans
1ère mort en Colombie - 1 homme de 58 ans</t>
  </si>
  <si>
    <t>https://www.stlucianewsonline.com/breaking-news-dominica-reports-first-coronavirus-case/
https://www.stlucianewsonline.com/updated-grenada-reports-its-first-coronavirus-case/
https://www.lalibre.be/dernieres-depeches/belga/coronavirus-premier-deces-au-chili-5e767174d8ad582f31da0297
https://www.reuters.com/article/us-health-coronavirus-colombia/colombia-confirms-taxi-driver-as-first-coronavirus-death-idUSKBN21904V</t>
  </si>
  <si>
    <t>Urgence sanitaire internationale a été déclarée par l'OMS</t>
  </si>
  <si>
    <t>https://www.letemps.ch/monde/jour-lurgence-sanitaire-internationale-declaree-suivi-jeudi-30-janvier</t>
  </si>
  <si>
    <t>1er cas au Belize (1 cas)</t>
  </si>
  <si>
    <t>https://www.breakingbelizenews.com/2020/03/23/belize-confirms-first-case-of-coronavirus-cuban-doctors-arriving-to-help/</t>
  </si>
  <si>
    <t xml:space="preserve">1ère mort au Libéria </t>
  </si>
  <si>
    <t>https://www.africaradio.com/news/coronavirus-le-liberia-annonce-son-1er-deces-166216</t>
  </si>
  <si>
    <t>1er cas à Saint-Christophe-et-Niévès (2 cas)
1ère mort au Honduras - 1 homme de 60 ans
1ère mort à Trinité-et-Tobago</t>
  </si>
  <si>
    <t xml:space="preserve">https://www.stlucianewsonline.com/st-kitts-and-nevis-confirms-two-covid-19-cases/
https://fr.sputniknews.com/international/202003261043393741-coronavirus-en-continu-un-millier-de-morts-aux-etats-unis-le-sommet-durgence-du-g20-organise-par/
</t>
  </si>
  <si>
    <t>1ère mort en Étiopie -  1 femme de 60 ans et 1 homme de 56 ans
1er cas au Soudan du Sud (1 cas)
1er cas au Sahara Occidental (4 cas)</t>
  </si>
  <si>
    <t xml:space="preserve">https://www.liberation.fr/direct/element/lethiopie-annonce-un-premier-mort-du-au-coronavirus_111869/
https://fr.africanews.com/2020/04/05/coronavirus-le-soudan-du-sud-annonce-un-premier-cas//
</t>
  </si>
  <si>
    <t>1ère mort à Saint-Martin - 1 homme de 61 ans</t>
  </si>
  <si>
    <t>https://www.lefigaro.fr/flash-actu/coronavirus-premier-deces-lie-a-saint-martin-en-outre-mer-20200330</t>
  </si>
  <si>
    <t>1er cas à Sao Tomé-et-Principe (4 cas)
1ère mort au Bénin - 1 femme de 43 ans</t>
  </si>
  <si>
    <t xml:space="preserve">
1ère mort au Venezuela - 1 homme de 47 ans</t>
  </si>
  <si>
    <t>https://www.caracaschronicles.com/2020/03/27/first-coronavirus-death-in-venezuela/</t>
  </si>
  <si>
    <t>https://www.nyasatimes.com/first-coronavirus-death-confirmed-in-malawi/</t>
  </si>
  <si>
    <t>1ère mort au Nicaragua</t>
  </si>
  <si>
    <t>https://www.swissinfo.ch/eng/reuters/nicaragua-reports-first-death-from-coronavirus/45647004</t>
  </si>
  <si>
    <t>1ère mort à Hong Kong</t>
  </si>
  <si>
    <t xml:space="preserve">1ère mort en Somalie - 1 homme de 52 ans </t>
  </si>
  <si>
    <t>https://www.africaradio.com/news/somalie-premier-deces-du-au-coronavirus-166390</t>
  </si>
  <si>
    <t>1ère mort en Bolivie - 1 femme de 78 ans
1ère mort en Uruguay - 1 homme de 71 ans</t>
  </si>
  <si>
    <t>https://www.reuters.com/article/us-health-coronavirus-uruguay/bolivia-uruguay-confirm-first-coronavirus-deaths-idUSKBN21G0JW
https://www.investing.com/news/coronavirus/uruguay-confirms-first-coronavirus-death-cases-hit-303-2124576</t>
  </si>
  <si>
    <t xml:space="preserve">1ère mort à Djibouti </t>
  </si>
  <si>
    <t>1ère mort aux Bahamas</t>
  </si>
  <si>
    <t>1ère mort au Suriname - 1 homme</t>
  </si>
  <si>
    <t>https://www.franceguyane.fr/actualite/sante/coronavirus/covid-19-premier-mort-au-suriname-467132.php</t>
  </si>
  <si>
    <t>https://www.senenews.com/actualites/societe/1er-deces-au-burundi-masque-obligatoire-a-niamey-le-point-coronavirus-en-afrique-ce-dimanche_305540.html</t>
  </si>
  <si>
    <t>1er cas à Saint-Pierre-et-Miquelon</t>
  </si>
  <si>
    <t>https://la1ere.francetvinfo.fr/polynesie/coronavirus-1er-cas-a-saint-pierre-et-miquelon-819942.html</t>
  </si>
  <si>
    <t>1ère mort à la Barbade
1ère mort à Haïti</t>
  </si>
  <si>
    <t>http://www.hpnhaiti.com/nouvelles/index.php/societe/53-sante/7226-haiti-covid-19-1-premier-deces-du-au-coronavirus-en-haiti-21-cas-positifs</t>
  </si>
  <si>
    <t>https://www.who.int/docs/default-source/coronaviruse/situation-reports/20200215-sitrep-26-covid-19.pdf?sfvrsn=a4cc6787_2</t>
  </si>
  <si>
    <t>1ère mort au Belize</t>
  </si>
  <si>
    <t>1er mort à Taïwan</t>
  </si>
  <si>
    <t>1ère mort à Antigua-et-Barbuda</t>
  </si>
  <si>
    <t>https://www.lapresse.ca/international/202004/08/01-5268502-le-bilan-de-la-covid-19-grimpe-a-86-200-morts.php</t>
  </si>
  <si>
    <t>1er cas en Iran (2 cas) 
1ère mort en Iran (2 morts)</t>
  </si>
  <si>
    <t>https://www.who.int/docs/default-source/coronaviruse/situation-reports/20200220-sitrep-31-covid-19.pdf?sfvrsn=dfd11d24_2</t>
  </si>
  <si>
    <t>https://www.who.int/docs/default-source/coronaviruse/situation-reports/20200221-sitrep-32-covid-19.pdf?sfvrsn=4802d089_2</t>
  </si>
  <si>
    <t>1er cas au Bahreïn
1er cas à Oman
1er cas en Afghanistan
1er cas en Irak</t>
  </si>
  <si>
    <t>1er cas en Georgie (1 cas)</t>
  </si>
  <si>
    <t>57'380'747</t>
  </si>
  <si>
    <r>
      <rPr>
        <b/>
        <sz val="10"/>
        <rFont val="Arial"/>
      </rPr>
      <t xml:space="preserve">Note 1: </t>
    </r>
    <r>
      <rPr>
        <sz val="10"/>
        <color rgb="FF000000"/>
        <rFont val="Arial"/>
      </rPr>
      <t>Les cases dans lesquelles il est noté "0", représentent soit qu'il n'y a pas de cas ressensés, soit que je n'ai pas pu collecter de données à ce jour.</t>
    </r>
  </si>
  <si>
    <r>
      <rPr>
        <b/>
        <sz val="10"/>
        <rFont val="Arial"/>
      </rPr>
      <t>Note 2:</t>
    </r>
    <r>
      <rPr>
        <sz val="10"/>
        <color rgb="FF000000"/>
        <rFont val="Arial"/>
      </rPr>
      <t xml:space="preserve"> Les chiffres présentés dans ce tableau, bien que précisément exprimés, ne représent pas la vérité absolue. 
Il existe un certain nombre d'incertitudes. De plus certains chiffres pourraient différer d'autres sources car je n'ai pas été en mesure de collecter les chiffres tous les jours à la même heure et vu la rapidité de la propagation, il se peut qu'il y aie des inexactitudes dans les chiffres au jour le jour.</t>
    </r>
  </si>
  <si>
    <t>1er cas au Qatar</t>
  </si>
  <si>
    <t>https://www.who.int/docs/default-source/coronaviruse/situation-reports/20200301-sitrep-41-covid-19.pdf?sfvrsn=6768306d_2</t>
  </si>
  <si>
    <t xml:space="preserve">1ère mort en Thaïlande
1er cas en Arménie (1 cas) </t>
  </si>
  <si>
    <t>https://www.who.int/docs/default-source/coronaviruse/situation-reports/20200302-sitrep-42-covid-19.pdf?sfvrsn=224c1add_2
https://www.rtbf.be/info/societe/detail_premier-cas-de-coronavirus-en-armenie-un-citoyen-revenu-d-iran?id=10444793</t>
  </si>
  <si>
    <r>
      <rPr>
        <b/>
        <sz val="10"/>
        <rFont val="Arial"/>
      </rPr>
      <t>Note 3:</t>
    </r>
    <r>
      <rPr>
        <sz val="10"/>
        <color rgb="FF000000"/>
        <rFont val="Arial"/>
      </rPr>
      <t xml:space="preserve"> Il se peut que les chiffres de ce tableau diffèrent de ceux transmis par l'OMS, car l'OMS ne communique que les cas qui ont été doublement confirmés. Les chiffres de ce tableau reflètent ceux publiés par l'Université Johns Hopkins qui compte tous les cas annoncés par les pays.</t>
    </r>
  </si>
  <si>
    <t>1er cas en Indonésie (2 cas)
1er cas en Jordanie (1 cas)</t>
  </si>
  <si>
    <t>https://news.gnet.tn/la-jordanie-annonce-le-premier-cas-de-contamination-par-le-coronavirus-sur-son-territoire/</t>
  </si>
  <si>
    <t>1er cas en Arabie saoudite (1 cas)</t>
  </si>
  <si>
    <r>
      <rPr>
        <b/>
        <sz val="10"/>
        <rFont val="Arial"/>
      </rPr>
      <t xml:space="preserve">Note 4: </t>
    </r>
    <r>
      <rPr>
        <sz val="10"/>
        <color rgb="FF000000"/>
        <rFont val="Arial"/>
      </rPr>
      <t>Actuellement nous ne savons absolument pas si ces données reflètent réellement la situation en Chine, car il y a de nombreux facteurs qui laissent penser que le Gouvernement chinois ne nous communiquent pas du tout les chiffres réels. Cette remarque est également valable pour d'autres pays, dont on a actuellement des doutes quant à leur sincérité.</t>
    </r>
  </si>
  <si>
    <t>1er cas en Palestine (4 cas)</t>
  </si>
  <si>
    <t>https://www.swissinfo.ch/eng/reuters/el-salvador-registers-country-s-first-coronavirus-death/45658360</t>
  </si>
  <si>
    <t>1er cas au Bhoutan (1 cas)
de monbeux nouveaux cas et décès en Iran</t>
  </si>
  <si>
    <t>45'603'981</t>
  </si>
  <si>
    <t>217'049'060</t>
  </si>
  <si>
    <t>37'751'558</t>
  </si>
  <si>
    <t>18'879'146</t>
  </si>
  <si>
    <t>50'536'181</t>
  </si>
  <si>
    <t>17'377'544</t>
  </si>
  <si>
    <t>333'386'877</t>
  </si>
  <si>
    <t>135'538'633</t>
  </si>
  <si>
    <t>4'245'252</t>
  </si>
  <si>
    <t>33'396'456</t>
  </si>
  <si>
    <t>11'163'725</t>
  </si>
  <si>
    <t>Nombre de pays touchées :</t>
  </si>
  <si>
    <r>
      <rPr>
        <b/>
        <sz val="10"/>
        <rFont val="Arial"/>
      </rPr>
      <t xml:space="preserve">Note 1: </t>
    </r>
    <r>
      <rPr>
        <sz val="10"/>
        <color rgb="FF000000"/>
        <rFont val="Arial"/>
      </rPr>
      <t>Les cases dans lesquelles il est noté "0", représentent soit qu'il n'y a pas de cas ressensés, soit que je n'ai pas pu collecter de données à ce jour.</t>
    </r>
  </si>
  <si>
    <t>1er cas aux Maldives (4 cas)
1er cas au Bangladesh (3 cas)</t>
  </si>
  <si>
    <r>
      <rPr>
        <b/>
        <sz val="10"/>
        <rFont val="Arial"/>
      </rPr>
      <t>Note 2:</t>
    </r>
    <r>
      <rPr>
        <sz val="10"/>
        <color rgb="FF000000"/>
        <rFont val="Arial"/>
      </rPr>
      <t xml:space="preserve"> Les chiffres présentés dans ce tableau, bien que précisément exprimés, ne représent pas la vérité absolue. 
Il existe un certain nombre d'incertitudes. De plus certains chiffres pourraient différer d'autres sources car je n'ai pas été en mesure de collecter les chiffres tous les jours à la même heure et vu la rapidité de la propagation, il se peut qu'il y aie des inexactitudes dans les chiffres au jour le jour.</t>
    </r>
  </si>
  <si>
    <t>1er cas au Brunei (1 cas)
1er cas en Mongolie (1 cas)</t>
  </si>
  <si>
    <r>
      <rPr>
        <b/>
        <sz val="10"/>
        <rFont val="Arial"/>
      </rPr>
      <t>Note 3:</t>
    </r>
    <r>
      <rPr>
        <sz val="10"/>
        <color rgb="FF000000"/>
        <rFont val="Arial"/>
      </rPr>
      <t xml:space="preserve"> Il se peut que les chiffres de ce tableau diffèrent de ceux transmis par l'OMS, car l'OMS ne communique que les cas qui ont été doublement confirmés. Les chiffres de ce tableau reflètent ceux publiés par l'Université Johns Hopkins qui compte tous les cas annoncés par les pays.</t>
    </r>
  </si>
  <si>
    <r>
      <rPr>
        <b/>
        <sz val="10"/>
        <rFont val="Arial"/>
      </rPr>
      <t xml:space="preserve">Note 4: </t>
    </r>
    <r>
      <rPr>
        <sz val="10"/>
        <color rgb="FF000000"/>
        <rFont val="Arial"/>
      </rPr>
      <t>Actuellement nous ne savons absolument pas si ces données reflètent réellement la situation en Chine, car il y a de nombreux facteurs qui laissent penser que le Gouvernement chinois ne nous communiquent pas du tout les chiffres réels. Cette remarque est également valable pour d'autres pays, dont on a actuellement des doutes quant à leur sincérité.</t>
    </r>
  </si>
  <si>
    <t>1er cas en Turquie (1 cas)</t>
  </si>
  <si>
    <t>1er cas au Kazakstan (3 cas)
1ère mort en Azerbaijan</t>
  </si>
  <si>
    <t xml:space="preserve">https://www.novastan.org/fr/kazakhstan/coronavirus-le-kazakhstan-touche-premiers-cas-en-asie-centrale/
</t>
  </si>
  <si>
    <t xml:space="preserve">1er cas en Ouzbékistan (1 cas) </t>
  </si>
  <si>
    <t>1ère mort au Bahreïn - 1 femme 65 ans</t>
  </si>
  <si>
    <t>https://www.aa.com.tr/en/asia-pacific/bahrain-reports-first-coronavirus-death/1767582</t>
  </si>
  <si>
    <t>1er cas au Kirghizistan (3 cas)
1ère mort au Bengladesh - 1 homme âgé
1ère mort en Turquie - 1 homme de 61 et une personne de 89ans</t>
  </si>
  <si>
    <t>http://french.china.org.cn/foreign/txt/2020-03/19/content_75831435.htm
https://www.lorientlejour.com/article/1210978/le-bangladesh-annonce-son-premier-mort-du-coronavirus.html
https://www.aljazeera.com/news/2020/03/turkey-announces-coronavirus-death-jump-cases-200318080954431.html</t>
  </si>
  <si>
    <t>1ère mort au Pakistan - 1 homme de 50 ans et un 
autre de 36 ans</t>
  </si>
  <si>
    <t>https://www.aa.com.tr/en/asia-pacific/pakistan-confirms-2-deaths-from-coronavirus/1771081</t>
  </si>
  <si>
    <t>1ère mort aux Émirats arabes unis ( 2 morts - 
2 hommes 58 et 78 ans)</t>
  </si>
  <si>
    <t>https://www.sudinfo.be/id174976/article/2020-03-20/coronavirus-deux-premiers-morts-aux-emirats-arabes-unis</t>
  </si>
  <si>
    <t>1er cas au Timor oriental (1 cas)
1ère mort en Israël - 1 homme de 88 ans
1ère mort à Singapour - 1 femme de 75 ans et 
1 homme de 64 ans</t>
  </si>
  <si>
    <t xml:space="preserve">https://news-24.fr/le-timor-oriental-confirme-le-premier-cas-de-coronavirus-ministere-de-la-sante/
https://www.i24news.tv/fr/actu/israel/1584785374-israel-coronavirus-883-cas-confirmes-un-mort-ministere
https://news-24.fr/singapour-signale-deux-deces-par-coronavirus-premiers-deces-dans-le-pays/
</t>
  </si>
  <si>
    <t>1er cas en Syrie (1 cas)
1ère mort en Afghanistan - 1 homme de 40 ans</t>
  </si>
  <si>
    <t>https://www.ouest-france.fr/sante/virus/coronavirus/coronavirus-un-premier-cas-de-contamination-confirme-en-syrie-6788859
https://www.aa.com.tr/en/asia-pacific/afghanistan-confirms-first-coronavirus-related-death/1775050</t>
  </si>
  <si>
    <t>1er cas en Birmanie (2 cas)</t>
  </si>
  <si>
    <t>https://www.who.int/docs/default-source/coronaviruse/situation-reports/20200324-sitrep-64-covid-19.pdf?sfvrsn=723b221e_2</t>
  </si>
  <si>
    <t xml:space="preserve">1er cas au Laos (2 cas) 
1ère mort en Arabie saoudite </t>
  </si>
  <si>
    <t>https://www.journaldemontreal.com/2020/03/24/coronavirus-la-thailande-declare-letat-durgence-le-laos-recense-ses-premiers-cas
https://www.lalibre.be/dernieres-depeches/belga/coronavirus-ryad-annonce-un-premier-deces-et-une-hausse-des-cas-5e7a29409978e2284140c595</t>
  </si>
  <si>
    <t>1ère mort en Cisjordanie - 1 femme de 60 ans</t>
  </si>
  <si>
    <t>https://francais.rt.com/international/73198-coronavirus-crainte-d-desastre-gaza-cinq-mort-en-israel-un-cisjordanie</t>
  </si>
  <si>
    <t>1ère mort en Arménie - 1 homme de 72 ans
1ère mort au Kazakhstan - 1 femme</t>
  </si>
  <si>
    <t>http://www.armenews.com/spip.php?page=article&amp;id_article=23839
https://tengrinews.kz/kazakhstan_news/kazahstanka-umerla-ot-koronavirusa-396164/</t>
  </si>
  <si>
    <t xml:space="preserve">1ère mort en Jordanie 
1ère mort en Ouzbékistan </t>
  </si>
  <si>
    <t>https://www.swissinfo.ch/eng/reuters/uzbekistan-reports-first-coronavirus-death-as-it-widens-lockdowns/45648772</t>
  </si>
  <si>
    <t>1ère mort a Brunei
1ère mort au Qatar
1ère mort au Sri Lanka</t>
  </si>
  <si>
    <t>https://www.lavenir.net/cnt/dmf20200328_01461818/coronavirus-une-premiere-victime-a-brunei
https://www.lorientlejour.com/article/1212396/coronavirus-premier-mort-au-qatar-11-dans-les-pays-arabes-du-golfe.html
http://french.china.org.cn/foreign/txt/2020-03/29/content_75872471.htm</t>
  </si>
  <si>
    <t>1ère mort en Syrie - 1 femme</t>
  </si>
  <si>
    <t>https://www.bfmtv.com/sante/en-direct-coronavirus-le-bilan-francais-passe-a-2314-morts-les-seniors-en-isolement-individuel-en-ephad/</t>
  </si>
  <si>
    <t>1ère mort en Birmanie - 1 homme de 69 ans
1ère mort à Oman - 1 homme de 72 ans</t>
  </si>
  <si>
    <t>https://www.thejakartapost.com/seasia/2020/03/31/myanmar-reports-first-coronavirus-death-as-case-numbers-rise.html
https://www.swissinfo.ch/eng/reuters/oman-reports-its-first-death-from-coronavirus---state-tv/45658160</t>
  </si>
  <si>
    <t>En Océanie</t>
  </si>
  <si>
    <t>Diamond 
princess</t>
  </si>
  <si>
    <t>MS 
Zaandam</t>
  </si>
  <si>
    <t>Australie</t>
  </si>
  <si>
    <t>Fidji</t>
  </si>
  <si>
    <t>Guam</t>
  </si>
  <si>
    <t>Nouvelle-
Calédonie</t>
  </si>
  <si>
    <t>Nouvelle-
Zélande</t>
  </si>
  <si>
    <t>Papouasie-
Nouvelle-
Guinée</t>
  </si>
  <si>
    <t>Polynésie 
française</t>
  </si>
  <si>
    <t>AUS</t>
  </si>
  <si>
    <t>FJI</t>
  </si>
  <si>
    <t>GUM</t>
  </si>
  <si>
    <t>NCL</t>
  </si>
  <si>
    <t>NZL</t>
  </si>
  <si>
    <t>PNG</t>
  </si>
  <si>
    <t>PYF</t>
  </si>
  <si>
    <t>DP</t>
  </si>
  <si>
    <t>1ère mort au Kirghizistan</t>
  </si>
  <si>
    <t>https://azertag.az/fr/xeber/france-1453533</t>
  </si>
  <si>
    <t>1ère mort en Géorgie
1ère mort au Koweït</t>
  </si>
  <si>
    <t>https://www.middleeasteye.net/news/coronavirus-kuwait-reports-first-death-covid-19-cases-near-500</t>
  </si>
  <si>
    <t>1er cas en Australie (3 cas)</t>
  </si>
  <si>
    <t>1er cas au Yémen (1 cas)</t>
  </si>
  <si>
    <t>1er cas dans le Diamond Princess (10 cas)</t>
  </si>
  <si>
    <t>Chiffres de la population suisse de plus de 50 ans</t>
  </si>
  <si>
    <t>Age</t>
  </si>
  <si>
    <t>Nbr de 
personnes</t>
  </si>
  <si>
    <t>Total par 
décénies</t>
  </si>
  <si>
    <t>Pourcentage 
de la 
population</t>
  </si>
  <si>
    <t>Nbr de personnes
dans la tranche 
d'âges critique</t>
  </si>
  <si>
    <t>Pourcentage de 
la population dans 
la tranche 
d'âges critique</t>
  </si>
  <si>
    <t>Nbr de personnes 
de 50+ ans</t>
  </si>
  <si>
    <t>Pourcentage de 
la population de
50+ ans</t>
  </si>
  <si>
    <t>https://www.who.int/docs/default-source/coronaviruse/situation-reports/20200212-sitrep-23-ncov.pdf?sfvrsn=41e9fb78_4</t>
  </si>
  <si>
    <t>https://www.who.int/docs/default-source/coronaviruse/situation-reports/20200219-sitrep-30-covid-19.pdf?sfvrsn=3346b04f_2</t>
  </si>
  <si>
    <t>1ère mort sur le Diamond Princess</t>
  </si>
  <si>
    <t>99+</t>
  </si>
  <si>
    <t>Population totale en 2020:</t>
  </si>
  <si>
    <t>Pyramide des âges officielle de la Suisse:</t>
  </si>
  <si>
    <t>https://www.media-stat.admin.ch/animated/chart/01pyramid/ga-q-01.03.02-dashboard.html</t>
  </si>
  <si>
    <t xml:space="preserve">Taux de mortalité du COVID-19 (28.02.2020) </t>
  </si>
  <si>
    <t>https://www.businessinsider.fr/voici-les-taux-de-mortalite-du-coronavirus-selon-les-tranches-dage/?fbclid=IwAR1QyMtlb5aSwKw8McK4KHN-c94PjPQnf0baZe50Sp7TLfzOvT6XDufANfY</t>
  </si>
  <si>
    <t>1er cas en Nouvelle-Zélande</t>
  </si>
  <si>
    <t>1ère mort en Australie</t>
  </si>
  <si>
    <t>https://www.who.int/docs/default-source/coronaviruse/situation-reports/20200302-sitrep-42-covid-19.pdf?sfvrsn=224c1add_2</t>
  </si>
  <si>
    <t>1er cas en Polynésie française</t>
  </si>
  <si>
    <t>https://la1ere.francetvinfo.fr/polynesie/tuamotu-gambier/fakarava/deux-nouveaux-cas-coronavirus-polynesie-810352.html</t>
  </si>
  <si>
    <t>1er cas au Guam (3 cas)</t>
  </si>
  <si>
    <t>https://www.rnz.co.nz/international/pacific-news/411810/covid-19-three-cases-confirmed-on-guam-emergency-declared</t>
  </si>
  <si>
    <t>1er cas en Nouvelle-Calédonie</t>
  </si>
  <si>
    <t>http://www.leparisien.fr/societe/coronavirus-deux-premiers-cas-confirmes-en-nouvelle-caledonie-18-03-2020-8282760.php</t>
  </si>
  <si>
    <t>1er cas aux Fidji (1 cas)</t>
  </si>
  <si>
    <t>https://www.tahiti-infos.com/Premier-cas-de-coronavirus-aux-Fidji-une-ville-confinee_a189688.html</t>
  </si>
  <si>
    <t xml:space="preserve">1er cas en Papouasie-Nouvelle-Guinée (1 cas) </t>
  </si>
  <si>
    <t>1er cas confirmés dans le MS Zaandam (2 cas)</t>
  </si>
  <si>
    <t>https://www.bbc.com/news/world-latin-america-52072703</t>
  </si>
  <si>
    <t>1ère mort en  Nouvelle-Zélande - 1 femme de 70 ans</t>
  </si>
  <si>
    <t>https://www.theguardian.com/world/2020/mar/29/new-zealand-first-coronavirus-death-is-woman-in-70s</t>
  </si>
  <si>
    <t>35'199'921</t>
  </si>
  <si>
    <t>1'410'159'721</t>
  </si>
  <si>
    <t>51'472'890</t>
  </si>
  <si>
    <t>1'391'697'863</t>
  </si>
  <si>
    <t>273'670'110</t>
  </si>
  <si>
    <t>83'969'362</t>
  </si>
  <si>
    <t>8'725'571</t>
  </si>
  <si>
    <t>125'900'907</t>
  </si>
  <si>
    <t>32'590'259</t>
  </si>
  <si>
    <t>208'589'907</t>
  </si>
  <si>
    <t>108'501'861</t>
  </si>
  <si>
    <t>6'153'140</t>
  </si>
  <si>
    <t>69'196'844</t>
  </si>
  <si>
    <t>1ère mort sur le MS Zaandam - 2 personnes</t>
  </si>
  <si>
    <t>85'255'921</t>
  </si>
  <si>
    <t>https://time.com/5813775/cruise-ships-coast-guard-coronavirus/</t>
  </si>
  <si>
    <t>Le MS Zaandam à acosté en Floride</t>
  </si>
  <si>
    <t>https://france3-regions.francetvinfo.fr/bretagne/coronavirus-passagers-paquebots-zaandam-rotherdam-ont-accoste-floride-1810996.html</t>
  </si>
  <si>
    <r>
      <t xml:space="preserve">Morts en Suisse depuis 24h : </t>
    </r>
    <r>
      <rPr>
        <sz val="10"/>
        <color rgb="FFCC0000"/>
        <rFont val="Arial"/>
      </rPr>
      <t>**</t>
    </r>
  </si>
  <si>
    <t>Morts en Suisse depuis 1 semaine :</t>
  </si>
  <si>
    <t>Morts en Suisse depuis 48h :</t>
  </si>
  <si>
    <t>* le nombre des personnes guéries à drastiquement été réduit le 17.04... je n'ai pas l'explication</t>
  </si>
  <si>
    <t>Morts en Suisse depuis 1 mois :</t>
  </si>
  <si>
    <t>** chiffres incomplets</t>
  </si>
  <si>
    <t>(1) Retrouvez le tableau des chiffres sur lesquels se base ce graphique dans l'onglet "Chiffres Résumé - Monde"</t>
  </si>
  <si>
    <r>
      <rPr>
        <b/>
        <sz val="10"/>
        <rFont val="Arial"/>
      </rPr>
      <t xml:space="preserve">Note 1: </t>
    </r>
    <r>
      <rPr>
        <sz val="10"/>
        <color rgb="FF000000"/>
        <rFont val="Arial"/>
      </rPr>
      <t>Les cases dans lesquelles il est noté "0", représentent soit qu'il n'y a pas de cas ressensés, soit que je n'ai pas pu collecter de données à ce jour.</t>
    </r>
  </si>
  <si>
    <r>
      <rPr>
        <b/>
        <sz val="10"/>
        <rFont val="Arial"/>
      </rPr>
      <t>Note 2:</t>
    </r>
    <r>
      <rPr>
        <sz val="10"/>
        <color rgb="FF000000"/>
        <rFont val="Arial"/>
      </rPr>
      <t xml:space="preserve"> Les chiffres présentés dans ce tableau, bien que précisément exprimés, ne représent pas la vérité absolue. 
Il existe un certain nombre d'incertitudes. De plus certains chiffres pourraient différer d'autres sources car je n'ai pas été en mesure de collecter les chiffres tous les jours à la même heure et vu la rapidité de la propagation, il se peut qu'il y aie des inexactitudes dans les chiffres au jour le jour.</t>
    </r>
  </si>
  <si>
    <r>
      <rPr>
        <b/>
        <sz val="10"/>
        <rFont val="Arial"/>
      </rPr>
      <t>Note 3:</t>
    </r>
    <r>
      <rPr>
        <sz val="10"/>
        <color rgb="FF000000"/>
        <rFont val="Arial"/>
      </rPr>
      <t xml:space="preserve"> Il se peut que les chiffres de ce tableau diffèrent de ceux transmis par l'OMS, car l'OMS ne communique que les cas qui ont été doublement confirmés. Les chiffres de ce tableau reflètent ceux publiés par l'Université Johns Hopkins qui compte tous les cas annoncés par les pays.</t>
    </r>
  </si>
  <si>
    <r>
      <rPr>
        <b/>
        <sz val="10"/>
        <rFont val="Arial"/>
      </rPr>
      <t xml:space="preserve">Note 4: </t>
    </r>
    <r>
      <rPr>
        <sz val="10"/>
        <color rgb="FF000000"/>
        <rFont val="Arial"/>
      </rPr>
      <t>Actuellement nous ne savons absolument pas si ces données reflètent réellement la situation en Chine, car il y a de nombreux facteurs qui laissent penser que le Gouvernement chinois ne nous communiquent pas du tout les chiffres réels. Cette remarque est également valable pour d'autres pays, dont on a actuellement des doutes quant à leur sincérité.</t>
    </r>
  </si>
  <si>
    <t>* actuellement ce décompte n'est basé que sur les chiffres qui sont disponibles sur les site officiels de chaque canton, néanmoins très peu de canton donne des informations aussi détaillées.</t>
  </si>
  <si>
    <t>https://gouv.nc/coronavirus</t>
  </si>
  <si>
    <t>25'819'626</t>
  </si>
  <si>
    <r>
      <rPr>
        <b/>
        <sz val="10"/>
        <rFont val="Arial"/>
      </rPr>
      <t xml:space="preserve">Note 1: </t>
    </r>
    <r>
      <rPr>
        <sz val="10"/>
        <color rgb="FF000000"/>
        <rFont val="Arial"/>
      </rPr>
      <t>Les cases dans lesquelles il est noté "0", représentent soit qu'il n'y a pas de cas ressensés, soit que je n'ai pas pu collecter de données à ce jour.</t>
    </r>
  </si>
  <si>
    <r>
      <rPr>
        <b/>
        <sz val="10"/>
        <rFont val="Arial"/>
      </rPr>
      <t>Note 2:</t>
    </r>
    <r>
      <rPr>
        <sz val="10"/>
        <color rgb="FF000000"/>
        <rFont val="Arial"/>
      </rPr>
      <t xml:space="preserve"> Les chiffres présentés dans ce tableau, bien que précisément exprimés, ne représent pas la vérité absolue. Il existe un certain nombre d'incertitudes. De plus certains chiffres pourraient différer d'autres sources car je n'ai pas été en mesure de collecter les chiffres tous les jours à la même heure et vu la rapidité de la propagation, il se peut qu'il y aie des inexactitudes dans les chiffres au jour le jour.</t>
    </r>
  </si>
  <si>
    <r>
      <rPr>
        <b/>
        <sz val="10"/>
        <rFont val="Arial"/>
      </rPr>
      <t>Note 3:</t>
    </r>
    <r>
      <rPr>
        <sz val="10"/>
        <color rgb="FF000000"/>
        <rFont val="Arial"/>
      </rPr>
      <t xml:space="preserve"> Il se peut que les chiffres de ce tableau diffèrent de ceux transmis par l'OMS, car l'OMS ne communique que les cas qui ont été doublement confirmés. Les chiffres de ce tableau reflètent ceux publiés par l'Université Johns Hopkins qui compte tous les cas annoncés par les pays.</t>
    </r>
  </si>
  <si>
    <r>
      <rPr>
        <b/>
        <sz val="10"/>
        <rFont val="Arial"/>
      </rPr>
      <t xml:space="preserve">Note 4: </t>
    </r>
    <r>
      <rPr>
        <sz val="10"/>
        <color rgb="FF000000"/>
        <rFont val="Arial"/>
      </rPr>
      <t>Actuellement nous ne savons absolument pas si ces données reflètent réellement la situation en Chine, car il y a de nombreux facteurs qui laissent penser que le Gouvernement chinois ne nous communiquent pas du tout les chiffres réels. Cette remarque est également valable pour d'autres pays, dont on a actuellement des doutes quant à leur sincérité.</t>
    </r>
  </si>
  <si>
    <t>TOUS</t>
  </si>
  <si>
    <t>Morts en Europe depuis 24h :</t>
  </si>
  <si>
    <t>Morts en Europe depuis 1 semaine :</t>
  </si>
  <si>
    <t xml:space="preserve">PRT		</t>
  </si>
  <si>
    <t>Morts en Europe depuis 48h :</t>
  </si>
  <si>
    <t>Morts en Europe depuis 1 mois :</t>
  </si>
  <si>
    <t>Total du top 10</t>
  </si>
  <si>
    <t>Infectés en plus depuis 24h :</t>
  </si>
  <si>
    <t>Infectés en plus depuis 1 semaine:</t>
  </si>
  <si>
    <t>Infectés en plus depuis 48h :</t>
  </si>
  <si>
    <t>Infectés en plus depuis 1 mois :</t>
  </si>
  <si>
    <t>Morts hors de Chine depuis 24h :</t>
  </si>
  <si>
    <t>Morts hors de Chine depuis 1 semaine :</t>
  </si>
  <si>
    <t>Morts hors de Chine depuis 48h :</t>
  </si>
  <si>
    <t>Morts hors de Chine depuis 1 mois :</t>
  </si>
  <si>
    <t>Morts en plus depuis 24h :</t>
  </si>
  <si>
    <t>Morts en plus depuis 1 semaine:</t>
  </si>
  <si>
    <t>Morts en plus depuis 48h :</t>
  </si>
  <si>
    <t>Morts en plus depuis 1 mois :</t>
  </si>
  <si>
    <t xml:space="preserve">Date
</t>
  </si>
  <si>
    <t>Amerique</t>
  </si>
  <si>
    <t>Oceanie</t>
  </si>
  <si>
    <t>Infectes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</si>
</sst>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00"/>
    <numFmt numFmtId="166" formatCode="0.0"/>
    <numFmt numFmtId="167" formatCode="dd/mm/yyyy\ hh:mm:ss"/>
  </numFmts>
  <fonts count="101">
    <font>
      <sz val="10"/>
      <color rgb="FF000000"/>
      <name val="Arial"/>
    </font>
    <font>
      <b/>
      <sz val="12"/>
      <color rgb="FF666666"/>
      <name val="Arial"/>
    </font>
    <font>
      <b/>
      <sz val="10"/>
      <color theme="1"/>
      <name val="Arial"/>
    </font>
    <font>
      <sz val="10"/>
      <color theme="1"/>
      <name val="Arial"/>
    </font>
    <font>
      <b/>
      <sz val="10"/>
      <color rgb="FF1155CC"/>
      <name val="Arial"/>
    </font>
    <font>
      <sz val="10"/>
      <name val="Arial"/>
    </font>
    <font>
      <b/>
      <sz val="10"/>
      <color rgb="FFFF9900"/>
      <name val="Arial"/>
    </font>
    <font>
      <b/>
      <sz val="10"/>
      <color rgb="FFCC0000"/>
      <name val="Arial"/>
    </font>
    <font>
      <b/>
      <sz val="10"/>
      <color rgb="FF6AA84F"/>
      <name val="Arial"/>
    </font>
    <font>
      <b/>
      <sz val="10"/>
      <color rgb="FFBF9000"/>
      <name val="Arial"/>
    </font>
    <font>
      <u/>
      <sz val="10"/>
      <color rgb="FF0000FF"/>
      <name val="Arial"/>
    </font>
    <font>
      <sz val="10"/>
      <color rgb="FFCCCCCC"/>
      <name val="Arial"/>
    </font>
    <font>
      <sz val="10"/>
      <color rgb="FF666666"/>
      <name val="Arial"/>
    </font>
    <font>
      <sz val="10"/>
      <color rgb="FFD9D9D9"/>
      <name val="Arial"/>
    </font>
    <font>
      <sz val="10"/>
      <color rgb="FF999999"/>
      <name val="Arial"/>
    </font>
    <font>
      <b/>
      <sz val="10"/>
      <color rgb="FF674EA7"/>
      <name val="Arial"/>
    </font>
    <font>
      <b/>
      <sz val="10"/>
      <color rgb="FFA64D79"/>
      <name val="Arial"/>
    </font>
    <font>
      <b/>
      <sz val="10"/>
      <color rgb="FF4A86E8"/>
      <name val="Arial"/>
    </font>
    <font>
      <sz val="10"/>
      <color rgb="FFB7B7B7"/>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FF9900"/>
      <name val="Arial"/>
    </font>
    <font>
      <u/>
      <sz val="10"/>
      <color rgb="FF0000FF"/>
      <name val="Arial"/>
    </font>
    <font>
      <u/>
      <sz val="10"/>
      <color rgb="FF0000FF"/>
      <name val="Arial"/>
    </font>
    <font>
      <b/>
      <sz val="10"/>
      <color rgb="FFD9D9D9"/>
      <name val="Arial"/>
    </font>
    <font>
      <u/>
      <sz val="10"/>
      <color rgb="FF0000FF"/>
      <name val="Arial"/>
    </font>
    <font>
      <sz val="10"/>
      <color rgb="FF674EA7"/>
      <name val="Arial"/>
    </font>
    <font>
      <sz val="10"/>
      <color rgb="FF6AA84F"/>
      <name val="Arial"/>
    </font>
    <font>
      <u/>
      <sz val="10"/>
      <color rgb="FF000000"/>
      <name val="Arial"/>
    </font>
    <font>
      <sz val="10"/>
      <color rgb="FFCC0000"/>
      <name val="Arial"/>
    </font>
    <font>
      <sz val="10"/>
      <color rgb="FFA64D79"/>
      <name val="Arial"/>
    </font>
    <font>
      <sz val="10"/>
      <color rgb="FF4A86E8"/>
      <name val="Arial"/>
    </font>
    <font>
      <sz val="10"/>
      <color rgb="FF000000"/>
      <name val="Arial"/>
    </font>
    <font>
      <sz val="10"/>
      <color rgb="FF8E7CC3"/>
      <name val="Arial"/>
    </font>
    <font>
      <u/>
      <sz val="10"/>
      <color rgb="FF0000FF"/>
      <name val="Arial"/>
    </font>
    <font>
      <sz val="10"/>
      <color rgb="FFBF9000"/>
      <name val="Arial"/>
    </font>
    <font>
      <u/>
      <sz val="10"/>
      <color rgb="FF0000FF"/>
      <name val="Arial"/>
    </font>
    <font>
      <i/>
      <sz val="10"/>
      <color theme="1"/>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9"/>
      <color theme="1"/>
      <name val="Arial"/>
    </font>
    <font>
      <u/>
      <sz val="10"/>
      <color rgb="FF1155CC"/>
      <name val="Arial"/>
    </font>
    <font>
      <sz val="8"/>
      <color rgb="FFCC0000"/>
      <name val="Arial"/>
    </font>
    <font>
      <i/>
      <sz val="8"/>
      <color rgb="FFCCCCCC"/>
      <name val="Arial"/>
    </font>
    <font>
      <i/>
      <sz val="8"/>
      <color theme="1"/>
      <name val="Arial"/>
    </font>
    <font>
      <i/>
      <sz val="8"/>
      <color rgb="FFFF0000"/>
      <name val="Arial"/>
    </font>
    <font>
      <i/>
      <sz val="8"/>
      <color rgb="FFCC0000"/>
      <name val="Arial"/>
    </font>
    <font>
      <i/>
      <sz val="9"/>
      <color rgb="FFFF0000"/>
      <name val="Arial"/>
    </font>
    <font>
      <i/>
      <sz val="8"/>
      <color rgb="FFFF0000"/>
      <name val="Arial"/>
    </font>
    <font>
      <u/>
      <sz val="10"/>
      <color rgb="FF1155CC"/>
      <name val="Arial"/>
    </font>
    <font>
      <u/>
      <sz val="10"/>
      <color rgb="FF0000FF"/>
      <name val="Arial"/>
    </font>
    <font>
      <u/>
      <sz val="10"/>
      <color rgb="FF0000FF"/>
      <name val="Arial"/>
    </font>
    <font>
      <u/>
      <sz val="10"/>
      <color rgb="FF1155CC"/>
      <name val="Arial"/>
    </font>
    <font>
      <sz val="11"/>
      <color rgb="FF000000"/>
      <name val="Calibri"/>
    </font>
    <font>
      <b/>
      <sz val="10"/>
      <color rgb="FFB7B7B7"/>
      <name val="Arial"/>
    </font>
    <font>
      <b/>
      <sz val="11"/>
      <color rgb="FF000000"/>
      <name val="Arial"/>
    </font>
    <font>
      <b/>
      <sz val="11"/>
      <color rgb="FF000000"/>
      <name val="Calibri"/>
    </font>
    <font>
      <sz val="11"/>
      <color rgb="FF000000"/>
      <name val="Arial"/>
    </font>
    <font>
      <u/>
      <sz val="10"/>
      <color rgb="FF0000FF"/>
      <name val="Arial"/>
    </font>
    <font>
      <u/>
      <sz val="10"/>
      <color rgb="FF1155CC"/>
      <name val="Arial"/>
    </font>
    <font>
      <u/>
      <sz val="10"/>
      <color rgb="FF0000FF"/>
      <name val="Arial"/>
    </font>
    <font>
      <sz val="8"/>
      <color rgb="FFB7B7B7"/>
      <name val="Arial"/>
    </font>
    <font>
      <u/>
      <sz val="10"/>
      <color rgb="FF0000FF"/>
      <name val="Arial"/>
    </font>
    <font>
      <u/>
      <sz val="10"/>
      <color rgb="FF0000FF"/>
      <name val="Arial"/>
    </font>
    <font>
      <sz val="11"/>
      <color rgb="FF222222"/>
      <name val="Sans-serif"/>
    </font>
    <font>
      <b/>
      <sz val="11"/>
      <color rgb="FF222222"/>
      <name val="Sans-serif"/>
    </font>
    <font>
      <sz val="11"/>
      <color rgb="FF222222"/>
      <name val="Arial"/>
    </font>
    <font>
      <u/>
      <sz val="10"/>
      <color rgb="FF0000FF"/>
      <name val="Arial"/>
    </font>
    <font>
      <u/>
      <sz val="10"/>
      <color rgb="FF0000FF"/>
      <name val="Arial"/>
    </font>
    <font>
      <u/>
      <sz val="10"/>
      <color theme="1"/>
      <name val="Arial"/>
    </font>
    <font>
      <sz val="10"/>
      <color rgb="FF000000"/>
      <name val="Arial"/>
    </font>
    <font>
      <sz val="11"/>
      <color rgb="FFCC0000"/>
      <name val="Arial"/>
    </font>
    <font>
      <u/>
      <sz val="10"/>
      <color rgb="FF1155CC"/>
      <name val="Arial"/>
    </font>
    <font>
      <u/>
      <sz val="10"/>
      <color rgb="FF0000FF"/>
      <name val="Arial"/>
    </font>
    <font>
      <u/>
      <sz val="10"/>
      <color rgb="FF0000FF"/>
      <name val="Arial"/>
    </font>
    <font>
      <sz val="18"/>
      <color theme="1"/>
      <name val="Arial"/>
    </font>
    <font>
      <b/>
      <u/>
      <sz val="10"/>
      <color rgb="FF0000FF"/>
      <name val="Arial"/>
    </font>
    <font>
      <u/>
      <sz val="10"/>
      <color rgb="FF0000FF"/>
      <name val="Arial"/>
    </font>
    <font>
      <b/>
      <sz val="10"/>
      <color theme="7"/>
      <name val="Arial"/>
    </font>
    <font>
      <b/>
      <sz val="10"/>
      <color rgb="FFF1C232"/>
      <name val="Arial"/>
    </font>
    <font>
      <b/>
      <sz val="10"/>
      <color rgb="FFC27BA0"/>
      <name val="Arial"/>
    </font>
    <font>
      <b/>
      <sz val="10"/>
      <color rgb="FF78C6D8"/>
      <name val="Arial"/>
    </font>
    <font>
      <b/>
      <sz val="10"/>
      <color rgb="FFFF0000"/>
      <name val="Arial"/>
    </font>
    <font>
      <u/>
      <sz val="10"/>
      <color rgb="FF0000FF"/>
      <name val="Arial"/>
    </font>
    <font>
      <sz val="10"/>
      <color rgb="FFFF9900"/>
      <name val="Arial"/>
    </font>
    <font>
      <b/>
      <sz val="10"/>
      <color rgb="FF38761D"/>
      <name val="Arial"/>
    </font>
    <font>
      <i/>
      <sz val="10"/>
      <name val="Arial"/>
    </font>
    <font>
      <i/>
      <sz val="10"/>
      <color rgb="FF999999"/>
      <name val="Arial"/>
    </font>
    <font>
      <b/>
      <sz val="10"/>
      <name val="Arial"/>
    </font>
    <font>
      <b/>
      <sz val="15"/>
      <name val="Arial"/>
    </font>
    <font>
      <b/>
      <sz val="14"/>
      <name val="Arial"/>
    </font>
    <font>
      <sz val="8"/>
      <name val="Arial"/>
    </font>
    <font>
      <b/>
      <sz val="10"/>
      <color theme="1"/>
      <name val="Arial"/>
      <family val="2"/>
    </font>
    <font>
      <b/>
      <sz val="10"/>
      <color rgb="FFFF9900"/>
      <name val="Arial"/>
      <family val="2"/>
    </font>
  </fonts>
  <fills count="6">
    <fill>
      <patternFill patternType="none"/>
    </fill>
    <fill>
      <patternFill patternType="gray125"/>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666666"/>
        <bgColor rgb="FF666666"/>
      </patternFill>
    </fill>
  </fills>
  <borders count="31">
    <border>
      <left/>
      <right/>
      <top/>
      <bottom/>
      <diagonal/>
    </border>
    <border>
      <left/>
      <right style="thin">
        <color rgb="FF999999"/>
      </right>
      <top/>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right/>
      <top/>
      <bottom style="medium">
        <color rgb="FF999999"/>
      </bottom>
      <diagonal/>
    </border>
    <border>
      <left/>
      <right style="thin">
        <color rgb="FF999999"/>
      </right>
      <top/>
      <bottom style="medium">
        <color rgb="FF999999"/>
      </bottom>
      <diagonal/>
    </border>
    <border>
      <left/>
      <right style="medium">
        <color rgb="FF999999"/>
      </right>
      <top/>
      <bottom/>
      <diagonal/>
    </border>
    <border>
      <left style="medium">
        <color rgb="FF999999"/>
      </left>
      <right/>
      <top/>
      <bottom/>
      <diagonal/>
    </border>
    <border>
      <left/>
      <right style="medium">
        <color rgb="FF999999"/>
      </right>
      <top/>
      <bottom style="medium">
        <color rgb="FF999999"/>
      </bottom>
      <diagonal/>
    </border>
    <border>
      <left style="medium">
        <color rgb="FF999999"/>
      </left>
      <right/>
      <top/>
      <bottom style="medium">
        <color rgb="FF999999"/>
      </bottom>
      <diagonal/>
    </border>
    <border>
      <left/>
      <right/>
      <top/>
      <bottom style="medium">
        <color rgb="FFB7B7B7"/>
      </bottom>
      <diagonal/>
    </border>
    <border>
      <left/>
      <right style="thin">
        <color rgb="FF999999"/>
      </right>
      <top/>
      <bottom style="medium">
        <color rgb="FFB7B7B7"/>
      </bottom>
      <diagonal/>
    </border>
    <border>
      <left/>
      <right style="medium">
        <color rgb="FF999999"/>
      </right>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style="thin">
        <color rgb="FF999999"/>
      </bottom>
      <diagonal/>
    </border>
    <border>
      <left style="thin">
        <color rgb="FF999999"/>
      </left>
      <right/>
      <top/>
      <bottom style="medium">
        <color rgb="FF999999"/>
      </bottom>
      <diagonal/>
    </border>
    <border>
      <left style="thin">
        <color rgb="FF999999"/>
      </left>
      <right/>
      <top/>
      <bottom style="medium">
        <color rgb="FFB7B7B7"/>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medium">
        <color rgb="FF999999"/>
      </bottom>
      <diagonal/>
    </border>
    <border>
      <left/>
      <right style="thin">
        <color rgb="FF000000"/>
      </right>
      <top style="thin">
        <color rgb="FF999999"/>
      </top>
      <bottom/>
      <diagonal/>
    </border>
    <border>
      <left/>
      <right style="thin">
        <color rgb="FF000000"/>
      </right>
      <top/>
      <bottom/>
      <diagonal/>
    </border>
    <border>
      <left/>
      <right style="thin">
        <color rgb="FF000000"/>
      </right>
      <top/>
      <bottom style="thin">
        <color rgb="FF999999"/>
      </bottom>
      <diagonal/>
    </border>
    <border>
      <left/>
      <right/>
      <top/>
      <bottom style="thin">
        <color rgb="FF000000"/>
      </bottom>
      <diagonal/>
    </border>
  </borders>
  <cellStyleXfs count="1">
    <xf numFmtId="0" fontId="0" fillId="0" borderId="0"/>
  </cellStyleXfs>
  <cellXfs count="687">
    <xf numFmtId="0" fontId="0" fillId="0" borderId="0" xfId="0" applyFont="1" applyAlignment="1"/>
    <xf numFmtId="0" fontId="2" fillId="0" borderId="0" xfId="0" applyFont="1" applyAlignment="1"/>
    <xf numFmtId="0" fontId="3" fillId="0" borderId="0" xfId="0" applyFont="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horizontal="center" vertical="center"/>
    </xf>
    <xf numFmtId="0" fontId="3" fillId="0" borderId="1" xfId="0" applyFont="1" applyBorder="1" applyAlignment="1">
      <alignment vertical="center"/>
    </xf>
    <xf numFmtId="0" fontId="9" fillId="2" borderId="1" xfId="0" applyFont="1" applyFill="1" applyBorder="1" applyAlignment="1">
      <alignment horizontal="center" vertical="center"/>
    </xf>
    <xf numFmtId="0" fontId="1" fillId="0" borderId="0" xfId="0" applyFont="1" applyAlignment="1">
      <alignment vertical="top" wrapText="1"/>
    </xf>
    <xf numFmtId="0" fontId="8" fillId="2" borderId="0" xfId="0" applyFont="1" applyFill="1" applyAlignment="1">
      <alignment horizontal="center" vertical="center"/>
    </xf>
    <xf numFmtId="0" fontId="5" fillId="0" borderId="7" xfId="0" applyFont="1" applyBorder="1"/>
    <xf numFmtId="0" fontId="2" fillId="2" borderId="0" xfId="0" applyFont="1" applyFill="1" applyAlignment="1">
      <alignment horizontal="center" vertical="center" wrapText="1"/>
    </xf>
    <xf numFmtId="164" fontId="2" fillId="0" borderId="0" xfId="0" applyNumberFormat="1" applyFont="1" applyAlignment="1">
      <alignment horizontal="center" vertical="center"/>
    </xf>
    <xf numFmtId="1" fontId="6" fillId="0" borderId="0" xfId="0" applyNumberFormat="1" applyFont="1" applyAlignment="1">
      <alignment horizontal="center" vertical="center"/>
    </xf>
    <xf numFmtId="1" fontId="11" fillId="0" borderId="0" xfId="0" applyNumberFormat="1" applyFont="1" applyAlignment="1">
      <alignment horizontal="center" vertical="center"/>
    </xf>
    <xf numFmtId="1" fontId="9" fillId="0" borderId="1" xfId="0" applyNumberFormat="1" applyFont="1" applyBorder="1" applyAlignment="1">
      <alignment horizontal="center" vertical="center"/>
    </xf>
    <xf numFmtId="1" fontId="11" fillId="0" borderId="1" xfId="0" applyNumberFormat="1" applyFont="1" applyBorder="1" applyAlignment="1">
      <alignment horizontal="center" vertical="center"/>
    </xf>
    <xf numFmtId="0" fontId="11" fillId="0" borderId="0" xfId="0" applyFont="1" applyAlignment="1">
      <alignment horizontal="center" vertical="center"/>
    </xf>
    <xf numFmtId="0" fontId="14" fillId="0" borderId="0" xfId="0" applyFont="1" applyAlignment="1"/>
    <xf numFmtId="164" fontId="2" fillId="0" borderId="9" xfId="0" applyNumberFormat="1" applyFont="1" applyBorder="1" applyAlignment="1">
      <alignment horizontal="center" vertical="center"/>
    </xf>
    <xf numFmtId="1" fontId="6" fillId="0" borderId="9" xfId="0" applyNumberFormat="1" applyFont="1" applyBorder="1" applyAlignment="1">
      <alignment horizontal="center" vertical="center"/>
    </xf>
    <xf numFmtId="1" fontId="11" fillId="0" borderId="9" xfId="0" applyNumberFormat="1" applyFont="1" applyBorder="1" applyAlignment="1">
      <alignment horizontal="center" vertical="center"/>
    </xf>
    <xf numFmtId="1" fontId="9" fillId="0" borderId="10" xfId="0" applyNumberFormat="1" applyFont="1" applyBorder="1" applyAlignment="1">
      <alignment horizontal="center" vertical="center"/>
    </xf>
    <xf numFmtId="1" fontId="11" fillId="0" borderId="10" xfId="0" applyNumberFormat="1" applyFont="1" applyBorder="1" applyAlignment="1">
      <alignment horizontal="center" vertical="center"/>
    </xf>
    <xf numFmtId="0" fontId="9" fillId="2" borderId="0" xfId="0" applyFont="1" applyFill="1" applyAlignment="1">
      <alignment horizontal="center" vertical="center"/>
    </xf>
    <xf numFmtId="0" fontId="15" fillId="2" borderId="0" xfId="0" applyFont="1" applyFill="1" applyAlignment="1">
      <alignment horizontal="center" vertical="center"/>
    </xf>
    <xf numFmtId="0" fontId="11" fillId="0" borderId="9" xfId="0" applyFont="1" applyBorder="1" applyAlignment="1">
      <alignment horizontal="center" vertical="center"/>
    </xf>
    <xf numFmtId="0" fontId="16" fillId="2" borderId="0" xfId="0" applyFont="1" applyFill="1" applyAlignment="1">
      <alignment horizontal="center" vertical="center"/>
    </xf>
    <xf numFmtId="0" fontId="17" fillId="2" borderId="1" xfId="0" applyFont="1" applyFill="1" applyBorder="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horizontal="center" vertical="center"/>
    </xf>
    <xf numFmtId="0" fontId="8" fillId="2" borderId="1" xfId="0" applyFont="1" applyFill="1" applyBorder="1" applyAlignment="1">
      <alignment horizontal="center" vertical="center"/>
    </xf>
    <xf numFmtId="0" fontId="8" fillId="2" borderId="0" xfId="0" applyFont="1" applyFill="1" applyAlignment="1">
      <alignment horizontal="center" vertical="center"/>
    </xf>
    <xf numFmtId="1" fontId="7" fillId="0" borderId="0" xfId="0" applyNumberFormat="1" applyFont="1" applyAlignment="1">
      <alignment horizontal="center" vertical="center"/>
    </xf>
    <xf numFmtId="0" fontId="16"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6" fillId="2" borderId="5" xfId="0" applyFont="1" applyFill="1" applyBorder="1" applyAlignment="1">
      <alignment horizontal="center" vertical="center"/>
    </xf>
    <xf numFmtId="0" fontId="9" fillId="2" borderId="11" xfId="0" applyFont="1" applyFill="1" applyBorder="1" applyAlignment="1">
      <alignment horizontal="center" vertical="center"/>
    </xf>
    <xf numFmtId="0" fontId="14" fillId="0" borderId="0" xfId="0" applyFont="1" applyAlignment="1">
      <alignment wrapText="1"/>
    </xf>
    <xf numFmtId="164" fontId="3" fillId="0" borderId="0" xfId="0" applyNumberFormat="1" applyFont="1" applyAlignment="1">
      <alignment horizontal="left"/>
    </xf>
    <xf numFmtId="1" fontId="11" fillId="0" borderId="0" xfId="0" applyNumberFormat="1" applyFont="1" applyAlignment="1">
      <alignment horizontal="center" vertical="center"/>
    </xf>
    <xf numFmtId="1" fontId="11" fillId="0" borderId="0" xfId="0" applyNumberFormat="1" applyFont="1" applyAlignment="1">
      <alignment horizontal="center" vertical="center" wrapText="1"/>
    </xf>
    <xf numFmtId="164" fontId="3" fillId="0" borderId="9" xfId="0" applyNumberFormat="1" applyFont="1" applyBorder="1" applyAlignment="1">
      <alignment horizontal="left"/>
    </xf>
    <xf numFmtId="1" fontId="13" fillId="0" borderId="0" xfId="0" applyNumberFormat="1" applyFont="1" applyAlignment="1">
      <alignment horizontal="center" vertical="center"/>
    </xf>
    <xf numFmtId="1" fontId="13" fillId="0" borderId="11" xfId="0" applyNumberFormat="1" applyFont="1" applyBorder="1" applyAlignment="1">
      <alignment horizontal="center" vertical="center"/>
    </xf>
    <xf numFmtId="1" fontId="11" fillId="3" borderId="9" xfId="0" applyNumberFormat="1" applyFont="1" applyFill="1" applyBorder="1" applyAlignment="1">
      <alignment horizontal="center" vertical="center"/>
    </xf>
    <xf numFmtId="1" fontId="11" fillId="0" borderId="12" xfId="0" applyNumberFormat="1" applyFont="1" applyBorder="1" applyAlignment="1">
      <alignment horizontal="center" vertical="center"/>
    </xf>
    <xf numFmtId="1" fontId="11" fillId="0" borderId="9" xfId="0" applyNumberFormat="1" applyFont="1" applyBorder="1" applyAlignment="1">
      <alignment horizontal="center" vertical="center" wrapText="1"/>
    </xf>
    <xf numFmtId="164" fontId="3" fillId="0" borderId="0" xfId="0" applyNumberFormat="1" applyFont="1" applyAlignment="1">
      <alignment horizontal="left"/>
    </xf>
    <xf numFmtId="1" fontId="11" fillId="0" borderId="0" xfId="0" applyNumberFormat="1" applyFont="1" applyAlignment="1">
      <alignment horizontal="center"/>
    </xf>
    <xf numFmtId="1" fontId="11" fillId="0" borderId="11" xfId="0" applyNumberFormat="1" applyFont="1" applyBorder="1" applyAlignment="1">
      <alignment horizontal="center" vertical="center"/>
    </xf>
    <xf numFmtId="1" fontId="11" fillId="0" borderId="1" xfId="0" applyNumberFormat="1" applyFont="1" applyBorder="1" applyAlignment="1">
      <alignment horizontal="center"/>
    </xf>
    <xf numFmtId="0" fontId="18" fillId="0" borderId="0" xfId="0" applyFont="1" applyAlignment="1">
      <alignment horizontal="center"/>
    </xf>
    <xf numFmtId="1" fontId="3" fillId="0" borderId="0" xfId="0" applyNumberFormat="1" applyFont="1"/>
    <xf numFmtId="1" fontId="14" fillId="0" borderId="0" xfId="0" applyNumberFormat="1" applyFont="1" applyAlignment="1">
      <alignment horizontal="left" vertical="center"/>
    </xf>
    <xf numFmtId="1" fontId="3" fillId="0" borderId="0" xfId="0" applyNumberFormat="1" applyFont="1" applyAlignment="1">
      <alignment horizontal="left" vertical="center"/>
    </xf>
    <xf numFmtId="1" fontId="19" fillId="0" borderId="0" xfId="0" applyNumberFormat="1" applyFont="1" applyAlignment="1"/>
    <xf numFmtId="1" fontId="13" fillId="0" borderId="9" xfId="0" applyNumberFormat="1" applyFont="1" applyBorder="1" applyAlignment="1">
      <alignment horizontal="center" vertical="center"/>
    </xf>
    <xf numFmtId="1" fontId="13" fillId="0" borderId="13" xfId="0" applyNumberFormat="1" applyFont="1" applyBorder="1" applyAlignment="1">
      <alignment horizontal="center" vertical="center"/>
    </xf>
    <xf numFmtId="1" fontId="11" fillId="0" borderId="14" xfId="0" applyNumberFormat="1" applyFont="1" applyBorder="1" applyAlignment="1">
      <alignment horizontal="center" vertical="center"/>
    </xf>
    <xf numFmtId="1" fontId="11" fillId="0" borderId="9" xfId="0" applyNumberFormat="1" applyFont="1" applyBorder="1" applyAlignment="1">
      <alignment horizontal="center" vertical="center"/>
    </xf>
    <xf numFmtId="1" fontId="11" fillId="0" borderId="13" xfId="0" applyNumberFormat="1" applyFont="1" applyBorder="1" applyAlignment="1">
      <alignment horizontal="center" vertical="center"/>
    </xf>
    <xf numFmtId="1" fontId="11" fillId="3" borderId="0" xfId="0" applyNumberFormat="1" applyFont="1" applyFill="1" applyAlignment="1">
      <alignment horizontal="center" vertical="center"/>
    </xf>
    <xf numFmtId="1" fontId="3" fillId="0" borderId="0" xfId="0" applyNumberFormat="1" applyFont="1" applyAlignment="1"/>
    <xf numFmtId="0" fontId="18" fillId="0" borderId="9" xfId="0" applyFont="1" applyBorder="1" applyAlignment="1">
      <alignment horizontal="center"/>
    </xf>
    <xf numFmtId="1" fontId="14" fillId="0" borderId="9" xfId="0" applyNumberFormat="1" applyFont="1" applyBorder="1" applyAlignment="1">
      <alignment horizontal="left" vertical="center"/>
    </xf>
    <xf numFmtId="1" fontId="3" fillId="0" borderId="9" xfId="0" applyNumberFormat="1" applyFont="1" applyBorder="1" applyAlignment="1">
      <alignment horizontal="left" vertical="center"/>
    </xf>
    <xf numFmtId="1" fontId="13" fillId="0" borderId="0" xfId="0" applyNumberFormat="1" applyFont="1" applyAlignment="1">
      <alignment horizontal="center"/>
    </xf>
    <xf numFmtId="1" fontId="13" fillId="0" borderId="11" xfId="0" applyNumberFormat="1" applyFont="1" applyBorder="1" applyAlignment="1">
      <alignment horizontal="center"/>
    </xf>
    <xf numFmtId="0" fontId="18" fillId="0" borderId="0" xfId="0" applyFont="1" applyAlignment="1">
      <alignment horizontal="center"/>
    </xf>
    <xf numFmtId="164" fontId="2" fillId="0" borderId="0" xfId="0" applyNumberFormat="1" applyFont="1" applyAlignment="1">
      <alignment horizontal="center"/>
    </xf>
    <xf numFmtId="0" fontId="3" fillId="0" borderId="0" xfId="0" applyFont="1" applyAlignment="1"/>
    <xf numFmtId="1" fontId="8" fillId="0" borderId="0" xfId="0" applyNumberFormat="1" applyFont="1" applyAlignment="1">
      <alignment horizontal="center" vertical="center"/>
    </xf>
    <xf numFmtId="1" fontId="8" fillId="0" borderId="1" xfId="0" applyNumberFormat="1" applyFont="1" applyBorder="1" applyAlignment="1">
      <alignment horizontal="center" vertical="center"/>
    </xf>
    <xf numFmtId="0" fontId="20" fillId="0" borderId="0" xfId="0" applyFont="1" applyAlignment="1">
      <alignment vertical="top"/>
    </xf>
    <xf numFmtId="1" fontId="21" fillId="0" borderId="0" xfId="0" applyNumberFormat="1" applyFont="1" applyAlignment="1">
      <alignment vertical="center"/>
    </xf>
    <xf numFmtId="1" fontId="22" fillId="0" borderId="0" xfId="0" applyNumberFormat="1" applyFont="1" applyAlignment="1"/>
    <xf numFmtId="1" fontId="7" fillId="0" borderId="9" xfId="0" applyNumberFormat="1" applyFont="1" applyBorder="1" applyAlignment="1">
      <alignment horizontal="center" vertical="center"/>
    </xf>
    <xf numFmtId="1" fontId="8" fillId="0" borderId="9" xfId="0" applyNumberFormat="1" applyFont="1" applyBorder="1" applyAlignment="1">
      <alignment horizontal="center" vertical="center"/>
    </xf>
    <xf numFmtId="1" fontId="8" fillId="0" borderId="10" xfId="0" applyNumberFormat="1" applyFont="1" applyBorder="1" applyAlignment="1">
      <alignment horizontal="center" vertical="center"/>
    </xf>
    <xf numFmtId="164" fontId="3" fillId="0" borderId="9" xfId="0" applyNumberFormat="1" applyFont="1" applyBorder="1" applyAlignment="1">
      <alignment horizontal="left" vertical="center"/>
    </xf>
    <xf numFmtId="0" fontId="6" fillId="0" borderId="0" xfId="0" applyFont="1" applyAlignment="1">
      <alignment horizontal="center" vertical="center"/>
    </xf>
    <xf numFmtId="0" fontId="3" fillId="0" borderId="0" xfId="0" applyFont="1"/>
    <xf numFmtId="1" fontId="6" fillId="0" borderId="0" xfId="0" applyNumberFormat="1" applyFont="1" applyAlignment="1">
      <alignment horizontal="center" vertical="center"/>
    </xf>
    <xf numFmtId="1" fontId="9" fillId="0" borderId="11" xfId="0" applyNumberFormat="1" applyFont="1" applyBorder="1" applyAlignment="1">
      <alignment horizontal="center" vertical="center"/>
    </xf>
    <xf numFmtId="1" fontId="6" fillId="0" borderId="12" xfId="0" applyNumberFormat="1" applyFont="1" applyBorder="1" applyAlignment="1">
      <alignment horizontal="center" vertical="center"/>
    </xf>
    <xf numFmtId="1" fontId="24" fillId="0" borderId="0" xfId="0" applyNumberFormat="1" applyFont="1" applyAlignment="1">
      <alignment horizontal="center" vertical="center"/>
    </xf>
    <xf numFmtId="0" fontId="25" fillId="0" borderId="0" xfId="0" applyFont="1" applyAlignment="1"/>
    <xf numFmtId="1" fontId="6" fillId="0" borderId="9" xfId="0" applyNumberFormat="1" applyFont="1" applyBorder="1" applyAlignment="1">
      <alignment horizontal="center" vertical="center"/>
    </xf>
    <xf numFmtId="1" fontId="9" fillId="0" borderId="13" xfId="0" applyNumberFormat="1" applyFont="1" applyBorder="1" applyAlignment="1">
      <alignment horizontal="center" vertical="center"/>
    </xf>
    <xf numFmtId="1" fontId="6" fillId="0" borderId="14" xfId="0" applyNumberFormat="1" applyFont="1" applyBorder="1" applyAlignment="1">
      <alignment horizontal="center" vertical="center"/>
    </xf>
    <xf numFmtId="1" fontId="24" fillId="0" borderId="9" xfId="0" applyNumberFormat="1" applyFont="1" applyBorder="1" applyAlignment="1">
      <alignment horizontal="center" vertical="center"/>
    </xf>
    <xf numFmtId="164" fontId="3" fillId="0" borderId="0" xfId="0" applyNumberFormat="1" applyFont="1" applyAlignment="1">
      <alignment horizontal="left" vertical="center"/>
    </xf>
    <xf numFmtId="0" fontId="7" fillId="0" borderId="0" xfId="0" applyFont="1" applyAlignment="1">
      <alignment horizontal="center" vertical="center"/>
    </xf>
    <xf numFmtId="0" fontId="13" fillId="0" borderId="0" xfId="0" applyFont="1" applyAlignment="1">
      <alignment horizontal="center" vertical="center"/>
    </xf>
    <xf numFmtId="0" fontId="18" fillId="0" borderId="9" xfId="0" applyFont="1" applyBorder="1" applyAlignment="1">
      <alignment horizontal="center" vertical="center"/>
    </xf>
    <xf numFmtId="164" fontId="3" fillId="0" borderId="0" xfId="0" applyNumberFormat="1" applyFont="1" applyAlignment="1">
      <alignment vertical="center"/>
    </xf>
    <xf numFmtId="1" fontId="26" fillId="0" borderId="9" xfId="0" applyNumberFormat="1" applyFont="1" applyBorder="1" applyAlignment="1">
      <alignment vertical="center"/>
    </xf>
    <xf numFmtId="1" fontId="27" fillId="0" borderId="0" xfId="0" applyNumberFormat="1" applyFont="1" applyAlignment="1">
      <alignment horizontal="center" vertical="center"/>
    </xf>
    <xf numFmtId="1" fontId="9" fillId="0" borderId="0" xfId="0" applyNumberFormat="1" applyFont="1" applyAlignment="1">
      <alignment horizontal="center" vertical="center"/>
    </xf>
    <xf numFmtId="1" fontId="13" fillId="0" borderId="0" xfId="0" applyNumberFormat="1" applyFont="1" applyAlignment="1">
      <alignment horizontal="center" vertical="center"/>
    </xf>
    <xf numFmtId="1" fontId="12" fillId="0" borderId="0" xfId="0" applyNumberFormat="1" applyFont="1" applyAlignment="1">
      <alignment horizontal="left" vertical="center" wrapText="1"/>
    </xf>
    <xf numFmtId="1" fontId="28" fillId="0" borderId="0" xfId="0" applyNumberFormat="1" applyFont="1" applyAlignment="1">
      <alignment horizontal="left" vertical="center"/>
    </xf>
    <xf numFmtId="1" fontId="15" fillId="0" borderId="0" xfId="0" applyNumberFormat="1" applyFont="1" applyAlignment="1">
      <alignment horizontal="center" vertical="center"/>
    </xf>
    <xf numFmtId="0" fontId="24" fillId="0" borderId="0" xfId="0" applyFont="1" applyAlignment="1">
      <alignment horizontal="center" vertical="center"/>
    </xf>
    <xf numFmtId="1" fontId="29" fillId="0" borderId="0" xfId="0" applyNumberFormat="1" applyFont="1" applyAlignment="1">
      <alignment horizontal="center" vertical="center"/>
    </xf>
    <xf numFmtId="0" fontId="12" fillId="0" borderId="0" xfId="0" applyFont="1" applyAlignment="1">
      <alignment wrapText="1"/>
    </xf>
    <xf numFmtId="0" fontId="8" fillId="0" borderId="0" xfId="0" applyFont="1" applyAlignment="1">
      <alignment horizontal="center" vertical="center"/>
    </xf>
    <xf numFmtId="1" fontId="30" fillId="0" borderId="0" xfId="0" applyNumberFormat="1" applyFont="1" applyAlignment="1">
      <alignment horizontal="center" vertical="center"/>
    </xf>
    <xf numFmtId="164" fontId="3" fillId="0" borderId="9" xfId="0" applyNumberFormat="1" applyFont="1" applyBorder="1" applyAlignment="1">
      <alignment vertical="center"/>
    </xf>
    <xf numFmtId="1" fontId="27" fillId="0" borderId="9" xfId="0" applyNumberFormat="1" applyFont="1" applyBorder="1" applyAlignment="1">
      <alignment horizontal="center" vertical="center"/>
    </xf>
    <xf numFmtId="1" fontId="9" fillId="0" borderId="9" xfId="0" applyNumberFormat="1" applyFont="1" applyBorder="1" applyAlignment="1">
      <alignment horizontal="center" vertical="center"/>
    </xf>
    <xf numFmtId="1" fontId="15" fillId="0" borderId="9" xfId="0" applyNumberFormat="1" applyFont="1" applyBorder="1" applyAlignment="1">
      <alignment horizontal="center" vertical="center"/>
    </xf>
    <xf numFmtId="1" fontId="13" fillId="0" borderId="9" xfId="0" applyNumberFormat="1" applyFont="1" applyBorder="1" applyAlignment="1">
      <alignment horizontal="center" vertical="center"/>
    </xf>
    <xf numFmtId="0" fontId="13" fillId="0" borderId="9" xfId="0" applyFont="1" applyBorder="1" applyAlignment="1">
      <alignment horizontal="center" vertical="center"/>
    </xf>
    <xf numFmtId="0" fontId="24" fillId="0" borderId="9" xfId="0" applyFont="1" applyBorder="1" applyAlignment="1">
      <alignment horizontal="center" vertical="center"/>
    </xf>
    <xf numFmtId="1" fontId="29" fillId="0" borderId="9" xfId="0" applyNumberFormat="1" applyFont="1" applyBorder="1" applyAlignment="1">
      <alignment horizontal="center" vertical="center"/>
    </xf>
    <xf numFmtId="1" fontId="30" fillId="0" borderId="9" xfId="0" applyNumberFormat="1" applyFont="1" applyBorder="1" applyAlignment="1">
      <alignment horizontal="center" vertical="center"/>
    </xf>
    <xf numFmtId="1" fontId="12" fillId="0" borderId="9" xfId="0" applyNumberFormat="1" applyFont="1" applyBorder="1" applyAlignment="1">
      <alignment horizontal="left" vertical="center" wrapText="1"/>
    </xf>
    <xf numFmtId="0" fontId="6" fillId="0" borderId="9" xfId="0" applyFont="1" applyBorder="1" applyAlignment="1">
      <alignment horizontal="center" vertical="center"/>
    </xf>
    <xf numFmtId="0" fontId="7" fillId="0" borderId="9" xfId="0" applyFont="1" applyBorder="1" applyAlignment="1">
      <alignment horizontal="center" vertical="center"/>
    </xf>
    <xf numFmtId="0" fontId="8" fillId="0" borderId="9" xfId="0" applyFont="1" applyBorder="1" applyAlignment="1">
      <alignment horizontal="center" vertical="center"/>
    </xf>
    <xf numFmtId="0" fontId="3" fillId="0" borderId="0" xfId="0" applyFont="1" applyAlignment="1"/>
    <xf numFmtId="1" fontId="7" fillId="0" borderId="0" xfId="0" applyNumberFormat="1" applyFont="1" applyAlignment="1">
      <alignment horizontal="center" vertical="center"/>
    </xf>
    <xf numFmtId="1" fontId="8" fillId="0" borderId="0" xfId="0" applyNumberFormat="1" applyFont="1" applyAlignment="1">
      <alignment horizontal="center" vertical="center"/>
    </xf>
    <xf numFmtId="1" fontId="31" fillId="0" borderId="0" xfId="0" applyNumberFormat="1" applyFont="1" applyAlignment="1">
      <alignment horizontal="left" vertical="center"/>
    </xf>
    <xf numFmtId="1" fontId="3" fillId="0" borderId="0" xfId="0" applyNumberFormat="1" applyFont="1" applyAlignment="1"/>
    <xf numFmtId="1" fontId="32" fillId="0" borderId="0" xfId="0" applyNumberFormat="1" applyFont="1" applyAlignment="1">
      <alignment horizontal="center" vertical="center"/>
    </xf>
    <xf numFmtId="1" fontId="16" fillId="0" borderId="0" xfId="0" applyNumberFormat="1" applyFont="1" applyAlignment="1">
      <alignment horizontal="center" vertical="center"/>
    </xf>
    <xf numFmtId="1" fontId="33" fillId="0" borderId="1" xfId="0" applyNumberFormat="1" applyFont="1" applyBorder="1" applyAlignment="1">
      <alignment horizontal="center" vertical="center"/>
    </xf>
    <xf numFmtId="1" fontId="17" fillId="0" borderId="0" xfId="0" applyNumberFormat="1" applyFont="1" applyAlignment="1">
      <alignment horizontal="center" vertical="center"/>
    </xf>
    <xf numFmtId="1" fontId="33" fillId="0" borderId="0" xfId="0" applyNumberFormat="1" applyFont="1" applyAlignment="1">
      <alignment horizontal="center" vertical="center"/>
    </xf>
    <xf numFmtId="1" fontId="34" fillId="0" borderId="1" xfId="0" applyNumberFormat="1" applyFont="1" applyBorder="1" applyAlignment="1">
      <alignment horizontal="center" vertical="center"/>
    </xf>
    <xf numFmtId="1" fontId="34" fillId="0" borderId="0" xfId="0" applyNumberFormat="1" applyFont="1" applyAlignment="1">
      <alignment horizontal="center" vertical="center"/>
    </xf>
    <xf numFmtId="0" fontId="32" fillId="0" borderId="0" xfId="0" applyFont="1" applyAlignment="1">
      <alignment horizontal="center"/>
    </xf>
    <xf numFmtId="1" fontId="36" fillId="0" borderId="0" xfId="0" applyNumberFormat="1" applyFont="1" applyAlignment="1">
      <alignment horizontal="center" vertical="center"/>
    </xf>
    <xf numFmtId="1" fontId="35" fillId="0" borderId="0" xfId="0" applyNumberFormat="1" applyFont="1" applyAlignment="1">
      <alignment horizontal="left" vertical="center" wrapText="1"/>
    </xf>
    <xf numFmtId="1" fontId="30" fillId="0" borderId="1" xfId="0" applyNumberFormat="1" applyFont="1" applyBorder="1" applyAlignment="1">
      <alignment horizontal="center" vertical="center"/>
    </xf>
    <xf numFmtId="0" fontId="32" fillId="0" borderId="0" xfId="0" applyFont="1" applyAlignment="1">
      <alignment horizontal="center" vertical="center"/>
    </xf>
    <xf numFmtId="164" fontId="2" fillId="0" borderId="15" xfId="0" applyNumberFormat="1" applyFont="1" applyBorder="1" applyAlignment="1">
      <alignment horizontal="center" vertical="center"/>
    </xf>
    <xf numFmtId="1" fontId="6" fillId="0" borderId="15" xfId="0" applyNumberFormat="1" applyFont="1" applyBorder="1" applyAlignment="1">
      <alignment horizontal="center" vertical="center"/>
    </xf>
    <xf numFmtId="1" fontId="7" fillId="0" borderId="15" xfId="0" applyNumberFormat="1" applyFont="1" applyBorder="1" applyAlignment="1">
      <alignment horizontal="center" vertical="center"/>
    </xf>
    <xf numFmtId="1" fontId="8" fillId="0" borderId="15" xfId="0" applyNumberFormat="1" applyFont="1" applyBorder="1" applyAlignment="1">
      <alignment horizontal="center" vertical="center"/>
    </xf>
    <xf numFmtId="1" fontId="8" fillId="0" borderId="16" xfId="0" applyNumberFormat="1" applyFont="1" applyBorder="1" applyAlignment="1">
      <alignment horizontal="center" vertical="center"/>
    </xf>
    <xf numFmtId="0" fontId="6" fillId="0" borderId="15" xfId="0" applyFont="1" applyBorder="1" applyAlignment="1">
      <alignment horizontal="center" vertical="center"/>
    </xf>
    <xf numFmtId="0" fontId="7" fillId="0" borderId="15" xfId="0" applyFont="1" applyBorder="1" applyAlignment="1">
      <alignment horizontal="center" vertical="center"/>
    </xf>
    <xf numFmtId="0" fontId="8" fillId="0" borderId="15" xfId="0" applyFont="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30" fillId="0" borderId="1" xfId="0" applyFont="1" applyBorder="1" applyAlignment="1">
      <alignment horizontal="center" vertical="center"/>
    </xf>
    <xf numFmtId="1" fontId="14" fillId="0" borderId="0" xfId="0" applyNumberFormat="1" applyFont="1" applyAlignment="1">
      <alignment horizontal="left" vertical="center" wrapText="1"/>
    </xf>
    <xf numFmtId="0" fontId="6" fillId="0" borderId="12" xfId="0" applyFont="1" applyBorder="1" applyAlignment="1">
      <alignment horizontal="center" vertical="center"/>
    </xf>
    <xf numFmtId="0" fontId="9" fillId="0" borderId="11" xfId="0" applyFont="1" applyBorder="1" applyAlignment="1">
      <alignment horizontal="center" vertical="center"/>
    </xf>
    <xf numFmtId="1" fontId="13" fillId="0" borderId="1" xfId="0" applyNumberFormat="1" applyFont="1" applyBorder="1" applyAlignment="1">
      <alignment horizontal="center" vertical="center"/>
    </xf>
    <xf numFmtId="1" fontId="37" fillId="0" borderId="0" xfId="0" applyNumberFormat="1" applyFont="1" applyAlignment="1">
      <alignment horizontal="left" vertical="center"/>
    </xf>
    <xf numFmtId="1" fontId="7" fillId="0" borderId="9" xfId="0" applyNumberFormat="1" applyFont="1" applyBorder="1" applyAlignment="1">
      <alignment horizontal="center" vertical="center"/>
    </xf>
    <xf numFmtId="1" fontId="8" fillId="0" borderId="9" xfId="0" applyNumberFormat="1" applyFont="1" applyBorder="1" applyAlignment="1">
      <alignment horizontal="center" vertical="center"/>
    </xf>
    <xf numFmtId="0" fontId="6" fillId="0" borderId="14" xfId="0" applyFont="1" applyBorder="1" applyAlignment="1">
      <alignment horizontal="center" vertical="center"/>
    </xf>
    <xf numFmtId="0" fontId="7" fillId="0" borderId="9" xfId="0" applyFont="1" applyBorder="1" applyAlignment="1">
      <alignment horizontal="center" vertical="center"/>
    </xf>
    <xf numFmtId="0" fontId="8" fillId="0" borderId="9" xfId="0" applyFont="1" applyBorder="1" applyAlignment="1">
      <alignment horizontal="center" vertical="center"/>
    </xf>
    <xf numFmtId="0" fontId="9" fillId="0" borderId="13" xfId="0" applyFont="1" applyBorder="1" applyAlignment="1">
      <alignment horizontal="center" vertical="center"/>
    </xf>
    <xf numFmtId="0" fontId="30" fillId="0" borderId="10" xfId="0" applyFont="1" applyBorder="1" applyAlignment="1">
      <alignment horizontal="center" vertical="center"/>
    </xf>
    <xf numFmtId="0" fontId="32" fillId="0" borderId="9" xfId="0" applyFont="1" applyBorder="1" applyAlignment="1">
      <alignment horizontal="center" vertical="center"/>
    </xf>
    <xf numFmtId="1" fontId="16" fillId="0" borderId="9" xfId="0" applyNumberFormat="1" applyFont="1" applyBorder="1" applyAlignment="1">
      <alignment horizontal="center" vertical="center"/>
    </xf>
    <xf numFmtId="1" fontId="17" fillId="0" borderId="9" xfId="0" applyNumberFormat="1" applyFont="1" applyBorder="1" applyAlignment="1">
      <alignment horizontal="center" vertical="center"/>
    </xf>
    <xf numFmtId="1" fontId="32" fillId="0" borderId="9" xfId="0" applyNumberFormat="1" applyFont="1" applyBorder="1" applyAlignment="1">
      <alignment horizontal="center" vertical="center"/>
    </xf>
    <xf numFmtId="1" fontId="33" fillId="0" borderId="9" xfId="0" applyNumberFormat="1" applyFont="1" applyBorder="1" applyAlignment="1">
      <alignment horizontal="center" vertical="center"/>
    </xf>
    <xf numFmtId="1" fontId="34" fillId="0" borderId="10" xfId="0" applyNumberFormat="1" applyFont="1" applyBorder="1" applyAlignment="1">
      <alignment horizontal="center" vertical="center"/>
    </xf>
    <xf numFmtId="1" fontId="30" fillId="0" borderId="10" xfId="0" applyNumberFormat="1" applyFont="1" applyBorder="1" applyAlignment="1">
      <alignment horizontal="center" vertical="center"/>
    </xf>
    <xf numFmtId="1" fontId="33" fillId="0" borderId="10" xfId="0" applyNumberFormat="1" applyFont="1" applyBorder="1" applyAlignment="1">
      <alignment horizontal="center" vertical="center"/>
    </xf>
    <xf numFmtId="1" fontId="14" fillId="0" borderId="9" xfId="0" applyNumberFormat="1" applyFont="1" applyBorder="1" applyAlignment="1"/>
    <xf numFmtId="1" fontId="34" fillId="0" borderId="9" xfId="0" applyNumberFormat="1" applyFont="1" applyBorder="1" applyAlignment="1">
      <alignment horizontal="center" vertical="center"/>
    </xf>
    <xf numFmtId="1" fontId="3" fillId="0" borderId="9" xfId="0" applyNumberFormat="1" applyFont="1" applyBorder="1" applyAlignment="1"/>
    <xf numFmtId="1" fontId="29" fillId="0" borderId="1" xfId="0" applyNumberFormat="1" applyFont="1" applyBorder="1" applyAlignment="1">
      <alignment horizontal="center" vertical="center"/>
    </xf>
    <xf numFmtId="1" fontId="12" fillId="5" borderId="0" xfId="0" applyNumberFormat="1" applyFont="1" applyFill="1" applyAlignment="1">
      <alignment horizontal="left" vertical="center" wrapText="1"/>
    </xf>
    <xf numFmtId="1" fontId="9" fillId="0" borderId="11" xfId="0" applyNumberFormat="1" applyFont="1" applyBorder="1" applyAlignment="1">
      <alignment horizontal="center" vertical="center"/>
    </xf>
    <xf numFmtId="0" fontId="3" fillId="2" borderId="0" xfId="0" applyFont="1" applyFill="1" applyAlignment="1">
      <alignment horizontal="left"/>
    </xf>
    <xf numFmtId="0" fontId="3" fillId="2" borderId="0" xfId="0" applyFont="1" applyFill="1" applyAlignment="1">
      <alignment horizontal="right"/>
    </xf>
    <xf numFmtId="0" fontId="2" fillId="2" borderId="0" xfId="0" applyFont="1" applyFill="1" applyAlignment="1">
      <alignment horizontal="center"/>
    </xf>
    <xf numFmtId="0" fontId="9" fillId="2" borderId="0" xfId="0" applyFont="1" applyFill="1" applyAlignment="1">
      <alignment horizontal="center"/>
    </xf>
    <xf numFmtId="0" fontId="6" fillId="2" borderId="0" xfId="0" applyFont="1" applyFill="1" applyAlignment="1">
      <alignment horizontal="center"/>
    </xf>
    <xf numFmtId="2" fontId="12" fillId="2" borderId="0" xfId="0" applyNumberFormat="1" applyFont="1" applyFill="1" applyAlignment="1">
      <alignment horizontal="center" vertical="center"/>
    </xf>
    <xf numFmtId="0" fontId="24" fillId="0" borderId="0" xfId="0" applyFont="1" applyAlignment="1">
      <alignment horizontal="center"/>
    </xf>
    <xf numFmtId="0" fontId="32" fillId="0" borderId="0" xfId="0" applyFont="1" applyAlignment="1">
      <alignment horizontal="center"/>
    </xf>
    <xf numFmtId="0" fontId="30" fillId="0" borderId="0" xfId="0" applyFont="1" applyAlignment="1">
      <alignment horizontal="center"/>
    </xf>
    <xf numFmtId="2" fontId="12" fillId="0" borderId="0" xfId="0" applyNumberFormat="1" applyFont="1" applyAlignment="1">
      <alignment horizontal="center" vertical="center"/>
    </xf>
    <xf numFmtId="0" fontId="2" fillId="2" borderId="7" xfId="0" applyFont="1" applyFill="1" applyBorder="1" applyAlignment="1">
      <alignment horizontal="left"/>
    </xf>
    <xf numFmtId="0" fontId="3" fillId="0" borderId="0" xfId="0" applyFont="1" applyAlignment="1">
      <alignment horizontal="left"/>
    </xf>
    <xf numFmtId="0" fontId="7" fillId="0" borderId="0" xfId="0" applyFont="1" applyAlignment="1">
      <alignment horizontal="right" vertical="center"/>
    </xf>
    <xf numFmtId="0" fontId="3" fillId="0" borderId="0" xfId="0" applyFont="1" applyAlignment="1">
      <alignment horizontal="right"/>
    </xf>
    <xf numFmtId="0" fontId="40" fillId="0" borderId="0" xfId="0" applyFont="1" applyAlignment="1">
      <alignment vertical="top" wrapText="1"/>
    </xf>
    <xf numFmtId="0" fontId="40" fillId="0" borderId="5" xfId="0" applyFont="1" applyBorder="1" applyAlignment="1">
      <alignment vertical="top" wrapText="1"/>
    </xf>
    <xf numFmtId="0" fontId="3" fillId="0" borderId="5" xfId="0" applyFont="1" applyBorder="1"/>
    <xf numFmtId="0" fontId="3" fillId="0" borderId="0" xfId="0" applyFont="1" applyAlignment="1">
      <alignment horizontal="center" vertical="center"/>
    </xf>
    <xf numFmtId="0" fontId="3" fillId="0" borderId="0" xfId="0" applyFont="1" applyAlignment="1">
      <alignment wrapText="1"/>
    </xf>
    <xf numFmtId="0" fontId="2" fillId="2" borderId="18" xfId="0" applyFont="1" applyFill="1" applyBorder="1" applyAlignment="1">
      <alignment vertical="center"/>
    </xf>
    <xf numFmtId="0" fontId="6" fillId="2" borderId="18" xfId="0" applyFont="1" applyFill="1" applyBorder="1" applyAlignment="1">
      <alignment horizontal="center" vertical="center"/>
    </xf>
    <xf numFmtId="0" fontId="7" fillId="2" borderId="18" xfId="0" applyFont="1" applyFill="1" applyBorder="1" applyAlignment="1">
      <alignment horizontal="center" vertical="center"/>
    </xf>
    <xf numFmtId="1" fontId="14" fillId="0" borderId="0" xfId="0" applyNumberFormat="1" applyFont="1" applyAlignment="1"/>
    <xf numFmtId="2" fontId="12" fillId="2" borderId="1" xfId="0" applyNumberFormat="1" applyFont="1" applyFill="1" applyBorder="1" applyAlignment="1">
      <alignment horizontal="center" vertical="center"/>
    </xf>
    <xf numFmtId="2" fontId="29" fillId="2" borderId="0" xfId="0" applyNumberFormat="1" applyFont="1" applyFill="1" applyAlignment="1">
      <alignment horizontal="center" vertical="center"/>
    </xf>
    <xf numFmtId="2" fontId="34" fillId="2" borderId="1" xfId="0" applyNumberFormat="1" applyFont="1" applyFill="1" applyBorder="1" applyAlignment="1">
      <alignment horizontal="center" vertical="center"/>
    </xf>
    <xf numFmtId="2" fontId="33" fillId="2" borderId="1" xfId="0" applyNumberFormat="1" applyFont="1" applyFill="1" applyBorder="1" applyAlignment="1">
      <alignment horizontal="center" vertical="center"/>
    </xf>
    <xf numFmtId="2" fontId="3" fillId="2" borderId="0" xfId="0" applyNumberFormat="1" applyFont="1" applyFill="1"/>
    <xf numFmtId="2" fontId="12" fillId="2" borderId="0" xfId="0" applyNumberFormat="1" applyFont="1" applyFill="1" applyAlignment="1">
      <alignment horizontal="center" vertical="center" wrapText="1"/>
    </xf>
    <xf numFmtId="0" fontId="24" fillId="0" borderId="7" xfId="0" applyFont="1" applyBorder="1" applyAlignment="1">
      <alignment horizontal="center"/>
    </xf>
    <xf numFmtId="0" fontId="32" fillId="0" borderId="7" xfId="0" applyFont="1" applyBorder="1" applyAlignment="1">
      <alignment horizontal="center"/>
    </xf>
    <xf numFmtId="0" fontId="30" fillId="0" borderId="7" xfId="0" applyFont="1" applyBorder="1" applyAlignment="1">
      <alignment horizontal="center"/>
    </xf>
    <xf numFmtId="0" fontId="38" fillId="0" borderId="7" xfId="0" applyFont="1" applyBorder="1" applyAlignment="1">
      <alignment horizontal="center"/>
    </xf>
    <xf numFmtId="0" fontId="29" fillId="0" borderId="7" xfId="0" applyFont="1" applyBorder="1" applyAlignment="1">
      <alignment horizontal="center"/>
    </xf>
    <xf numFmtId="0" fontId="33" fillId="0" borderId="7" xfId="0" applyFont="1" applyBorder="1" applyAlignment="1">
      <alignment horizontal="center"/>
    </xf>
    <xf numFmtId="0" fontId="34" fillId="0" borderId="8" xfId="0" applyFont="1" applyBorder="1" applyAlignment="1">
      <alignment horizontal="center"/>
    </xf>
    <xf numFmtId="0" fontId="30" fillId="0" borderId="8" xfId="0" applyFont="1" applyBorder="1" applyAlignment="1">
      <alignment horizontal="center"/>
    </xf>
    <xf numFmtId="0" fontId="33" fillId="0" borderId="8" xfId="0" applyFont="1" applyBorder="1" applyAlignment="1">
      <alignment horizontal="center"/>
    </xf>
    <xf numFmtId="0" fontId="29" fillId="0" borderId="8" xfId="0" applyFont="1" applyBorder="1" applyAlignment="1">
      <alignment horizontal="center"/>
    </xf>
    <xf numFmtId="0" fontId="30" fillId="0" borderId="0" xfId="0" applyFont="1" applyAlignment="1">
      <alignment horizontal="center" wrapText="1"/>
    </xf>
    <xf numFmtId="0" fontId="3" fillId="0" borderId="0" xfId="0" applyFont="1" applyAlignment="1">
      <alignment wrapText="1"/>
    </xf>
    <xf numFmtId="1" fontId="3" fillId="0" borderId="0" xfId="0" applyNumberFormat="1" applyFont="1" applyAlignment="1">
      <alignment vertical="top"/>
    </xf>
    <xf numFmtId="166" fontId="2" fillId="0" borderId="6" xfId="0" applyNumberFormat="1" applyFont="1" applyBorder="1"/>
    <xf numFmtId="1" fontId="44" fillId="0" borderId="0" xfId="0" applyNumberFormat="1" applyFont="1" applyAlignment="1">
      <alignment vertical="top"/>
    </xf>
    <xf numFmtId="164" fontId="3" fillId="0" borderId="0" xfId="0" applyNumberFormat="1" applyFont="1" applyAlignment="1"/>
    <xf numFmtId="1" fontId="6" fillId="0" borderId="0" xfId="0" applyNumberFormat="1" applyFont="1" applyAlignment="1">
      <alignment horizontal="center"/>
    </xf>
    <xf numFmtId="1" fontId="7" fillId="0" borderId="0" xfId="0" applyNumberFormat="1" applyFont="1" applyAlignment="1">
      <alignment horizontal="center"/>
    </xf>
    <xf numFmtId="1" fontId="8" fillId="0" borderId="0" xfId="0" applyNumberFormat="1" applyFont="1" applyAlignment="1">
      <alignment horizontal="center"/>
    </xf>
    <xf numFmtId="1" fontId="9" fillId="0" borderId="11" xfId="0" applyNumberFormat="1" applyFont="1" applyBorder="1" applyAlignment="1">
      <alignment horizontal="center"/>
    </xf>
    <xf numFmtId="0" fontId="24" fillId="0" borderId="0" xfId="0" applyFont="1" applyAlignment="1">
      <alignment horizontal="center"/>
    </xf>
    <xf numFmtId="1" fontId="32" fillId="0" borderId="0" xfId="0" applyNumberFormat="1" applyFont="1" applyAlignment="1">
      <alignment horizontal="center"/>
    </xf>
    <xf numFmtId="1" fontId="30" fillId="0" borderId="1" xfId="0" applyNumberFormat="1" applyFont="1" applyBorder="1" applyAlignment="1">
      <alignment horizontal="center"/>
    </xf>
    <xf numFmtId="0" fontId="30" fillId="0" borderId="1" xfId="0" applyFont="1" applyBorder="1" applyAlignment="1">
      <alignment horizontal="center"/>
    </xf>
    <xf numFmtId="166" fontId="46" fillId="0" borderId="0" xfId="0" applyNumberFormat="1" applyFont="1"/>
    <xf numFmtId="1" fontId="30" fillId="0" borderId="1" xfId="0" applyNumberFormat="1" applyFont="1" applyBorder="1" applyAlignment="1">
      <alignment horizontal="center"/>
    </xf>
    <xf numFmtId="166" fontId="3" fillId="0" borderId="0" xfId="0" applyNumberFormat="1" applyFont="1"/>
    <xf numFmtId="0" fontId="24" fillId="0" borderId="0" xfId="0" applyFont="1" applyAlignment="1">
      <alignment horizontal="center"/>
    </xf>
    <xf numFmtId="1" fontId="32" fillId="0" borderId="0" xfId="0" applyNumberFormat="1" applyFont="1" applyAlignment="1">
      <alignment horizontal="center"/>
    </xf>
    <xf numFmtId="0" fontId="30" fillId="0" borderId="1" xfId="0" applyFont="1" applyBorder="1" applyAlignment="1">
      <alignment horizontal="center"/>
    </xf>
    <xf numFmtId="1" fontId="24" fillId="0" borderId="0" xfId="0" applyNumberFormat="1" applyFont="1" applyAlignment="1">
      <alignment horizontal="center"/>
    </xf>
    <xf numFmtId="1" fontId="24" fillId="0" borderId="0" xfId="0" applyNumberFormat="1" applyFont="1" applyAlignment="1">
      <alignment horizontal="center"/>
    </xf>
    <xf numFmtId="1" fontId="35" fillId="0" borderId="0" xfId="0" applyNumberFormat="1" applyFont="1" applyAlignment="1">
      <alignment wrapText="1"/>
    </xf>
    <xf numFmtId="1" fontId="48" fillId="0" borderId="0" xfId="0" applyNumberFormat="1" applyFont="1" applyAlignment="1">
      <alignment vertical="top"/>
    </xf>
    <xf numFmtId="0" fontId="2" fillId="0" borderId="0" xfId="0" applyFont="1" applyAlignment="1">
      <alignment vertical="top" wrapText="1"/>
    </xf>
    <xf numFmtId="0" fontId="50" fillId="0" borderId="0" xfId="0" applyFont="1" applyAlignment="1">
      <alignment vertical="top" wrapText="1"/>
    </xf>
    <xf numFmtId="166" fontId="51" fillId="0" borderId="0" xfId="0" applyNumberFormat="1" applyFont="1" applyAlignment="1">
      <alignment wrapText="1"/>
    </xf>
    <xf numFmtId="0" fontId="52" fillId="0" borderId="0" xfId="0" applyFont="1" applyAlignment="1">
      <alignment vertical="top" wrapText="1"/>
    </xf>
    <xf numFmtId="166" fontId="2" fillId="0" borderId="0" xfId="0" applyNumberFormat="1" applyFont="1"/>
    <xf numFmtId="166" fontId="54" fillId="0" borderId="0" xfId="0" applyNumberFormat="1" applyFont="1" applyAlignment="1">
      <alignment vertical="top" wrapText="1"/>
    </xf>
    <xf numFmtId="0" fontId="55" fillId="0" borderId="0" xfId="0" applyFont="1" applyAlignment="1">
      <alignment vertical="top" wrapText="1"/>
    </xf>
    <xf numFmtId="0" fontId="3" fillId="0" borderId="0" xfId="0" applyFont="1" applyAlignment="1">
      <alignment vertical="top"/>
    </xf>
    <xf numFmtId="1" fontId="35" fillId="0" borderId="0" xfId="0" applyNumberFormat="1" applyFont="1" applyAlignment="1">
      <alignment wrapText="1"/>
    </xf>
    <xf numFmtId="1" fontId="56" fillId="0" borderId="0" xfId="0" applyNumberFormat="1" applyFont="1" applyAlignment="1">
      <alignment vertical="top"/>
    </xf>
    <xf numFmtId="0" fontId="2" fillId="0" borderId="0" xfId="0" applyFont="1" applyAlignment="1">
      <alignment horizontal="center" vertical="center"/>
    </xf>
    <xf numFmtId="166" fontId="3" fillId="0" borderId="0" xfId="0" applyNumberFormat="1" applyFont="1" applyAlignment="1">
      <alignment horizontal="center"/>
    </xf>
    <xf numFmtId="164" fontId="3" fillId="0" borderId="9" xfId="0" applyNumberFormat="1" applyFont="1" applyBorder="1" applyAlignment="1">
      <alignment horizontal="center" vertical="center"/>
    </xf>
    <xf numFmtId="1" fontId="3" fillId="0" borderId="0" xfId="0" applyNumberFormat="1" applyFont="1" applyAlignment="1">
      <alignment horizontal="center"/>
    </xf>
    <xf numFmtId="0" fontId="2" fillId="0" borderId="0" xfId="0" applyFont="1" applyAlignment="1">
      <alignment horizontal="right"/>
    </xf>
    <xf numFmtId="0" fontId="6" fillId="0" borderId="0" xfId="0" applyFont="1"/>
    <xf numFmtId="0" fontId="7" fillId="0" borderId="0" xfId="0" applyFont="1"/>
    <xf numFmtId="0" fontId="30" fillId="0" borderId="10" xfId="0" applyFont="1" applyBorder="1" applyAlignment="1">
      <alignment horizontal="center" vertical="center"/>
    </xf>
    <xf numFmtId="0" fontId="24" fillId="0" borderId="9" xfId="0" applyFont="1" applyBorder="1" applyAlignment="1">
      <alignment horizontal="center" vertical="center"/>
    </xf>
    <xf numFmtId="1" fontId="11" fillId="0" borderId="10" xfId="0" applyNumberFormat="1" applyFont="1" applyBorder="1" applyAlignment="1">
      <alignment horizontal="center" vertical="center"/>
    </xf>
    <xf numFmtId="1" fontId="30" fillId="0" borderId="10" xfId="0" applyNumberFormat="1" applyFont="1" applyBorder="1" applyAlignment="1">
      <alignment horizontal="center" vertical="center"/>
    </xf>
    <xf numFmtId="1" fontId="32" fillId="0" borderId="9" xfId="0" applyNumberFormat="1" applyFont="1" applyBorder="1" applyAlignment="1">
      <alignment horizontal="center" vertical="center"/>
    </xf>
    <xf numFmtId="1" fontId="24" fillId="0" borderId="9" xfId="0" applyNumberFormat="1" applyFont="1" applyBorder="1" applyAlignment="1">
      <alignment horizontal="center" vertical="center"/>
    </xf>
    <xf numFmtId="1" fontId="35" fillId="0" borderId="9" xfId="0" applyNumberFormat="1" applyFont="1" applyBorder="1" applyAlignment="1">
      <alignment horizontal="center" vertical="center" wrapText="1"/>
    </xf>
    <xf numFmtId="1" fontId="59" fillId="0" borderId="9" xfId="0" applyNumberFormat="1" applyFont="1" applyBorder="1" applyAlignment="1">
      <alignment horizontal="center" vertical="center"/>
    </xf>
    <xf numFmtId="1" fontId="7" fillId="0" borderId="1" xfId="0" applyNumberFormat="1" applyFont="1" applyBorder="1" applyAlignment="1">
      <alignment wrapText="1"/>
    </xf>
    <xf numFmtId="166" fontId="2" fillId="0" borderId="7" xfId="0" applyNumberFormat="1" applyFont="1" applyBorder="1" applyAlignment="1"/>
    <xf numFmtId="1" fontId="7" fillId="0" borderId="8" xfId="0" applyNumberFormat="1" applyFont="1" applyBorder="1" applyAlignment="1">
      <alignment wrapText="1"/>
    </xf>
    <xf numFmtId="0" fontId="3" fillId="0" borderId="0" xfId="0" applyFont="1" applyAlignment="1"/>
    <xf numFmtId="0" fontId="6" fillId="2" borderId="18" xfId="0" applyFont="1" applyFill="1" applyBorder="1" applyAlignment="1">
      <alignment horizontal="center" vertical="center"/>
    </xf>
    <xf numFmtId="0" fontId="7" fillId="2" borderId="18" xfId="0" applyFont="1" applyFill="1" applyBorder="1" applyAlignment="1">
      <alignment horizontal="center" vertical="center"/>
    </xf>
    <xf numFmtId="0" fontId="2" fillId="2" borderId="18" xfId="0" applyFont="1" applyFill="1" applyBorder="1" applyAlignment="1"/>
    <xf numFmtId="0" fontId="3" fillId="0" borderId="18" xfId="0" applyFont="1" applyBorder="1" applyAlignment="1"/>
    <xf numFmtId="164" fontId="3" fillId="0" borderId="18" xfId="0" applyNumberFormat="1" applyFont="1" applyBorder="1" applyAlignment="1"/>
    <xf numFmtId="0" fontId="3" fillId="0" borderId="18" xfId="0" applyFont="1" applyBorder="1" applyAlignment="1">
      <alignment horizontal="center" vertical="center"/>
    </xf>
    <xf numFmtId="1" fontId="24" fillId="0" borderId="18" xfId="0" applyNumberFormat="1" applyFont="1" applyBorder="1" applyAlignment="1">
      <alignment horizontal="center"/>
    </xf>
    <xf numFmtId="1" fontId="11" fillId="0" borderId="18" xfId="0" applyNumberFormat="1" applyFont="1" applyBorder="1" applyAlignment="1">
      <alignment horizontal="center"/>
    </xf>
    <xf numFmtId="1" fontId="6" fillId="0" borderId="18" xfId="0" applyNumberFormat="1" applyFont="1" applyBorder="1" applyAlignment="1">
      <alignment horizontal="center" vertical="center"/>
    </xf>
    <xf numFmtId="1" fontId="61" fillId="0" borderId="18" xfId="0" applyNumberFormat="1" applyFont="1" applyBorder="1" applyAlignment="1">
      <alignment horizontal="center" vertical="center"/>
    </xf>
    <xf numFmtId="0" fontId="24" fillId="0" borderId="18" xfId="0" applyFont="1" applyBorder="1" applyAlignment="1">
      <alignment horizontal="center"/>
    </xf>
    <xf numFmtId="0" fontId="60" fillId="0" borderId="5" xfId="0" applyFont="1" applyBorder="1" applyAlignment="1"/>
    <xf numFmtId="164" fontId="3" fillId="0" borderId="18" xfId="0" applyNumberFormat="1" applyFont="1" applyBorder="1"/>
    <xf numFmtId="0" fontId="2" fillId="0" borderId="18" xfId="0" applyFont="1" applyBorder="1" applyAlignment="1">
      <alignment horizontal="right"/>
    </xf>
    <xf numFmtId="1" fontId="32" fillId="0" borderId="18" xfId="0" applyNumberFormat="1" applyFont="1" applyBorder="1" applyAlignment="1">
      <alignment horizontal="center"/>
    </xf>
    <xf numFmtId="0" fontId="2" fillId="0" borderId="18" xfId="0" applyFont="1" applyBorder="1" applyAlignment="1">
      <alignment horizontal="right" vertical="center"/>
    </xf>
    <xf numFmtId="1" fontId="7" fillId="0" borderId="18" xfId="0" applyNumberFormat="1" applyFont="1" applyBorder="1" applyAlignment="1">
      <alignment horizontal="center" vertical="center"/>
    </xf>
    <xf numFmtId="0" fontId="3" fillId="0" borderId="18" xfId="0" applyFont="1" applyBorder="1"/>
    <xf numFmtId="0" fontId="24" fillId="0" borderId="18" xfId="0" applyFont="1" applyBorder="1" applyAlignment="1">
      <alignment horizontal="center" vertical="center"/>
    </xf>
    <xf numFmtId="1" fontId="32" fillId="0" borderId="18" xfId="0" applyNumberFormat="1" applyFont="1" applyBorder="1" applyAlignment="1">
      <alignment horizontal="center" vertical="center"/>
    </xf>
    <xf numFmtId="0" fontId="60" fillId="0" borderId="6" xfId="0" applyFont="1" applyBorder="1" applyAlignment="1"/>
    <xf numFmtId="0" fontId="60" fillId="0" borderId="0" xfId="0" applyFont="1" applyAlignment="1">
      <alignment horizontal="right"/>
    </xf>
    <xf numFmtId="4" fontId="2" fillId="0" borderId="18" xfId="0" applyNumberFormat="1" applyFont="1" applyBorder="1" applyAlignment="1">
      <alignment horizontal="right"/>
    </xf>
    <xf numFmtId="164" fontId="3" fillId="0" borderId="0" xfId="0" applyNumberFormat="1" applyFont="1" applyAlignment="1">
      <alignment horizontal="right"/>
    </xf>
    <xf numFmtId="1" fontId="6" fillId="0" borderId="0" xfId="0" applyNumberFormat="1" applyFont="1" applyAlignment="1">
      <alignment horizontal="center"/>
    </xf>
    <xf numFmtId="1" fontId="7" fillId="0" borderId="0" xfId="0" applyNumberFormat="1" applyFont="1" applyAlignment="1">
      <alignment horizontal="center"/>
    </xf>
    <xf numFmtId="1" fontId="8" fillId="0" borderId="0" xfId="0" applyNumberFormat="1" applyFont="1" applyAlignment="1">
      <alignment horizontal="center"/>
    </xf>
    <xf numFmtId="1" fontId="9" fillId="0" borderId="11" xfId="0" applyNumberFormat="1" applyFont="1" applyBorder="1" applyAlignment="1">
      <alignment horizontal="center"/>
    </xf>
    <xf numFmtId="0" fontId="24" fillId="0" borderId="0" xfId="0" applyFont="1" applyAlignment="1">
      <alignment horizontal="center"/>
    </xf>
    <xf numFmtId="1" fontId="32" fillId="0" borderId="0" xfId="0" applyNumberFormat="1" applyFont="1" applyAlignment="1">
      <alignment horizontal="center"/>
    </xf>
    <xf numFmtId="1" fontId="30" fillId="0" borderId="1" xfId="0" applyNumberFormat="1" applyFont="1" applyBorder="1" applyAlignment="1">
      <alignment horizontal="center"/>
    </xf>
    <xf numFmtId="1" fontId="32" fillId="0" borderId="0" xfId="0" applyNumberFormat="1" applyFont="1" applyAlignment="1">
      <alignment horizontal="center"/>
    </xf>
    <xf numFmtId="0" fontId="32" fillId="0" borderId="0" xfId="0" applyFont="1" applyAlignment="1">
      <alignment horizontal="center"/>
    </xf>
    <xf numFmtId="0" fontId="30" fillId="0" borderId="1" xfId="0" applyFont="1" applyBorder="1" applyAlignment="1">
      <alignment horizontal="center"/>
    </xf>
    <xf numFmtId="0" fontId="30" fillId="0" borderId="1" xfId="0" applyFont="1" applyBorder="1" applyAlignment="1">
      <alignment horizontal="center"/>
    </xf>
    <xf numFmtId="0" fontId="32" fillId="0" borderId="0" xfId="0" applyFont="1" applyAlignment="1">
      <alignment horizontal="center"/>
    </xf>
    <xf numFmtId="0" fontId="24" fillId="0" borderId="0" xfId="0" applyFont="1" applyAlignment="1">
      <alignment horizontal="center"/>
    </xf>
    <xf numFmtId="1" fontId="11" fillId="0" borderId="0" xfId="0" applyNumberFormat="1" applyFont="1" applyAlignment="1">
      <alignment horizontal="center"/>
    </xf>
    <xf numFmtId="1" fontId="11" fillId="0" borderId="1" xfId="0" applyNumberFormat="1" applyFont="1" applyBorder="1" applyAlignment="1">
      <alignment horizontal="center"/>
    </xf>
    <xf numFmtId="1" fontId="30" fillId="0" borderId="1" xfId="0" applyNumberFormat="1" applyFont="1" applyBorder="1" applyAlignment="1">
      <alignment horizontal="center"/>
    </xf>
    <xf numFmtId="1" fontId="24" fillId="0" borderId="0" xfId="0" applyNumberFormat="1" applyFont="1" applyAlignment="1">
      <alignment horizontal="center"/>
    </xf>
    <xf numFmtId="1" fontId="24" fillId="0" borderId="0" xfId="0" applyNumberFormat="1" applyFont="1" applyAlignment="1">
      <alignment horizontal="center"/>
    </xf>
    <xf numFmtId="1" fontId="3" fillId="0" borderId="0" xfId="0" applyNumberFormat="1" applyFont="1" applyAlignment="1"/>
    <xf numFmtId="0" fontId="6" fillId="0" borderId="0" xfId="0" applyFont="1" applyAlignment="1">
      <alignment horizontal="center" vertical="center"/>
    </xf>
    <xf numFmtId="0" fontId="32" fillId="0" borderId="0" xfId="0" applyFont="1" applyAlignment="1"/>
    <xf numFmtId="1" fontId="3" fillId="0" borderId="0" xfId="0" applyNumberFormat="1" applyFont="1" applyAlignment="1"/>
    <xf numFmtId="1" fontId="65" fillId="0" borderId="0" xfId="0" applyNumberFormat="1" applyFont="1" applyAlignment="1"/>
    <xf numFmtId="1" fontId="66" fillId="0" borderId="0" xfId="0" applyNumberFormat="1" applyFont="1" applyAlignment="1"/>
    <xf numFmtId="0" fontId="11" fillId="0" borderId="1" xfId="0" applyFont="1" applyBorder="1" applyAlignment="1">
      <alignment horizontal="center" vertical="center"/>
    </xf>
    <xf numFmtId="1" fontId="11" fillId="0" borderId="9" xfId="0" applyNumberFormat="1" applyFont="1" applyBorder="1" applyAlignment="1">
      <alignment horizontal="center"/>
    </xf>
    <xf numFmtId="1" fontId="13" fillId="0" borderId="10" xfId="0" applyNumberFormat="1" applyFont="1" applyBorder="1" applyAlignment="1">
      <alignment horizontal="center" vertical="center"/>
    </xf>
    <xf numFmtId="0" fontId="3" fillId="2" borderId="0" xfId="0" applyFont="1" applyFill="1" applyAlignment="1">
      <alignment horizontal="right" vertical="center"/>
    </xf>
    <xf numFmtId="0" fontId="38" fillId="0" borderId="17" xfId="0" applyFont="1" applyBorder="1" applyAlignment="1">
      <alignment horizontal="center"/>
    </xf>
    <xf numFmtId="0" fontId="38" fillId="0" borderId="8" xfId="0" applyFont="1" applyBorder="1" applyAlignment="1">
      <alignment horizontal="center"/>
    </xf>
    <xf numFmtId="0" fontId="24" fillId="0" borderId="6" xfId="0" applyFont="1" applyBorder="1" applyAlignment="1">
      <alignment horizontal="center"/>
    </xf>
    <xf numFmtId="0" fontId="3" fillId="4" borderId="0" xfId="0" applyFont="1" applyFill="1"/>
    <xf numFmtId="2" fontId="12" fillId="4" borderId="0" xfId="0" applyNumberFormat="1" applyFont="1" applyFill="1" applyAlignment="1">
      <alignment horizontal="center" vertical="center"/>
    </xf>
    <xf numFmtId="1" fontId="13" fillId="0" borderId="1" xfId="0" applyNumberFormat="1" applyFont="1" applyBorder="1" applyAlignment="1">
      <alignment horizontal="center"/>
    </xf>
    <xf numFmtId="166" fontId="2" fillId="0" borderId="5" xfId="0" applyNumberFormat="1" applyFont="1" applyBorder="1"/>
    <xf numFmtId="0" fontId="2" fillId="0" borderId="0" xfId="0" applyFont="1" applyAlignment="1">
      <alignment horizontal="left"/>
    </xf>
    <xf numFmtId="0" fontId="3" fillId="0" borderId="0" xfId="0" applyFont="1"/>
    <xf numFmtId="0" fontId="3" fillId="0" borderId="0" xfId="0" applyFont="1" applyAlignment="1">
      <alignment horizontal="left" vertical="center" wrapText="1"/>
    </xf>
    <xf numFmtId="0" fontId="3" fillId="0" borderId="0" xfId="0" applyFont="1" applyAlignment="1">
      <alignment horizontal="center" vertical="center" wrapText="1"/>
    </xf>
    <xf numFmtId="0" fontId="71" fillId="0" borderId="0" xfId="0" applyFont="1" applyAlignment="1">
      <alignment horizontal="left"/>
    </xf>
    <xf numFmtId="0" fontId="24" fillId="0" borderId="0" xfId="0" applyFont="1"/>
    <xf numFmtId="0" fontId="32" fillId="0" borderId="0" xfId="0" applyFont="1"/>
    <xf numFmtId="0" fontId="72" fillId="0" borderId="0" xfId="0" applyFont="1" applyAlignment="1">
      <alignment horizontal="center"/>
    </xf>
    <xf numFmtId="0" fontId="71" fillId="0" borderId="0" xfId="0" applyFont="1" applyAlignment="1">
      <alignment horizontal="center"/>
    </xf>
    <xf numFmtId="0" fontId="64" fillId="0" borderId="0" xfId="0" applyFont="1" applyAlignment="1">
      <alignment horizontal="left"/>
    </xf>
    <xf numFmtId="0" fontId="73" fillId="0" borderId="0" xfId="0" applyFont="1" applyAlignment="1">
      <alignment horizontal="left"/>
    </xf>
    <xf numFmtId="1" fontId="11" fillId="0" borderId="0" xfId="0" applyNumberFormat="1" applyFont="1" applyAlignment="1">
      <alignment horizontal="center" vertical="center"/>
    </xf>
    <xf numFmtId="1" fontId="11" fillId="0" borderId="9" xfId="0" applyNumberFormat="1" applyFont="1" applyBorder="1" applyAlignment="1">
      <alignment horizontal="center" vertical="center"/>
    </xf>
    <xf numFmtId="0" fontId="11" fillId="0" borderId="0" xfId="0" applyFont="1" applyAlignment="1">
      <alignment horizontal="center"/>
    </xf>
    <xf numFmtId="0" fontId="11" fillId="0" borderId="1" xfId="0" applyFont="1" applyBorder="1" applyAlignment="1">
      <alignment horizontal="center"/>
    </xf>
    <xf numFmtId="164" fontId="3" fillId="3" borderId="0" xfId="0" applyNumberFormat="1" applyFont="1" applyFill="1" applyAlignment="1">
      <alignment horizontal="left"/>
    </xf>
    <xf numFmtId="1" fontId="11" fillId="3" borderId="0" xfId="0" applyNumberFormat="1" applyFont="1" applyFill="1" applyAlignment="1">
      <alignment horizontal="center"/>
    </xf>
    <xf numFmtId="1" fontId="13" fillId="3" borderId="1" xfId="0" applyNumberFormat="1" applyFont="1" applyFill="1" applyBorder="1" applyAlignment="1">
      <alignment horizontal="center"/>
    </xf>
    <xf numFmtId="1" fontId="11" fillId="3" borderId="1" xfId="0" applyNumberFormat="1" applyFont="1" applyFill="1" applyBorder="1" applyAlignment="1">
      <alignment horizontal="center"/>
    </xf>
    <xf numFmtId="0" fontId="11" fillId="3" borderId="0" xfId="0" applyFont="1" applyFill="1" applyAlignment="1">
      <alignment horizontal="center"/>
    </xf>
    <xf numFmtId="0" fontId="11" fillId="3" borderId="1" xfId="0" applyFont="1" applyFill="1" applyBorder="1" applyAlignment="1">
      <alignment horizontal="center"/>
    </xf>
    <xf numFmtId="1" fontId="3" fillId="3" borderId="0" xfId="0" applyNumberFormat="1" applyFont="1" applyFill="1"/>
    <xf numFmtId="1" fontId="9" fillId="0" borderId="1" xfId="0" applyNumberFormat="1" applyFont="1" applyBorder="1" applyAlignment="1">
      <alignment horizontal="center" vertical="center"/>
    </xf>
    <xf numFmtId="1" fontId="3" fillId="0" borderId="0" xfId="0" applyNumberFormat="1" applyFont="1" applyAlignment="1">
      <alignment horizontal="left" vertical="center"/>
    </xf>
    <xf numFmtId="1" fontId="74" fillId="0" borderId="9" xfId="0" applyNumberFormat="1" applyFont="1" applyBorder="1" applyAlignment="1"/>
    <xf numFmtId="1" fontId="9" fillId="0" borderId="10" xfId="0" applyNumberFormat="1" applyFont="1" applyBorder="1" applyAlignment="1">
      <alignment horizontal="center" vertical="center"/>
    </xf>
    <xf numFmtId="0" fontId="11" fillId="0" borderId="10" xfId="0" applyFont="1" applyBorder="1" applyAlignment="1">
      <alignment horizontal="center" vertical="center"/>
    </xf>
    <xf numFmtId="1" fontId="75" fillId="0" borderId="9" xfId="0" applyNumberFormat="1" applyFont="1" applyBorder="1" applyAlignment="1"/>
    <xf numFmtId="0" fontId="6" fillId="2" borderId="5" xfId="0" applyFont="1" applyFill="1" applyBorder="1" applyAlignment="1">
      <alignment horizontal="center"/>
    </xf>
    <xf numFmtId="0" fontId="7" fillId="2" borderId="0" xfId="0" applyFont="1" applyFill="1" applyAlignment="1">
      <alignment horizontal="center"/>
    </xf>
    <xf numFmtId="0" fontId="8" fillId="2" borderId="1" xfId="0" applyFont="1" applyFill="1" applyBorder="1" applyAlignment="1">
      <alignment horizontal="center"/>
    </xf>
    <xf numFmtId="0" fontId="6" fillId="2" borderId="5" xfId="0" applyFont="1" applyFill="1" applyBorder="1" applyAlignment="1">
      <alignment horizontal="center"/>
    </xf>
    <xf numFmtId="0" fontId="7" fillId="2" borderId="0" xfId="0" applyFont="1" applyFill="1" applyAlignment="1">
      <alignment horizontal="center"/>
    </xf>
    <xf numFmtId="0" fontId="8" fillId="2" borderId="1" xfId="0" applyFont="1" applyFill="1" applyBorder="1" applyAlignment="1">
      <alignment horizontal="center"/>
    </xf>
    <xf numFmtId="1" fontId="6" fillId="3" borderId="0" xfId="0" applyNumberFormat="1" applyFont="1" applyFill="1" applyAlignment="1">
      <alignment horizontal="center" vertical="center"/>
    </xf>
    <xf numFmtId="1" fontId="7" fillId="3" borderId="0" xfId="0" applyNumberFormat="1" applyFont="1" applyFill="1" applyAlignment="1">
      <alignment horizontal="center" vertical="center"/>
    </xf>
    <xf numFmtId="1" fontId="8" fillId="3" borderId="0" xfId="0" applyNumberFormat="1" applyFont="1" applyFill="1" applyAlignment="1">
      <alignment horizontal="center" vertical="center"/>
    </xf>
    <xf numFmtId="0" fontId="8" fillId="0" borderId="0" xfId="0" applyFont="1" applyAlignment="1">
      <alignment horizontal="center" vertical="center"/>
    </xf>
    <xf numFmtId="1" fontId="6" fillId="0" borderId="0" xfId="0" applyNumberFormat="1" applyFont="1" applyAlignment="1">
      <alignment horizontal="right" vertical="center"/>
    </xf>
    <xf numFmtId="1" fontId="7" fillId="0" borderId="0" xfId="0" applyNumberFormat="1" applyFont="1" applyAlignment="1">
      <alignment horizontal="right" vertical="center"/>
    </xf>
    <xf numFmtId="1" fontId="8" fillId="0" borderId="0" xfId="0" applyNumberFormat="1" applyFont="1" applyAlignment="1">
      <alignment horizontal="right" vertical="center"/>
    </xf>
    <xf numFmtId="1" fontId="9" fillId="0" borderId="1" xfId="0" applyNumberFormat="1" applyFont="1" applyBorder="1" applyAlignment="1">
      <alignment horizontal="right" vertical="center"/>
    </xf>
    <xf numFmtId="0" fontId="11" fillId="0" borderId="5" xfId="0" applyFont="1" applyBorder="1" applyAlignment="1">
      <alignment horizontal="center"/>
    </xf>
    <xf numFmtId="1" fontId="38" fillId="0" borderId="1" xfId="0" applyNumberFormat="1" applyFont="1" applyBorder="1" applyAlignment="1">
      <alignment horizontal="right" vertical="center"/>
    </xf>
    <xf numFmtId="0" fontId="18" fillId="0" borderId="0" xfId="0" applyFont="1" applyAlignment="1">
      <alignment horizontal="center" vertical="center"/>
    </xf>
    <xf numFmtId="0" fontId="11" fillId="0" borderId="5" xfId="0" applyFont="1" applyBorder="1" applyAlignment="1">
      <alignment horizontal="center" vertical="center"/>
    </xf>
    <xf numFmtId="0" fontId="11" fillId="0" borderId="0" xfId="0" applyFont="1" applyAlignment="1">
      <alignment horizontal="center" vertical="center"/>
    </xf>
    <xf numFmtId="0" fontId="11" fillId="0" borderId="1" xfId="0" applyFont="1" applyBorder="1" applyAlignment="1">
      <alignment horizontal="center" vertical="center"/>
    </xf>
    <xf numFmtId="1" fontId="6" fillId="0" borderId="9" xfId="0" applyNumberFormat="1" applyFont="1" applyBorder="1" applyAlignment="1">
      <alignment horizontal="right" vertical="center"/>
    </xf>
    <xf numFmtId="1" fontId="7" fillId="0" borderId="9" xfId="0" applyNumberFormat="1" applyFont="1" applyBorder="1" applyAlignment="1">
      <alignment horizontal="right" vertical="center"/>
    </xf>
    <xf numFmtId="1" fontId="8" fillId="0" borderId="9" xfId="0" applyNumberFormat="1" applyFont="1" applyBorder="1" applyAlignment="1">
      <alignment horizontal="right" vertical="center"/>
    </xf>
    <xf numFmtId="1" fontId="9" fillId="0" borderId="10" xfId="0" applyNumberFormat="1" applyFont="1" applyBorder="1" applyAlignment="1">
      <alignment horizontal="right" vertical="center"/>
    </xf>
    <xf numFmtId="1" fontId="11" fillId="3" borderId="22" xfId="0" applyNumberFormat="1" applyFont="1" applyFill="1" applyBorder="1" applyAlignment="1">
      <alignment horizontal="center"/>
    </xf>
    <xf numFmtId="1" fontId="11" fillId="3" borderId="9" xfId="0" applyNumberFormat="1" applyFont="1" applyFill="1" applyBorder="1" applyAlignment="1">
      <alignment horizontal="center"/>
    </xf>
    <xf numFmtId="1" fontId="11" fillId="3" borderId="10" xfId="0" applyNumberFormat="1" applyFont="1" applyFill="1" applyBorder="1" applyAlignment="1">
      <alignment horizontal="center"/>
    </xf>
    <xf numFmtId="1" fontId="38" fillId="0" borderId="10" xfId="0" applyNumberFormat="1" applyFont="1" applyBorder="1" applyAlignment="1">
      <alignment horizontal="right" vertical="center"/>
    </xf>
    <xf numFmtId="1" fontId="11" fillId="3" borderId="22" xfId="0" applyNumberFormat="1" applyFont="1" applyFill="1" applyBorder="1" applyAlignment="1">
      <alignment horizontal="center" vertical="center"/>
    </xf>
    <xf numFmtId="1" fontId="11" fillId="3" borderId="10"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0" xfId="0" applyFont="1" applyFill="1" applyAlignment="1">
      <alignment horizontal="center" vertical="center"/>
    </xf>
    <xf numFmtId="0" fontId="11" fillId="3" borderId="1" xfId="0" applyFont="1" applyFill="1" applyBorder="1" applyAlignment="1">
      <alignment horizontal="center" vertical="center"/>
    </xf>
    <xf numFmtId="1" fontId="35" fillId="0" borderId="0" xfId="0" applyNumberFormat="1" applyFont="1" applyAlignment="1"/>
    <xf numFmtId="1" fontId="76" fillId="4" borderId="0" xfId="0" applyNumberFormat="1" applyFont="1" applyFill="1" applyAlignment="1">
      <alignment horizontal="left"/>
    </xf>
    <xf numFmtId="1" fontId="77" fillId="0" borderId="0" xfId="0" applyNumberFormat="1" applyFont="1" applyAlignment="1"/>
    <xf numFmtId="1" fontId="11" fillId="0" borderId="5" xfId="0" applyNumberFormat="1" applyFont="1" applyBorder="1" applyAlignment="1">
      <alignment horizontal="center" vertical="center"/>
    </xf>
    <xf numFmtId="1" fontId="11" fillId="0" borderId="1" xfId="0" applyNumberFormat="1" applyFont="1" applyBorder="1" applyAlignment="1">
      <alignment horizontal="center" vertical="center"/>
    </xf>
    <xf numFmtId="1" fontId="11" fillId="3" borderId="5" xfId="0" applyNumberFormat="1" applyFont="1" applyFill="1" applyBorder="1" applyAlignment="1">
      <alignment horizontal="center" vertical="center"/>
    </xf>
    <xf numFmtId="1" fontId="11" fillId="3" borderId="1" xfId="0" applyNumberFormat="1" applyFont="1" applyFill="1" applyBorder="1" applyAlignment="1">
      <alignment horizontal="center" vertical="center"/>
    </xf>
    <xf numFmtId="1" fontId="11" fillId="0" borderId="5" xfId="0" applyNumberFormat="1" applyFont="1" applyBorder="1" applyAlignment="1">
      <alignment horizontal="center"/>
    </xf>
    <xf numFmtId="0" fontId="30" fillId="0" borderId="0" xfId="0" applyFont="1" applyAlignment="1">
      <alignment horizontal="center" vertical="center"/>
    </xf>
    <xf numFmtId="1" fontId="3" fillId="0" borderId="0" xfId="0" applyNumberFormat="1" applyFont="1" applyAlignment="1">
      <alignment vertical="center"/>
    </xf>
    <xf numFmtId="0" fontId="78" fillId="0" borderId="0" xfId="0" applyFont="1" applyAlignment="1">
      <alignment horizontal="center" vertical="center"/>
    </xf>
    <xf numFmtId="1" fontId="11" fillId="0" borderId="22" xfId="0" applyNumberFormat="1" applyFont="1" applyBorder="1" applyAlignment="1">
      <alignment horizontal="center"/>
    </xf>
    <xf numFmtId="1" fontId="11" fillId="0" borderId="10" xfId="0" applyNumberFormat="1" applyFont="1" applyBorder="1" applyAlignment="1">
      <alignment horizontal="center"/>
    </xf>
    <xf numFmtId="0" fontId="78" fillId="0" borderId="9" xfId="0" applyFont="1" applyBorder="1" applyAlignment="1">
      <alignment horizontal="center" vertical="center"/>
    </xf>
    <xf numFmtId="0" fontId="30" fillId="0" borderId="9" xfId="0" applyFont="1" applyBorder="1" applyAlignment="1">
      <alignment horizontal="center" vertical="center"/>
    </xf>
    <xf numFmtId="0" fontId="11" fillId="0" borderId="7" xfId="0" applyFont="1" applyBorder="1" applyAlignment="1">
      <alignment horizontal="center" vertical="center"/>
    </xf>
    <xf numFmtId="1" fontId="11" fillId="0" borderId="22" xfId="0" applyNumberFormat="1" applyFont="1" applyBorder="1" applyAlignment="1">
      <alignment horizontal="center" vertical="center"/>
    </xf>
    <xf numFmtId="1" fontId="9" fillId="0" borderId="1" xfId="0" applyNumberFormat="1" applyFont="1" applyBorder="1" applyAlignment="1">
      <alignment horizontal="center"/>
    </xf>
    <xf numFmtId="0" fontId="32" fillId="0" borderId="0" xfId="0" applyFont="1" applyAlignment="1">
      <alignment horizontal="center"/>
    </xf>
    <xf numFmtId="1" fontId="79" fillId="0" borderId="0" xfId="0" applyNumberFormat="1" applyFont="1" applyAlignment="1"/>
    <xf numFmtId="164" fontId="3" fillId="0" borderId="0" xfId="0" applyNumberFormat="1" applyFont="1" applyAlignment="1">
      <alignment horizontal="right" vertical="center"/>
    </xf>
    <xf numFmtId="0" fontId="24" fillId="0" borderId="0" xfId="0" applyFont="1" applyAlignment="1">
      <alignment horizontal="center" vertical="center"/>
    </xf>
    <xf numFmtId="0" fontId="30" fillId="0" borderId="1" xfId="0" applyFont="1" applyBorder="1" applyAlignment="1">
      <alignment horizontal="center" vertical="center"/>
    </xf>
    <xf numFmtId="0" fontId="32" fillId="0" borderId="0" xfId="0" applyFont="1" applyAlignment="1">
      <alignment horizontal="center" vertical="center"/>
    </xf>
    <xf numFmtId="1" fontId="3" fillId="0" borderId="0" xfId="0" applyNumberFormat="1" applyFont="1" applyAlignment="1">
      <alignment vertical="center"/>
    </xf>
    <xf numFmtId="1" fontId="80" fillId="0" borderId="0" xfId="0" applyNumberFormat="1" applyFont="1" applyAlignment="1">
      <alignment vertical="center"/>
    </xf>
    <xf numFmtId="164" fontId="3" fillId="0" borderId="0" xfId="0" applyNumberFormat="1" applyFont="1" applyAlignment="1">
      <alignment horizontal="right"/>
    </xf>
    <xf numFmtId="0" fontId="2" fillId="2" borderId="8" xfId="0" applyFont="1" applyFill="1" applyBorder="1" applyAlignment="1">
      <alignment horizontal="left"/>
    </xf>
    <xf numFmtId="0" fontId="13" fillId="0" borderId="1" xfId="0" applyFont="1" applyBorder="1" applyAlignment="1">
      <alignment horizontal="center" vertical="center"/>
    </xf>
    <xf numFmtId="164" fontId="3" fillId="3" borderId="0" xfId="0" applyNumberFormat="1" applyFont="1" applyFill="1" applyAlignment="1">
      <alignment horizontal="right"/>
    </xf>
    <xf numFmtId="1" fontId="6" fillId="3" borderId="0" xfId="0" applyNumberFormat="1" applyFont="1" applyFill="1" applyAlignment="1">
      <alignment horizontal="center"/>
    </xf>
    <xf numFmtId="1" fontId="7" fillId="3" borderId="0" xfId="0" applyNumberFormat="1" applyFont="1" applyFill="1" applyAlignment="1">
      <alignment horizontal="center"/>
    </xf>
    <xf numFmtId="1" fontId="8" fillId="3" borderId="0" xfId="0" applyNumberFormat="1" applyFont="1" applyFill="1" applyAlignment="1">
      <alignment horizontal="center"/>
    </xf>
    <xf numFmtId="1" fontId="9" fillId="3" borderId="1" xfId="0" applyNumberFormat="1" applyFont="1" applyFill="1" applyBorder="1" applyAlignment="1">
      <alignment horizontal="center"/>
    </xf>
    <xf numFmtId="0" fontId="24" fillId="3" borderId="0" xfId="0" applyFont="1" applyFill="1" applyAlignment="1">
      <alignment horizontal="center"/>
    </xf>
    <xf numFmtId="0" fontId="32" fillId="3" borderId="0" xfId="0" applyFont="1" applyFill="1" applyAlignment="1">
      <alignment horizontal="center"/>
    </xf>
    <xf numFmtId="0" fontId="30" fillId="3" borderId="1" xfId="0" applyFont="1" applyFill="1" applyBorder="1" applyAlignment="1">
      <alignment horizontal="center"/>
    </xf>
    <xf numFmtId="0" fontId="24" fillId="3" borderId="0" xfId="0" applyFont="1" applyFill="1" applyAlignment="1">
      <alignment horizontal="center"/>
    </xf>
    <xf numFmtId="0" fontId="13" fillId="0" borderId="10" xfId="0" applyFont="1" applyBorder="1" applyAlignment="1">
      <alignment horizontal="center" vertical="center"/>
    </xf>
    <xf numFmtId="0" fontId="32" fillId="3" borderId="0" xfId="0" applyFont="1" applyFill="1" applyAlignment="1">
      <alignment horizontal="center"/>
    </xf>
    <xf numFmtId="0" fontId="11" fillId="0" borderId="9" xfId="0" applyFont="1" applyBorder="1" applyAlignment="1">
      <alignment horizontal="center"/>
    </xf>
    <xf numFmtId="0" fontId="30" fillId="3" borderId="1" xfId="0" applyFont="1" applyFill="1" applyBorder="1" applyAlignment="1">
      <alignment horizontal="center"/>
    </xf>
    <xf numFmtId="0" fontId="11" fillId="0" borderId="10" xfId="0" applyFont="1" applyBorder="1" applyAlignment="1">
      <alignment horizontal="center"/>
    </xf>
    <xf numFmtId="0" fontId="11" fillId="3" borderId="0" xfId="0" applyFont="1" applyFill="1" applyAlignment="1">
      <alignment horizontal="center"/>
    </xf>
    <xf numFmtId="0" fontId="11" fillId="3" borderId="1" xfId="0" applyFont="1" applyFill="1" applyBorder="1" applyAlignment="1">
      <alignment horizontal="center"/>
    </xf>
    <xf numFmtId="0" fontId="11" fillId="3" borderId="9" xfId="0" applyFont="1" applyFill="1" applyBorder="1" applyAlignment="1">
      <alignment horizontal="center" vertical="center"/>
    </xf>
    <xf numFmtId="0" fontId="11" fillId="3" borderId="10" xfId="0" applyFont="1" applyFill="1" applyBorder="1" applyAlignment="1">
      <alignment horizontal="center" vertical="center"/>
    </xf>
    <xf numFmtId="1" fontId="3" fillId="3" borderId="0" xfId="0" applyNumberFormat="1" applyFont="1" applyFill="1" applyAlignment="1"/>
    <xf numFmtId="0" fontId="6" fillId="2" borderId="1" xfId="0" applyFont="1" applyFill="1" applyBorder="1" applyAlignment="1">
      <alignment horizontal="center"/>
    </xf>
    <xf numFmtId="0" fontId="6" fillId="0" borderId="0" xfId="0" applyFont="1" applyAlignment="1">
      <alignment horizontal="center"/>
    </xf>
    <xf numFmtId="0" fontId="24" fillId="0" borderId="5" xfId="0" applyFont="1" applyBorder="1" applyAlignment="1">
      <alignment horizontal="center"/>
    </xf>
    <xf numFmtId="1" fontId="6" fillId="0" borderId="0" xfId="0" applyNumberFormat="1" applyFont="1" applyAlignment="1">
      <alignment horizontal="right" vertical="center"/>
    </xf>
    <xf numFmtId="1" fontId="7" fillId="0" borderId="0" xfId="0" applyNumberFormat="1" applyFont="1" applyAlignment="1">
      <alignment horizontal="right" vertical="center"/>
    </xf>
    <xf numFmtId="1" fontId="8" fillId="0" borderId="0" xfId="0" applyNumberFormat="1" applyFont="1" applyAlignment="1">
      <alignment horizontal="right" vertical="center"/>
    </xf>
    <xf numFmtId="1" fontId="9" fillId="0" borderId="1" xfId="0" applyNumberFormat="1" applyFont="1" applyBorder="1" applyAlignment="1">
      <alignment horizontal="right" vertical="center"/>
    </xf>
    <xf numFmtId="0" fontId="24" fillId="0" borderId="5" xfId="0" applyFont="1" applyBorder="1" applyAlignment="1">
      <alignment horizontal="center" vertical="center"/>
    </xf>
    <xf numFmtId="0" fontId="24" fillId="0" borderId="5" xfId="0" applyFont="1" applyBorder="1" applyAlignment="1">
      <alignment horizontal="center"/>
    </xf>
    <xf numFmtId="0" fontId="24" fillId="0" borderId="5" xfId="0" applyFont="1" applyBorder="1" applyAlignment="1">
      <alignment horizontal="center" vertical="center"/>
    </xf>
    <xf numFmtId="1" fontId="24" fillId="0" borderId="5" xfId="0" applyNumberFormat="1" applyFont="1" applyBorder="1" applyAlignment="1">
      <alignment horizontal="center" vertical="center"/>
    </xf>
    <xf numFmtId="164" fontId="3" fillId="0" borderId="15" xfId="0" applyNumberFormat="1" applyFont="1" applyBorder="1" applyAlignment="1">
      <alignment horizontal="left" vertical="center"/>
    </xf>
    <xf numFmtId="1" fontId="6" fillId="0" borderId="15" xfId="0" applyNumberFormat="1" applyFont="1" applyBorder="1" applyAlignment="1">
      <alignment horizontal="right" vertical="center"/>
    </xf>
    <xf numFmtId="1" fontId="7" fillId="0" borderId="15" xfId="0" applyNumberFormat="1" applyFont="1" applyBorder="1" applyAlignment="1">
      <alignment horizontal="right" vertical="center"/>
    </xf>
    <xf numFmtId="1" fontId="8" fillId="0" borderId="15" xfId="0" applyNumberFormat="1" applyFont="1" applyBorder="1" applyAlignment="1">
      <alignment horizontal="right" vertical="center"/>
    </xf>
    <xf numFmtId="1" fontId="9" fillId="0" borderId="16" xfId="0" applyNumberFormat="1" applyFont="1" applyBorder="1" applyAlignment="1">
      <alignment horizontal="right" vertical="center"/>
    </xf>
    <xf numFmtId="0" fontId="24" fillId="0" borderId="15" xfId="0" applyFont="1" applyBorder="1" applyAlignment="1">
      <alignment horizontal="center" vertical="center"/>
    </xf>
    <xf numFmtId="0" fontId="32" fillId="0" borderId="15" xfId="0" applyFont="1" applyBorder="1" applyAlignment="1">
      <alignment horizontal="center" vertical="center"/>
    </xf>
    <xf numFmtId="0" fontId="30" fillId="0" borderId="16" xfId="0" applyFont="1" applyBorder="1" applyAlignment="1">
      <alignment horizontal="center" vertical="center"/>
    </xf>
    <xf numFmtId="0" fontId="24" fillId="0" borderId="23"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5" xfId="0" applyFont="1" applyBorder="1" applyAlignment="1">
      <alignment horizontal="center" vertical="center"/>
    </xf>
    <xf numFmtId="0" fontId="30" fillId="0" borderId="15" xfId="0" applyFont="1" applyBorder="1" applyAlignment="1">
      <alignment horizontal="center" vertical="center"/>
    </xf>
    <xf numFmtId="1" fontId="38" fillId="0" borderId="16" xfId="0" applyNumberFormat="1" applyFont="1" applyBorder="1" applyAlignment="1">
      <alignment horizontal="right" vertical="center"/>
    </xf>
    <xf numFmtId="1" fontId="30" fillId="0" borderId="16" xfId="0" applyNumberFormat="1" applyFont="1" applyBorder="1" applyAlignment="1">
      <alignment horizontal="center" vertical="center"/>
    </xf>
    <xf numFmtId="1" fontId="24" fillId="0" borderId="15" xfId="0" applyNumberFormat="1" applyFont="1" applyBorder="1" applyAlignment="1">
      <alignment horizontal="center" vertical="center"/>
    </xf>
    <xf numFmtId="0" fontId="11" fillId="0" borderId="16" xfId="0" applyFont="1" applyBorder="1" applyAlignment="1">
      <alignment horizontal="center" vertical="center"/>
    </xf>
    <xf numFmtId="0" fontId="3" fillId="0" borderId="15" xfId="0" applyFont="1" applyBorder="1"/>
    <xf numFmtId="1" fontId="3" fillId="0" borderId="15" xfId="0" applyNumberFormat="1" applyFont="1" applyBorder="1" applyAlignment="1">
      <alignment horizontal="left" vertical="center"/>
    </xf>
    <xf numFmtId="1" fontId="3" fillId="0" borderId="15" xfId="0" applyNumberFormat="1" applyFont="1" applyBorder="1" applyAlignment="1"/>
    <xf numFmtId="0" fontId="2" fillId="0" borderId="1" xfId="0" applyFont="1" applyBorder="1" applyAlignment="1">
      <alignment horizontal="center" vertical="center"/>
    </xf>
    <xf numFmtId="0" fontId="6" fillId="0" borderId="0" xfId="0" applyFont="1" applyAlignment="1">
      <alignment horizontal="center" vertical="center"/>
    </xf>
    <xf numFmtId="0" fontId="18" fillId="0" borderId="5" xfId="0" applyFont="1" applyBorder="1" applyAlignment="1">
      <alignment horizontal="center"/>
    </xf>
    <xf numFmtId="0" fontId="18" fillId="0" borderId="1" xfId="0" applyFont="1" applyBorder="1" applyAlignment="1">
      <alignment horizontal="center"/>
    </xf>
    <xf numFmtId="0" fontId="24" fillId="0" borderId="9" xfId="0" applyFont="1" applyBorder="1" applyAlignment="1">
      <alignment horizontal="center"/>
    </xf>
    <xf numFmtId="0" fontId="18" fillId="0" borderId="22" xfId="0" applyFont="1" applyBorder="1" applyAlignment="1">
      <alignment horizontal="center"/>
    </xf>
    <xf numFmtId="0" fontId="18" fillId="0" borderId="10" xfId="0" applyFont="1" applyBorder="1" applyAlignment="1">
      <alignment horizontal="center"/>
    </xf>
    <xf numFmtId="0" fontId="3" fillId="0" borderId="0" xfId="0" applyFont="1" applyAlignment="1">
      <alignment horizontal="center" vertical="center"/>
    </xf>
    <xf numFmtId="0" fontId="2" fillId="2" borderId="2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4" xfId="0" applyFont="1" applyFill="1" applyBorder="1" applyAlignment="1">
      <alignment vertical="center"/>
    </xf>
    <xf numFmtId="0" fontId="2" fillId="0" borderId="0" xfId="0" applyFont="1" applyAlignment="1">
      <alignment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3" fillId="0" borderId="26" xfId="0" applyFont="1" applyBorder="1" applyAlignment="1">
      <alignment horizontal="center" vertical="center"/>
    </xf>
    <xf numFmtId="0" fontId="3" fillId="0" borderId="10" xfId="0" applyFont="1" applyBorder="1" applyAlignment="1">
      <alignment horizontal="center" vertical="center"/>
    </xf>
    <xf numFmtId="0" fontId="2" fillId="0" borderId="20" xfId="0" applyFont="1" applyBorder="1" applyAlignment="1">
      <alignment horizontal="center" vertical="center"/>
    </xf>
    <xf numFmtId="0" fontId="24" fillId="0" borderId="22" xfId="0" applyFont="1" applyBorder="1" applyAlignment="1">
      <alignment horizontal="center" vertical="center"/>
    </xf>
    <xf numFmtId="1" fontId="3" fillId="0" borderId="9" xfId="0" applyNumberFormat="1" applyFont="1" applyBorder="1" applyAlignment="1"/>
    <xf numFmtId="0" fontId="5" fillId="0" borderId="0" xfId="0" applyFont="1"/>
    <xf numFmtId="0" fontId="3" fillId="2" borderId="0" xfId="0" applyFont="1" applyFill="1" applyAlignment="1"/>
    <xf numFmtId="0" fontId="3" fillId="2" borderId="1" xfId="0" applyFont="1" applyFill="1" applyBorder="1" applyAlignment="1">
      <alignment horizontal="right"/>
    </xf>
    <xf numFmtId="1" fontId="6" fillId="0" borderId="9" xfId="0" applyNumberFormat="1" applyFont="1" applyBorder="1" applyAlignment="1">
      <alignment horizontal="center"/>
    </xf>
    <xf numFmtId="1" fontId="7" fillId="0" borderId="9" xfId="0" applyNumberFormat="1" applyFont="1" applyBorder="1" applyAlignment="1">
      <alignment horizontal="center"/>
    </xf>
    <xf numFmtId="1" fontId="8" fillId="0" borderId="9" xfId="0" applyNumberFormat="1" applyFont="1" applyBorder="1" applyAlignment="1">
      <alignment horizontal="center"/>
    </xf>
    <xf numFmtId="0" fontId="7" fillId="0" borderId="0" xfId="0" applyFont="1" applyAlignment="1">
      <alignment horizontal="left" vertical="center"/>
    </xf>
    <xf numFmtId="0" fontId="85" fillId="0" borderId="0" xfId="0" applyFont="1" applyAlignment="1">
      <alignment horizontal="left" vertical="center"/>
    </xf>
    <xf numFmtId="0" fontId="85" fillId="0" borderId="0" xfId="0" applyFont="1" applyAlignment="1">
      <alignment horizontal="right" vertical="center"/>
    </xf>
    <xf numFmtId="0" fontId="86" fillId="0" borderId="0" xfId="0" applyFont="1" applyAlignment="1">
      <alignment horizontal="left" vertical="center"/>
    </xf>
    <xf numFmtId="1" fontId="86" fillId="0" borderId="0" xfId="0" applyNumberFormat="1" applyFont="1" applyAlignment="1">
      <alignment horizontal="right" vertical="center"/>
    </xf>
    <xf numFmtId="0" fontId="4" fillId="0" borderId="0" xfId="0" applyFont="1" applyAlignment="1">
      <alignment horizontal="left" vertical="center"/>
    </xf>
    <xf numFmtId="0" fontId="4" fillId="0" borderId="0" xfId="0" applyFont="1" applyAlignment="1">
      <alignment horizontal="right" vertical="center"/>
    </xf>
    <xf numFmtId="0" fontId="15" fillId="0" borderId="0" xfId="0" applyFont="1" applyAlignment="1">
      <alignment horizontal="left"/>
    </xf>
    <xf numFmtId="0" fontId="15" fillId="0" borderId="0" xfId="0" applyFont="1" applyAlignment="1">
      <alignment horizontal="right"/>
    </xf>
    <xf numFmtId="0" fontId="87" fillId="0" borderId="0" xfId="0" applyFont="1" applyAlignment="1">
      <alignment horizontal="left"/>
    </xf>
    <xf numFmtId="0" fontId="87" fillId="0" borderId="0" xfId="0" applyFont="1" applyAlignment="1">
      <alignment horizontal="right"/>
    </xf>
    <xf numFmtId="1" fontId="2" fillId="0" borderId="0" xfId="0" applyNumberFormat="1" applyFont="1" applyAlignment="1">
      <alignment horizontal="right" vertical="center"/>
    </xf>
    <xf numFmtId="0" fontId="88" fillId="0" borderId="0" xfId="0" applyFont="1" applyAlignment="1">
      <alignment horizontal="left"/>
    </xf>
    <xf numFmtId="1" fontId="88" fillId="0" borderId="0" xfId="0" applyNumberFormat="1" applyFont="1" applyAlignment="1">
      <alignment horizontal="right" vertical="center"/>
    </xf>
    <xf numFmtId="0" fontId="89" fillId="0" borderId="0" xfId="0" applyFont="1" applyAlignment="1">
      <alignment horizontal="left"/>
    </xf>
    <xf numFmtId="1" fontId="89" fillId="0" borderId="0" xfId="0" applyNumberFormat="1" applyFont="1" applyAlignment="1">
      <alignment horizontal="right" vertical="center"/>
    </xf>
    <xf numFmtId="1" fontId="3" fillId="0" borderId="0" xfId="0" applyNumberFormat="1" applyFont="1" applyAlignment="1">
      <alignment horizontal="left"/>
    </xf>
    <xf numFmtId="0" fontId="2" fillId="0" borderId="0" xfId="0" applyFont="1" applyAlignment="1">
      <alignment wrapText="1"/>
    </xf>
    <xf numFmtId="0" fontId="6" fillId="0" borderId="0" xfId="0" applyFont="1" applyAlignment="1">
      <alignment horizontal="left"/>
    </xf>
    <xf numFmtId="0" fontId="6" fillId="0" borderId="0" xfId="0" applyFont="1" applyAlignment="1">
      <alignment horizontal="right"/>
    </xf>
    <xf numFmtId="0" fontId="91" fillId="0" borderId="0" xfId="0" applyFont="1" applyAlignment="1">
      <alignment horizontal="center" vertical="center"/>
    </xf>
    <xf numFmtId="0" fontId="6" fillId="2" borderId="5" xfId="0" applyFont="1" applyFill="1" applyBorder="1" applyAlignment="1">
      <alignment horizontal="center"/>
    </xf>
    <xf numFmtId="0" fontId="6" fillId="0" borderId="0" xfId="0" applyFont="1" applyAlignment="1">
      <alignment horizontal="center"/>
    </xf>
    <xf numFmtId="0" fontId="2" fillId="2" borderId="8" xfId="0" applyFont="1" applyFill="1" applyBorder="1" applyAlignment="1"/>
    <xf numFmtId="0" fontId="3" fillId="0" borderId="25" xfId="0" applyFont="1" applyBorder="1"/>
    <xf numFmtId="0" fontId="40" fillId="0" borderId="1" xfId="0" applyFont="1" applyBorder="1" applyAlignment="1">
      <alignment vertical="top" wrapText="1"/>
    </xf>
    <xf numFmtId="1" fontId="15" fillId="0" borderId="0" xfId="0" applyNumberFormat="1" applyFont="1" applyAlignment="1">
      <alignment horizontal="right"/>
    </xf>
    <xf numFmtId="1" fontId="87" fillId="0" borderId="0" xfId="0" applyNumberFormat="1" applyFont="1" applyAlignment="1">
      <alignment horizontal="right"/>
    </xf>
    <xf numFmtId="1" fontId="6" fillId="0" borderId="0" xfId="0" applyNumberFormat="1" applyFont="1" applyAlignment="1">
      <alignment horizontal="right"/>
    </xf>
    <xf numFmtId="0" fontId="92" fillId="0" borderId="30" xfId="0" applyFont="1" applyBorder="1" applyAlignment="1"/>
    <xf numFmtId="1" fontId="92" fillId="0" borderId="30" xfId="0" applyNumberFormat="1" applyFont="1" applyBorder="1"/>
    <xf numFmtId="0" fontId="2" fillId="0" borderId="0" xfId="0" applyFont="1"/>
    <xf numFmtId="0" fontId="3" fillId="0" borderId="0" xfId="0" applyFont="1" applyAlignment="1"/>
    <xf numFmtId="0" fontId="3" fillId="0" borderId="0" xfId="0" applyFont="1" applyAlignment="1">
      <alignment wrapText="1"/>
    </xf>
    <xf numFmtId="0" fontId="0" fillId="0" borderId="0" xfId="0" applyFont="1" applyAlignment="1"/>
    <xf numFmtId="0" fontId="7" fillId="2" borderId="0" xfId="0" applyFont="1" applyFill="1" applyAlignment="1">
      <alignment horizontal="center" vertical="center"/>
    </xf>
    <xf numFmtId="0" fontId="8" fillId="2" borderId="1" xfId="0" applyFont="1" applyFill="1" applyBorder="1" applyAlignment="1">
      <alignment horizontal="center" vertical="center"/>
    </xf>
    <xf numFmtId="0" fontId="2" fillId="2" borderId="0" xfId="0" applyFont="1" applyFill="1" applyAlignment="1">
      <alignment horizontal="center" vertical="center"/>
    </xf>
    <xf numFmtId="0" fontId="0" fillId="0" borderId="0" xfId="0" applyFont="1" applyAlignment="1"/>
    <xf numFmtId="0" fontId="5" fillId="0" borderId="1" xfId="0" applyFont="1" applyBorder="1"/>
    <xf numFmtId="0" fontId="12" fillId="0" borderId="0" xfId="0" applyFont="1" applyAlignment="1"/>
    <xf numFmtId="0" fontId="1" fillId="0" borderId="0" xfId="0" applyFont="1" applyAlignment="1">
      <alignment horizontal="center" vertical="center" wrapText="1"/>
    </xf>
    <xf numFmtId="0" fontId="2" fillId="0" borderId="2" xfId="0" applyFont="1" applyBorder="1" applyAlignment="1"/>
    <xf numFmtId="0" fontId="5" fillId="0" borderId="3" xfId="0" applyFont="1" applyBorder="1"/>
    <xf numFmtId="0" fontId="5" fillId="0" borderId="4" xfId="0" applyFont="1" applyBorder="1"/>
    <xf numFmtId="0" fontId="3" fillId="0" borderId="5" xfId="0" applyFont="1" applyBorder="1" applyAlignment="1">
      <alignment vertical="center" wrapText="1"/>
    </xf>
    <xf numFmtId="0" fontId="5" fillId="0" borderId="6" xfId="0" applyFont="1" applyBorder="1"/>
    <xf numFmtId="0" fontId="5" fillId="0" borderId="7" xfId="0" applyFont="1" applyBorder="1"/>
    <xf numFmtId="0" fontId="10" fillId="0" borderId="0" xfId="0" applyFont="1" applyAlignment="1">
      <alignment vertical="center"/>
    </xf>
    <xf numFmtId="0" fontId="5" fillId="0" borderId="8" xfId="0" applyFont="1" applyBorder="1"/>
    <xf numFmtId="0" fontId="5" fillId="0" borderId="5" xfId="0" applyFont="1" applyBorder="1"/>
    <xf numFmtId="0" fontId="2" fillId="0" borderId="0" xfId="0" applyFont="1" applyAlignment="1"/>
    <xf numFmtId="166" fontId="2" fillId="0" borderId="3" xfId="0" applyNumberFormat="1" applyFont="1" applyBorder="1"/>
    <xf numFmtId="1" fontId="7" fillId="0" borderId="4" xfId="0" applyNumberFormat="1" applyFont="1" applyBorder="1" applyAlignment="1">
      <alignment wrapText="1"/>
    </xf>
    <xf numFmtId="0" fontId="3" fillId="0" borderId="7" xfId="0" applyFont="1" applyBorder="1" applyAlignment="1"/>
    <xf numFmtId="0" fontId="6" fillId="0" borderId="7" xfId="0" applyFont="1" applyBorder="1" applyAlignment="1">
      <alignment wrapText="1"/>
    </xf>
    <xf numFmtId="0" fontId="2" fillId="2" borderId="19" xfId="0" applyFont="1" applyFill="1" applyBorder="1" applyAlignment="1">
      <alignment horizontal="center" vertical="center"/>
    </xf>
    <xf numFmtId="0" fontId="5" fillId="0" borderId="20" xfId="0" applyFont="1" applyBorder="1"/>
    <xf numFmtId="0" fontId="3" fillId="0" borderId="0" xfId="0" applyFont="1" applyAlignment="1">
      <alignment horizontal="center" vertical="center"/>
    </xf>
    <xf numFmtId="0" fontId="58" fillId="0" borderId="0" xfId="0" applyFont="1" applyAlignment="1">
      <alignment horizontal="center" vertical="center" wrapText="1"/>
    </xf>
    <xf numFmtId="0" fontId="33" fillId="0" borderId="0" xfId="0" applyFont="1" applyAlignment="1">
      <alignment vertical="center" wrapText="1"/>
    </xf>
    <xf numFmtId="0" fontId="34" fillId="0" borderId="0" xfId="0" applyFont="1" applyAlignment="1">
      <alignment vertical="top" wrapText="1"/>
    </xf>
    <xf numFmtId="0" fontId="40" fillId="0" borderId="2" xfId="0" applyFont="1" applyBorder="1" applyAlignment="1">
      <alignment vertical="top" wrapText="1"/>
    </xf>
    <xf numFmtId="0" fontId="40" fillId="0" borderId="5" xfId="0" applyFont="1" applyBorder="1" applyAlignment="1">
      <alignment vertical="top" wrapText="1"/>
    </xf>
    <xf numFmtId="0" fontId="3" fillId="0" borderId="5" xfId="0" applyFont="1" applyBorder="1"/>
    <xf numFmtId="0" fontId="57" fillId="0" borderId="0" xfId="0" applyFont="1" applyAlignment="1">
      <alignment vertical="top"/>
    </xf>
    <xf numFmtId="0" fontId="2" fillId="0" borderId="0" xfId="0" applyFont="1" applyAlignment="1">
      <alignment horizontal="left" wrapText="1"/>
    </xf>
    <xf numFmtId="167" fontId="47" fillId="0" borderId="5" xfId="0" applyNumberFormat="1" applyFont="1" applyBorder="1" applyAlignment="1">
      <alignment horizontal="center"/>
    </xf>
    <xf numFmtId="0" fontId="3" fillId="0" borderId="0" xfId="0" applyFont="1" applyAlignment="1">
      <alignment vertical="center" wrapText="1"/>
    </xf>
    <xf numFmtId="0" fontId="49" fillId="0" borderId="0" xfId="0" applyFont="1" applyAlignment="1">
      <alignment vertical="top" wrapText="1"/>
    </xf>
    <xf numFmtId="0" fontId="35" fillId="0" borderId="0" xfId="0" applyFont="1" applyAlignment="1">
      <alignment vertical="center"/>
    </xf>
    <xf numFmtId="0" fontId="50" fillId="0" borderId="0" xfId="0" applyFont="1" applyAlignment="1">
      <alignment vertical="top" wrapText="1"/>
    </xf>
    <xf numFmtId="0" fontId="23" fillId="0" borderId="0" xfId="0" applyFont="1" applyAlignment="1"/>
    <xf numFmtId="0" fontId="42" fillId="0" borderId="5" xfId="0" applyFont="1" applyBorder="1" applyAlignment="1"/>
    <xf numFmtId="166" fontId="52" fillId="0" borderId="0" xfId="0" applyNumberFormat="1" applyFont="1" applyAlignment="1">
      <alignment vertical="top" wrapText="1"/>
    </xf>
    <xf numFmtId="0" fontId="53" fillId="0" borderId="0" xfId="0" applyFont="1" applyAlignment="1">
      <alignment vertical="top" wrapText="1"/>
    </xf>
    <xf numFmtId="166" fontId="43" fillId="0" borderId="5" xfId="0" applyNumberFormat="1" applyFont="1" applyBorder="1" applyAlignment="1"/>
    <xf numFmtId="166" fontId="45" fillId="0" borderId="0" xfId="0" applyNumberFormat="1" applyFont="1" applyAlignment="1"/>
    <xf numFmtId="0" fontId="2" fillId="2" borderId="7" xfId="0" applyFont="1" applyFill="1" applyBorder="1" applyAlignment="1">
      <alignment horizontal="left"/>
    </xf>
    <xf numFmtId="166" fontId="2" fillId="0" borderId="6" xfId="0" applyNumberFormat="1" applyFont="1" applyBorder="1"/>
    <xf numFmtId="165" fontId="12" fillId="4" borderId="19" xfId="0" applyNumberFormat="1" applyFont="1" applyFill="1" applyBorder="1" applyAlignment="1">
      <alignment horizontal="center" vertical="center"/>
    </xf>
    <xf numFmtId="0" fontId="5" fillId="0" borderId="21" xfId="0" applyFont="1" applyBorder="1"/>
    <xf numFmtId="166" fontId="3" fillId="0" borderId="6" xfId="0" applyNumberFormat="1" applyFont="1" applyBorder="1" applyAlignment="1">
      <alignment horizontal="center"/>
    </xf>
    <xf numFmtId="0" fontId="2" fillId="2" borderId="0" xfId="0" applyFont="1" applyFill="1" applyAlignment="1">
      <alignment horizontal="left"/>
    </xf>
    <xf numFmtId="165" fontId="12" fillId="4" borderId="19" xfId="0" applyNumberFormat="1" applyFont="1" applyFill="1" applyBorder="1" applyAlignment="1">
      <alignment horizontal="center"/>
    </xf>
    <xf numFmtId="2" fontId="12" fillId="3" borderId="5" xfId="0" applyNumberFormat="1" applyFont="1" applyFill="1" applyBorder="1" applyAlignment="1">
      <alignment horizontal="center" vertical="center"/>
    </xf>
    <xf numFmtId="1" fontId="12" fillId="3" borderId="5" xfId="0" applyNumberFormat="1" applyFont="1" applyFill="1" applyBorder="1" applyAlignment="1">
      <alignment horizontal="center" vertical="center"/>
    </xf>
    <xf numFmtId="0" fontId="60" fillId="0" borderId="0" xfId="0" applyFont="1" applyAlignment="1">
      <alignment horizontal="center"/>
    </xf>
    <xf numFmtId="0" fontId="63" fillId="0" borderId="0" xfId="0" applyFont="1" applyAlignment="1">
      <alignment vertical="center" wrapText="1"/>
    </xf>
    <xf numFmtId="0" fontId="62" fillId="0" borderId="0" xfId="0" applyFont="1" applyAlignment="1">
      <alignment vertical="center" wrapText="1"/>
    </xf>
    <xf numFmtId="0" fontId="60" fillId="0" borderId="7" xfId="0" applyFont="1" applyBorder="1" applyAlignment="1">
      <alignment horizontal="center"/>
    </xf>
    <xf numFmtId="0" fontId="2" fillId="0" borderId="0" xfId="0" applyFont="1" applyAlignment="1">
      <alignment horizontal="center"/>
    </xf>
    <xf numFmtId="0" fontId="60" fillId="0" borderId="5" xfId="0" applyFont="1" applyBorder="1" applyAlignment="1">
      <alignment wrapText="1"/>
    </xf>
    <xf numFmtId="0" fontId="60" fillId="0" borderId="5" xfId="0" applyFont="1" applyBorder="1" applyAlignment="1"/>
    <xf numFmtId="0" fontId="64" fillId="0" borderId="0" xfId="0" applyFont="1" applyAlignment="1">
      <alignment horizontal="center"/>
    </xf>
    <xf numFmtId="0" fontId="3" fillId="0" borderId="19" xfId="0" applyFont="1" applyBorder="1" applyAlignment="1">
      <alignment horizontal="right" vertical="center"/>
    </xf>
    <xf numFmtId="0" fontId="3" fillId="0" borderId="3" xfId="0" applyFont="1" applyBorder="1" applyAlignment="1"/>
    <xf numFmtId="0" fontId="6" fillId="0" borderId="3" xfId="0" applyFont="1" applyBorder="1" applyAlignment="1">
      <alignment wrapText="1"/>
    </xf>
    <xf numFmtId="0" fontId="3" fillId="0" borderId="2" xfId="0" applyFont="1" applyBorder="1" applyAlignment="1">
      <alignment wrapText="1"/>
    </xf>
    <xf numFmtId="0" fontId="3" fillId="0" borderId="5" xfId="0" applyFont="1" applyBorder="1" applyAlignment="1">
      <alignment wrapText="1"/>
    </xf>
    <xf numFmtId="0" fontId="3" fillId="0" borderId="0" xfId="0" applyFont="1" applyAlignment="1"/>
    <xf numFmtId="0" fontId="6" fillId="0" borderId="0" xfId="0" applyFont="1" applyAlignment="1">
      <alignment wrapText="1"/>
    </xf>
    <xf numFmtId="0" fontId="60" fillId="0" borderId="5" xfId="0" applyFont="1" applyBorder="1" applyAlignment="1">
      <alignment vertical="center" wrapText="1"/>
    </xf>
    <xf numFmtId="0" fontId="3" fillId="0" borderId="6" xfId="0" applyFont="1" applyBorder="1" applyAlignment="1">
      <alignment wrapText="1"/>
    </xf>
    <xf numFmtId="0" fontId="62" fillId="0" borderId="5" xfId="0" applyFont="1" applyBorder="1" applyAlignment="1">
      <alignment vertical="center" wrapText="1"/>
    </xf>
    <xf numFmtId="0" fontId="60" fillId="0" borderId="2" xfId="0" applyFont="1" applyBorder="1" applyAlignment="1">
      <alignment wrapText="1"/>
    </xf>
    <xf numFmtId="0" fontId="3" fillId="0" borderId="0" xfId="0" applyFont="1" applyAlignment="1">
      <alignment wrapText="1"/>
    </xf>
    <xf numFmtId="0" fontId="2" fillId="2" borderId="2" xfId="0" applyFont="1" applyFill="1" applyBorder="1" applyAlignment="1">
      <alignment horizontal="center" vertical="center"/>
    </xf>
    <xf numFmtId="0" fontId="2" fillId="2" borderId="19" xfId="0" applyFont="1" applyFill="1" applyBorder="1" applyAlignment="1">
      <alignment vertical="center"/>
    </xf>
    <xf numFmtId="166" fontId="54" fillId="0" borderId="0" xfId="0" applyNumberFormat="1" applyFont="1" applyAlignment="1">
      <alignment vertical="top" wrapText="1"/>
    </xf>
    <xf numFmtId="0" fontId="5" fillId="0" borderId="11" xfId="0" applyFont="1" applyBorder="1"/>
    <xf numFmtId="0" fontId="32" fillId="0" borderId="0" xfId="0" applyFont="1" applyAlignment="1"/>
    <xf numFmtId="0" fontId="32" fillId="0" borderId="0" xfId="0" applyFont="1" applyAlignment="1">
      <alignment vertical="top" wrapText="1"/>
    </xf>
    <xf numFmtId="166" fontId="2" fillId="0" borderId="6" xfId="0" applyNumberFormat="1" applyFont="1" applyBorder="1" applyAlignment="1">
      <alignment horizontal="right"/>
    </xf>
    <xf numFmtId="0" fontId="2" fillId="2" borderId="5" xfId="0" applyFont="1" applyFill="1" applyBorder="1" applyAlignment="1">
      <alignment horizontal="center" vertical="center"/>
    </xf>
    <xf numFmtId="0" fontId="40" fillId="0" borderId="7" xfId="0" applyFont="1" applyBorder="1" applyAlignment="1">
      <alignment vertical="top" wrapText="1"/>
    </xf>
    <xf numFmtId="0" fontId="2" fillId="0" borderId="0" xfId="0" applyFont="1" applyAlignment="1">
      <alignment horizontal="left"/>
    </xf>
    <xf numFmtId="0" fontId="2" fillId="0" borderId="2" xfId="0" applyFont="1" applyBorder="1" applyAlignment="1">
      <alignment horizontal="left" vertical="center"/>
    </xf>
    <xf numFmtId="0" fontId="69" fillId="0" borderId="0" xfId="0" applyFont="1" applyAlignment="1">
      <alignment vertical="center" wrapText="1"/>
    </xf>
    <xf numFmtId="0" fontId="3" fillId="0" borderId="5" xfId="0" applyFont="1" applyBorder="1" applyAlignment="1">
      <alignment horizontal="left"/>
    </xf>
    <xf numFmtId="166" fontId="67" fillId="0" borderId="0" xfId="0" applyNumberFormat="1" applyFont="1" applyAlignment="1"/>
    <xf numFmtId="165" fontId="12" fillId="4" borderId="6" xfId="0" applyNumberFormat="1" applyFont="1" applyFill="1" applyBorder="1" applyAlignment="1">
      <alignment horizontal="center" vertical="center"/>
    </xf>
    <xf numFmtId="2" fontId="12" fillId="3" borderId="0" xfId="0" applyNumberFormat="1" applyFont="1" applyFill="1" applyAlignment="1">
      <alignment horizontal="center" vertical="center"/>
    </xf>
    <xf numFmtId="0" fontId="3" fillId="0" borderId="6" xfId="0" applyFont="1" applyBorder="1" applyAlignment="1">
      <alignment horizontal="left" vertical="center" wrapText="1"/>
    </xf>
    <xf numFmtId="0" fontId="39" fillId="0" borderId="7" xfId="0" applyFont="1" applyBorder="1" applyAlignment="1">
      <alignment vertical="center"/>
    </xf>
    <xf numFmtId="0" fontId="3" fillId="0" borderId="0" xfId="0" applyFont="1" applyAlignment="1">
      <alignment horizontal="left"/>
    </xf>
    <xf numFmtId="0" fontId="3" fillId="0" borderId="0" xfId="0" applyFont="1" applyAlignment="1">
      <alignment horizontal="left" vertical="center"/>
    </xf>
    <xf numFmtId="0" fontId="41" fillId="0" borderId="0" xfId="0" applyFont="1" applyAlignment="1">
      <alignment horizontal="left" vertical="center" wrapText="1"/>
    </xf>
    <xf numFmtId="0" fontId="3" fillId="0" borderId="5" xfId="0" applyFont="1" applyBorder="1" applyAlignment="1">
      <alignment horizontal="left" vertical="center" wrapText="1"/>
    </xf>
    <xf numFmtId="0" fontId="3" fillId="0" borderId="5" xfId="0" applyFont="1" applyBorder="1" applyAlignment="1">
      <alignment horizontal="left" vertical="center"/>
    </xf>
    <xf numFmtId="0" fontId="70" fillId="0" borderId="0" xfId="0" applyFont="1" applyAlignment="1">
      <alignment wrapText="1"/>
    </xf>
    <xf numFmtId="0" fontId="2" fillId="2" borderId="0" xfId="0" applyFont="1" applyFill="1" applyAlignment="1">
      <alignment horizontal="left" vertical="center"/>
    </xf>
    <xf numFmtId="0" fontId="6" fillId="2" borderId="0" xfId="0" applyFont="1" applyFill="1" applyAlignment="1">
      <alignment horizontal="center" vertical="center"/>
    </xf>
    <xf numFmtId="0" fontId="7" fillId="2" borderId="0" xfId="0" applyFont="1" applyFill="1" applyAlignment="1">
      <alignment horizontal="center" vertical="center"/>
    </xf>
    <xf numFmtId="0" fontId="8" fillId="2" borderId="1" xfId="0" applyFont="1" applyFill="1" applyBorder="1" applyAlignment="1">
      <alignment horizontal="center" vertical="center"/>
    </xf>
    <xf numFmtId="0" fontId="9" fillId="2" borderId="11" xfId="0" applyFont="1" applyFill="1" applyBorder="1" applyAlignment="1">
      <alignment horizontal="center" vertical="center"/>
    </xf>
    <xf numFmtId="164" fontId="3" fillId="0" borderId="0" xfId="0" applyNumberFormat="1" applyFont="1" applyAlignment="1">
      <alignment horizontal="left" vertical="center"/>
    </xf>
    <xf numFmtId="0" fontId="3" fillId="0" borderId="0" xfId="0" applyFont="1" applyAlignment="1">
      <alignment horizontal="right"/>
    </xf>
    <xf numFmtId="164" fontId="3" fillId="0" borderId="0" xfId="0" applyNumberFormat="1" applyFont="1" applyAlignment="1">
      <alignment horizontal="left"/>
    </xf>
    <xf numFmtId="0" fontId="68" fillId="0" borderId="0" xfId="0" applyFont="1" applyAlignment="1">
      <alignment vertical="top" wrapText="1"/>
    </xf>
    <xf numFmtId="0" fontId="9" fillId="2" borderId="1" xfId="0" applyFont="1" applyFill="1" applyBorder="1" applyAlignment="1">
      <alignment horizontal="center" vertical="center"/>
    </xf>
    <xf numFmtId="1" fontId="22" fillId="0" borderId="0" xfId="0" applyNumberFormat="1" applyFont="1" applyAlignment="1"/>
    <xf numFmtId="1" fontId="3" fillId="0" borderId="0" xfId="0" applyNumberFormat="1" applyFont="1" applyAlignment="1"/>
    <xf numFmtId="1" fontId="35" fillId="0" borderId="0" xfId="0" applyNumberFormat="1" applyFont="1" applyAlignment="1"/>
    <xf numFmtId="1" fontId="3" fillId="0" borderId="0" xfId="0" applyNumberFormat="1" applyFont="1" applyAlignment="1">
      <alignment horizontal="left" vertical="center"/>
    </xf>
    <xf numFmtId="1" fontId="75" fillId="0" borderId="9" xfId="0" applyNumberFormat="1" applyFont="1" applyBorder="1" applyAlignment="1"/>
    <xf numFmtId="0" fontId="5" fillId="0" borderId="9" xfId="0" applyFont="1" applyBorder="1"/>
    <xf numFmtId="1" fontId="11" fillId="0" borderId="0" xfId="0" applyNumberFormat="1" applyFont="1" applyAlignment="1">
      <alignment horizontal="center" vertical="center"/>
    </xf>
    <xf numFmtId="1" fontId="11" fillId="0" borderId="9" xfId="0" applyNumberFormat="1" applyFont="1" applyBorder="1" applyAlignment="1">
      <alignment horizontal="center" vertical="center"/>
    </xf>
    <xf numFmtId="0" fontId="8" fillId="2" borderId="0" xfId="0" applyFont="1" applyFill="1" applyAlignment="1">
      <alignment horizontal="center" vertical="center"/>
    </xf>
    <xf numFmtId="0" fontId="81" fillId="0" borderId="7" xfId="0" applyFont="1" applyBorder="1" applyAlignment="1">
      <alignment vertical="center" wrapText="1"/>
    </xf>
    <xf numFmtId="0" fontId="40" fillId="0" borderId="6" xfId="0" applyFont="1" applyBorder="1" applyAlignment="1">
      <alignment vertical="top" wrapText="1"/>
    </xf>
    <xf numFmtId="1" fontId="77" fillId="0" borderId="0" xfId="0" applyNumberFormat="1" applyFont="1" applyAlignment="1"/>
    <xf numFmtId="1" fontId="14" fillId="0" borderId="0" xfId="0" applyNumberFormat="1" applyFont="1" applyAlignment="1">
      <alignment horizontal="left" vertical="center"/>
    </xf>
    <xf numFmtId="1" fontId="35" fillId="0" borderId="9" xfId="0" applyNumberFormat="1" applyFont="1" applyBorder="1" applyAlignment="1"/>
    <xf numFmtId="1" fontId="14" fillId="0" borderId="9" xfId="0" applyNumberFormat="1" applyFont="1" applyBorder="1" applyAlignment="1">
      <alignment horizontal="left" vertical="center"/>
    </xf>
    <xf numFmtId="1" fontId="35" fillId="0" borderId="0" xfId="0" applyNumberFormat="1" applyFont="1" applyAlignment="1">
      <alignment horizontal="left" vertical="center" wrapText="1"/>
    </xf>
    <xf numFmtId="1" fontId="35" fillId="0" borderId="9" xfId="0" applyNumberFormat="1" applyFont="1" applyBorder="1" applyAlignment="1">
      <alignment horizontal="left" vertical="center" wrapText="1"/>
    </xf>
    <xf numFmtId="1" fontId="14" fillId="0" borderId="0" xfId="0" applyNumberFormat="1" applyFont="1" applyAlignment="1">
      <alignment horizontal="left" vertical="center" wrapText="1"/>
    </xf>
    <xf numFmtId="1" fontId="3" fillId="0" borderId="0" xfId="0" applyNumberFormat="1" applyFont="1" applyAlignment="1">
      <alignment vertical="center"/>
    </xf>
    <xf numFmtId="1" fontId="3" fillId="0" borderId="9" xfId="0" applyNumberFormat="1" applyFont="1" applyBorder="1" applyAlignment="1">
      <alignment horizontal="left" vertical="center"/>
    </xf>
    <xf numFmtId="1" fontId="14" fillId="4" borderId="0" xfId="0" applyNumberFormat="1" applyFont="1" applyFill="1" applyAlignment="1">
      <alignment horizontal="left" vertical="top"/>
    </xf>
    <xf numFmtId="0" fontId="2" fillId="2" borderId="5" xfId="0" applyFont="1" applyFill="1" applyBorder="1" applyAlignment="1">
      <alignment horizontal="center"/>
    </xf>
    <xf numFmtId="1" fontId="37" fillId="0" borderId="0" xfId="0" applyNumberFormat="1" applyFont="1" applyAlignment="1">
      <alignment horizontal="left" vertical="center"/>
    </xf>
    <xf numFmtId="166" fontId="2" fillId="0" borderId="5" xfId="0" applyNumberFormat="1" applyFont="1" applyBorder="1"/>
    <xf numFmtId="165" fontId="49" fillId="4" borderId="0" xfId="0" applyNumberFormat="1" applyFont="1" applyFill="1" applyAlignment="1">
      <alignment horizontal="center" vertical="center" wrapText="1"/>
    </xf>
    <xf numFmtId="0" fontId="3" fillId="0" borderId="5" xfId="0" applyFont="1" applyBorder="1" applyAlignment="1">
      <alignment vertical="center"/>
    </xf>
    <xf numFmtId="0" fontId="3" fillId="0" borderId="6" xfId="0" applyFont="1" applyBorder="1" applyAlignment="1">
      <alignment vertical="center" wrapText="1"/>
    </xf>
    <xf numFmtId="0" fontId="2" fillId="0" borderId="2" xfId="0" applyFont="1" applyBorder="1" applyAlignment="1">
      <alignment vertical="center"/>
    </xf>
    <xf numFmtId="0" fontId="2" fillId="0" borderId="1" xfId="0" applyFont="1" applyBorder="1" applyAlignment="1">
      <alignment horizontal="center" vertical="center"/>
    </xf>
    <xf numFmtId="0" fontId="5" fillId="0" borderId="10" xfId="0" applyFont="1" applyBorder="1"/>
    <xf numFmtId="1"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3" fillId="0" borderId="6" xfId="0" applyFont="1" applyBorder="1" applyAlignment="1"/>
    <xf numFmtId="0" fontId="84" fillId="0" borderId="7" xfId="0" applyFont="1" applyBorder="1" applyAlignment="1"/>
    <xf numFmtId="0" fontId="2" fillId="0" borderId="19" xfId="0" applyFont="1" applyBorder="1" applyAlignment="1">
      <alignment horizontal="center" vertical="center"/>
    </xf>
    <xf numFmtId="0" fontId="3" fillId="0" borderId="5" xfId="0" applyFont="1" applyBorder="1" applyAlignment="1"/>
    <xf numFmtId="0" fontId="83" fillId="0" borderId="0" xfId="0" applyFont="1" applyAlignment="1"/>
    <xf numFmtId="0" fontId="82" fillId="0" borderId="0" xfId="0" applyFont="1" applyAlignment="1"/>
    <xf numFmtId="0" fontId="2" fillId="3" borderId="0" xfId="0" applyFont="1" applyFill="1" applyAlignment="1">
      <alignment horizontal="center" vertical="center"/>
    </xf>
    <xf numFmtId="166" fontId="2" fillId="3" borderId="1" xfId="0" applyNumberFormat="1" applyFont="1" applyFill="1" applyBorder="1" applyAlignment="1">
      <alignment horizontal="center" vertical="center"/>
    </xf>
    <xf numFmtId="0" fontId="5" fillId="0" borderId="27" xfId="0" applyFont="1" applyBorder="1"/>
    <xf numFmtId="0" fontId="5" fillId="0" borderId="28" xfId="0" applyFont="1" applyBorder="1"/>
    <xf numFmtId="0" fontId="90" fillId="0" borderId="0" xfId="0" applyFont="1" applyAlignment="1"/>
    <xf numFmtId="0" fontId="5" fillId="0" borderId="29" xfId="0" applyFont="1" applyBorder="1"/>
    <xf numFmtId="0" fontId="2" fillId="0" borderId="0" xfId="0" applyFont="1" applyAlignment="1">
      <alignment wrapText="1"/>
    </xf>
    <xf numFmtId="0" fontId="2" fillId="0" borderId="0" xfId="0" applyFont="1" applyAlignment="1">
      <alignment horizontal="right"/>
    </xf>
    <xf numFmtId="0" fontId="99" fillId="2" borderId="0" xfId="0" applyFont="1" applyFill="1" applyAlignment="1">
      <alignment horizontal="center" vertical="center" wrapText="1"/>
    </xf>
    <xf numFmtId="0" fontId="100" fillId="2" borderId="0" xfId="0" applyFont="1" applyFill="1" applyAlignment="1">
      <alignment horizontal="center" vertical="center"/>
    </xf>
    <xf numFmtId="0" fontId="2" fillId="2" borderId="1" xfId="0" applyFont="1" applyFill="1" applyBorder="1" applyAlignment="1">
      <alignment horizontal="center" vertical="center"/>
    </xf>
    <xf numFmtId="0" fontId="99" fillId="2" borderId="5" xfId="0" applyFont="1" applyFill="1" applyBorder="1" applyAlignment="1">
      <alignment horizontal="center" vertical="center"/>
    </xf>
    <xf numFmtId="0" fontId="99" fillId="2" borderId="1" xfId="0" applyFont="1" applyFill="1" applyBorder="1" applyAlignment="1">
      <alignment horizontal="center" vertical="center"/>
    </xf>
    <xf numFmtId="0" fontId="99" fillId="2" borderId="0" xfId="0" applyFont="1"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14">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F6B26B"/>
          <bgColor rgb="FFF6B26B"/>
        </patternFill>
      </fill>
    </dxf>
    <dxf>
      <fill>
        <patternFill patternType="solid">
          <fgColor rgb="FFB6D7A8"/>
          <bgColor rgb="FFB6D7A8"/>
        </patternFill>
      </fill>
    </dxf>
    <dxf>
      <fill>
        <patternFill patternType="solid">
          <fgColor rgb="FFEFEFEF"/>
          <bgColor rgb="FFEFEFEF"/>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2000" b="0">
                <a:solidFill>
                  <a:srgbClr val="666666"/>
                </a:solidFill>
                <a:latin typeface="Roboto"/>
              </a:defRPr>
            </a:pPr>
            <a:r>
              <a:t>Evolution du nombre de ventilateurs actuellement utilisé en Suisse (décompte incomplet*)</a:t>
            </a:r>
          </a:p>
        </c:rich>
      </c:tx>
      <c:overlay val="0"/>
    </c:title>
    <c:autoTitleDeleted val="0"/>
    <c:plotArea>
      <c:layout/>
      <c:lineChart>
        <c:grouping val="standard"/>
        <c:varyColors val="0"/>
        <c:ser>
          <c:idx val="0"/>
          <c:order val="0"/>
          <c:marker>
            <c:symbol val="circle"/>
            <c:size val="6"/>
            <c:spPr>
              <a:solidFill>
                <a:srgbClr val="4A86E8"/>
              </a:solidFill>
              <a:ln cmpd="sng">
                <a:solidFill>
                  <a:srgbClr val="4A86E8"/>
                </a:solidFill>
              </a:ln>
            </c:spPr>
          </c:marker>
          <c:dLbls>
            <c:spPr>
              <a:noFill/>
              <a:ln>
                <a:noFill/>
              </a:ln>
              <a:effectLst/>
            </c:spPr>
            <c:txPr>
              <a:bodyPr/>
              <a:lstStyle/>
              <a:p>
                <a:pPr lvl="0">
                  <a:defRPr sz="100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SuisseSwitzerland!$H$55:$H$110</c:f>
              <c:numCache>
                <c:formatCode>0</c:formatCode>
                <c:ptCount val="56"/>
                <c:pt idx="0">
                  <c:v>0</c:v>
                </c:pt>
                <c:pt idx="1">
                  <c:v>0</c:v>
                </c:pt>
                <c:pt idx="2">
                  <c:v>0</c:v>
                </c:pt>
                <c:pt idx="3">
                  <c:v>0</c:v>
                </c:pt>
                <c:pt idx="4">
                  <c:v>0</c:v>
                </c:pt>
                <c:pt idx="5">
                  <c:v>0</c:v>
                </c:pt>
                <c:pt idx="6">
                  <c:v>0</c:v>
                </c:pt>
                <c:pt idx="7">
                  <c:v>0</c:v>
                </c:pt>
                <c:pt idx="8">
                  <c:v>0</c:v>
                </c:pt>
                <c:pt idx="9">
                  <c:v>0</c:v>
                </c:pt>
                <c:pt idx="10">
                  <c:v>0</c:v>
                </c:pt>
                <c:pt idx="11">
                  <c:v>0</c:v>
                </c:pt>
                <c:pt idx="12">
                  <c:v>1</c:v>
                </c:pt>
                <c:pt idx="13">
                  <c:v>3</c:v>
                </c:pt>
                <c:pt idx="14">
                  <c:v>4</c:v>
                </c:pt>
                <c:pt idx="15">
                  <c:v>5</c:v>
                </c:pt>
                <c:pt idx="16">
                  <c:v>5</c:v>
                </c:pt>
                <c:pt idx="17">
                  <c:v>6</c:v>
                </c:pt>
                <c:pt idx="18">
                  <c:v>6</c:v>
                </c:pt>
                <c:pt idx="19">
                  <c:v>9</c:v>
                </c:pt>
                <c:pt idx="20">
                  <c:v>10</c:v>
                </c:pt>
                <c:pt idx="21">
                  <c:v>19</c:v>
                </c:pt>
                <c:pt idx="22">
                  <c:v>19</c:v>
                </c:pt>
                <c:pt idx="23">
                  <c:v>26</c:v>
                </c:pt>
                <c:pt idx="24">
                  <c:v>71</c:v>
                </c:pt>
                <c:pt idx="25">
                  <c:v>75</c:v>
                </c:pt>
                <c:pt idx="26">
                  <c:v>88</c:v>
                </c:pt>
                <c:pt idx="27">
                  <c:v>101</c:v>
                </c:pt>
                <c:pt idx="28">
                  <c:v>109</c:v>
                </c:pt>
                <c:pt idx="29">
                  <c:v>129</c:v>
                </c:pt>
                <c:pt idx="30">
                  <c:v>137</c:v>
                </c:pt>
                <c:pt idx="31">
                  <c:v>138</c:v>
                </c:pt>
                <c:pt idx="32">
                  <c:v>151</c:v>
                </c:pt>
                <c:pt idx="33">
                  <c:v>152</c:v>
                </c:pt>
                <c:pt idx="34">
                  <c:v>168</c:v>
                </c:pt>
                <c:pt idx="35">
                  <c:v>192</c:v>
                </c:pt>
                <c:pt idx="36">
                  <c:v>266</c:v>
                </c:pt>
                <c:pt idx="37">
                  <c:v>262</c:v>
                </c:pt>
                <c:pt idx="38">
                  <c:v>266</c:v>
                </c:pt>
                <c:pt idx="39">
                  <c:v>0</c:v>
                </c:pt>
                <c:pt idx="40">
                  <c:v>251</c:v>
                </c:pt>
                <c:pt idx="41">
                  <c:v>268</c:v>
                </c:pt>
                <c:pt idx="42">
                  <c:v>264</c:v>
                </c:pt>
                <c:pt idx="43">
                  <c:v>262</c:v>
                </c:pt>
                <c:pt idx="44">
                  <c:v>258</c:v>
                </c:pt>
                <c:pt idx="45">
                  <c:v>249</c:v>
                </c:pt>
                <c:pt idx="46">
                  <c:v>245</c:v>
                </c:pt>
                <c:pt idx="47">
                  <c:v>233</c:v>
                </c:pt>
                <c:pt idx="48">
                  <c:v>234</c:v>
                </c:pt>
                <c:pt idx="49">
                  <c:v>232</c:v>
                </c:pt>
                <c:pt idx="50">
                  <c:v>215</c:v>
                </c:pt>
                <c:pt idx="51">
                  <c:v>202</c:v>
                </c:pt>
                <c:pt idx="52">
                  <c:v>190</c:v>
                </c:pt>
                <c:pt idx="53">
                  <c:v>186</c:v>
                </c:pt>
                <c:pt idx="54">
                  <c:v>176</c:v>
                </c:pt>
                <c:pt idx="55">
                  <c:v>0</c:v>
                </c:pt>
              </c:numCache>
            </c:numRef>
          </c:val>
          <c:smooth val="0"/>
          <c:extLst>
            <c:ext xmlns:c16="http://schemas.microsoft.com/office/drawing/2014/chart" uri="{C3380CC4-5D6E-409C-BE32-E72D297353CC}">
              <c16:uniqueId val="{00000000-80A3-4D68-A586-A37AF6E2F569}"/>
            </c:ext>
          </c:extLst>
        </c:ser>
        <c:dLbls>
          <c:showLegendKey val="0"/>
          <c:showVal val="0"/>
          <c:showCatName val="0"/>
          <c:showSerName val="0"/>
          <c:showPercent val="0"/>
          <c:showBubbleSize val="0"/>
        </c:dLbls>
        <c:marker val="1"/>
        <c:smooth val="0"/>
        <c:axId val="1485739576"/>
        <c:axId val="1829860477"/>
      </c:lineChart>
      <c:catAx>
        <c:axId val="1485739576"/>
        <c:scaling>
          <c:orientation val="minMax"/>
        </c:scaling>
        <c:delete val="0"/>
        <c:axPos val="b"/>
        <c:title>
          <c:tx>
            <c:rich>
              <a:bodyPr/>
              <a:lstStyle/>
              <a:p>
                <a:pPr lvl="0">
                  <a:defRPr b="0">
                    <a:solidFill>
                      <a:srgbClr val="000000"/>
                    </a:solidFill>
                    <a:latin typeface="Roboto"/>
                  </a:defRPr>
                </a:pPr>
                <a:endParaRPr/>
              </a:p>
            </c:rich>
          </c:tx>
          <c:overlay val="0"/>
        </c:title>
        <c:majorTickMark val="cross"/>
        <c:minorTickMark val="cross"/>
        <c:tickLblPos val="nextTo"/>
        <c:txPr>
          <a:bodyPr rot="0"/>
          <a:lstStyle/>
          <a:p>
            <a:pPr lvl="0">
              <a:defRPr b="0">
                <a:solidFill>
                  <a:srgbClr val="000000"/>
                </a:solidFill>
                <a:latin typeface="Roboto"/>
              </a:defRPr>
            </a:pPr>
            <a:endParaRPr lang="fr-FR"/>
          </a:p>
        </c:txPr>
        <c:crossAx val="1829860477"/>
        <c:crosses val="autoZero"/>
        <c:auto val="1"/>
        <c:lblAlgn val="ctr"/>
        <c:lblOffset val="100"/>
        <c:noMultiLvlLbl val="1"/>
      </c:catAx>
      <c:valAx>
        <c:axId val="1829860477"/>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fr-FR"/>
          </a:p>
        </c:txPr>
        <c:crossAx val="1485739576"/>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2000" b="0">
                <a:solidFill>
                  <a:srgbClr val="666666"/>
                </a:solidFill>
                <a:latin typeface="Roboto"/>
              </a:defRPr>
            </a:pPr>
            <a:r>
              <a:t>Evolution du nombre de morts en Europe + les 10 pays avec le plus de morts par le COVID-19</a:t>
            </a:r>
          </a:p>
        </c:rich>
      </c:tx>
      <c:overlay val="0"/>
    </c:title>
    <c:autoTitleDeleted val="0"/>
    <c:plotArea>
      <c:layout/>
      <c:lineChart>
        <c:grouping val="standard"/>
        <c:varyColors val="1"/>
        <c:ser>
          <c:idx val="0"/>
          <c:order val="0"/>
          <c:marker>
            <c:symbol val="circle"/>
            <c:size val="6"/>
            <c:spPr>
              <a:solidFill>
                <a:srgbClr val="CC0000"/>
              </a:solidFill>
              <a:ln cmpd="sng">
                <a:solidFill>
                  <a:srgbClr val="CC0000"/>
                </a:solidFill>
              </a:ln>
            </c:spPr>
          </c:marker>
          <c:dLbls>
            <c:spPr>
              <a:noFill/>
              <a:ln>
                <a:noFill/>
              </a:ln>
              <a:effectLst/>
            </c:spPr>
            <c:txPr>
              <a:bodyPr/>
              <a:lstStyle/>
              <a:p>
                <a:pPr lvl="0">
                  <a:defRPr sz="100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Europe!$C$44:$C$110</c:f>
              <c:numCache>
                <c:formatCode>0</c:formatCode>
                <c:ptCount val="67"/>
                <c:pt idx="0">
                  <c:v>1</c:v>
                </c:pt>
                <c:pt idx="1">
                  <c:v>1</c:v>
                </c:pt>
                <c:pt idx="2">
                  <c:v>1</c:v>
                </c:pt>
                <c:pt idx="3">
                  <c:v>1</c:v>
                </c:pt>
                <c:pt idx="4">
                  <c:v>1</c:v>
                </c:pt>
                <c:pt idx="5">
                  <c:v>1</c:v>
                </c:pt>
                <c:pt idx="6">
                  <c:v>1</c:v>
                </c:pt>
                <c:pt idx="7">
                  <c:v>1</c:v>
                </c:pt>
                <c:pt idx="8">
                  <c:v>3</c:v>
                </c:pt>
                <c:pt idx="9">
                  <c:v>4</c:v>
                </c:pt>
                <c:pt idx="10">
                  <c:v>7</c:v>
                </c:pt>
                <c:pt idx="11">
                  <c:v>12</c:v>
                </c:pt>
                <c:pt idx="12">
                  <c:v>14</c:v>
                </c:pt>
                <c:pt idx="13">
                  <c:v>19</c:v>
                </c:pt>
                <c:pt idx="14">
                  <c:v>23</c:v>
                </c:pt>
                <c:pt idx="15">
                  <c:v>31</c:v>
                </c:pt>
                <c:pt idx="16">
                  <c:v>37</c:v>
                </c:pt>
                <c:pt idx="17">
                  <c:v>55</c:v>
                </c:pt>
                <c:pt idx="18">
                  <c:v>84</c:v>
                </c:pt>
                <c:pt idx="19">
                  <c:v>113</c:v>
                </c:pt>
                <c:pt idx="20">
                  <c:v>161</c:v>
                </c:pt>
                <c:pt idx="21">
                  <c:v>216</c:v>
                </c:pt>
                <c:pt idx="22">
                  <c:v>264</c:v>
                </c:pt>
                <c:pt idx="23">
                  <c:v>410</c:v>
                </c:pt>
                <c:pt idx="24">
                  <c:v>528</c:v>
                </c:pt>
                <c:pt idx="25">
                  <c:v>716</c:v>
                </c:pt>
                <c:pt idx="26">
                  <c:v>961</c:v>
                </c:pt>
                <c:pt idx="27">
                  <c:v>1199</c:v>
                </c:pt>
                <c:pt idx="28">
                  <c:v>1521</c:v>
                </c:pt>
                <c:pt idx="29">
                  <c:v>1810</c:v>
                </c:pt>
                <c:pt idx="30">
                  <c:v>2344</c:v>
                </c:pt>
                <c:pt idx="31">
                  <c:v>2793</c:v>
                </c:pt>
                <c:pt idx="32">
                  <c:v>3426</c:v>
                </c:pt>
                <c:pt idx="33">
                  <c:v>4143</c:v>
                </c:pt>
                <c:pt idx="34">
                  <c:v>5016</c:v>
                </c:pt>
                <c:pt idx="35">
                  <c:v>6077</c:v>
                </c:pt>
                <c:pt idx="36">
                  <c:v>7485</c:v>
                </c:pt>
                <c:pt idx="37">
                  <c:v>8812</c:v>
                </c:pt>
                <c:pt idx="38">
                  <c:v>10244</c:v>
                </c:pt>
                <c:pt idx="39">
                  <c:v>12129</c:v>
                </c:pt>
                <c:pt idx="40">
                  <c:v>14217</c:v>
                </c:pt>
                <c:pt idx="41">
                  <c:v>16205</c:v>
                </c:pt>
                <c:pt idx="42">
                  <c:v>18782</c:v>
                </c:pt>
                <c:pt idx="43">
                  <c:v>21545</c:v>
                </c:pt>
                <c:pt idx="44">
                  <c:v>24242</c:v>
                </c:pt>
                <c:pt idx="45">
                  <c:v>26708</c:v>
                </c:pt>
                <c:pt idx="46">
                  <c:v>30303</c:v>
                </c:pt>
                <c:pt idx="47">
                  <c:v>34059</c:v>
                </c:pt>
                <c:pt idx="48">
                  <c:v>37820</c:v>
                </c:pt>
                <c:pt idx="49">
                  <c:v>42325</c:v>
                </c:pt>
                <c:pt idx="50">
                  <c:v>46226</c:v>
                </c:pt>
                <c:pt idx="51">
                  <c:v>49266</c:v>
                </c:pt>
                <c:pt idx="52">
                  <c:v>52413</c:v>
                </c:pt>
                <c:pt idx="53">
                  <c:v>57315</c:v>
                </c:pt>
                <c:pt idx="54">
                  <c:v>61339</c:v>
                </c:pt>
                <c:pt idx="55">
                  <c:v>65533</c:v>
                </c:pt>
                <c:pt idx="56">
                  <c:v>69990</c:v>
                </c:pt>
                <c:pt idx="57">
                  <c:v>73448</c:v>
                </c:pt>
                <c:pt idx="58">
                  <c:v>76540</c:v>
                </c:pt>
                <c:pt idx="59">
                  <c:v>79636</c:v>
                </c:pt>
                <c:pt idx="60">
                  <c:v>83394</c:v>
                </c:pt>
                <c:pt idx="61">
                  <c:v>87938</c:v>
                </c:pt>
                <c:pt idx="62">
                  <c:v>91998</c:v>
                </c:pt>
                <c:pt idx="63">
                  <c:v>95781</c:v>
                </c:pt>
                <c:pt idx="64">
                  <c:v>99230</c:v>
                </c:pt>
                <c:pt idx="65">
                  <c:v>101984</c:v>
                </c:pt>
                <c:pt idx="66">
                  <c:v>104380</c:v>
                </c:pt>
              </c:numCache>
            </c:numRef>
          </c:val>
          <c:smooth val="0"/>
          <c:extLst>
            <c:ext xmlns:c16="http://schemas.microsoft.com/office/drawing/2014/chart" uri="{C3380CC4-5D6E-409C-BE32-E72D297353CC}">
              <c16:uniqueId val="{00000000-067F-43B5-AD9C-ECF0F702C6D4}"/>
            </c:ext>
          </c:extLst>
        </c:ser>
        <c:ser>
          <c:idx val="1"/>
          <c:order val="1"/>
          <c:marker>
            <c:symbol val="circle"/>
            <c:size val="6"/>
            <c:spPr>
              <a:solidFill>
                <a:srgbClr val="6AA84F"/>
              </a:solidFill>
              <a:ln cmpd="sng">
                <a:solidFill>
                  <a:srgbClr val="6AA84F"/>
                </a:solidFill>
              </a:ln>
            </c:spPr>
          </c:marker>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Europe!$BY$44:$BY$110</c:f>
              <c:numCache>
                <c:formatCode>General</c:formatCode>
                <c:ptCount val="67"/>
                <c:pt idx="0">
                  <c:v>0</c:v>
                </c:pt>
                <c:pt idx="1">
                  <c:v>0</c:v>
                </c:pt>
                <c:pt idx="2">
                  <c:v>0</c:v>
                </c:pt>
                <c:pt idx="3">
                  <c:v>0</c:v>
                </c:pt>
                <c:pt idx="4">
                  <c:v>0</c:v>
                </c:pt>
                <c:pt idx="5">
                  <c:v>0</c:v>
                </c:pt>
                <c:pt idx="6">
                  <c:v>0</c:v>
                </c:pt>
                <c:pt idx="7">
                  <c:v>0</c:v>
                </c:pt>
                <c:pt idx="8">
                  <c:v>2</c:v>
                </c:pt>
                <c:pt idx="9">
                  <c:v>3</c:v>
                </c:pt>
                <c:pt idx="10">
                  <c:v>6</c:v>
                </c:pt>
                <c:pt idx="11">
                  <c:v>11</c:v>
                </c:pt>
                <c:pt idx="12">
                  <c:v>12</c:v>
                </c:pt>
                <c:pt idx="13">
                  <c:v>17</c:v>
                </c:pt>
                <c:pt idx="14">
                  <c:v>21</c:v>
                </c:pt>
                <c:pt idx="15">
                  <c:v>29</c:v>
                </c:pt>
                <c:pt idx="16">
                  <c:v>35</c:v>
                </c:pt>
                <c:pt idx="17">
                  <c:v>52</c:v>
                </c:pt>
                <c:pt idx="18">
                  <c:v>79</c:v>
                </c:pt>
                <c:pt idx="19">
                  <c:v>107</c:v>
                </c:pt>
                <c:pt idx="20">
                  <c:v>148</c:v>
                </c:pt>
                <c:pt idx="21">
                  <c:v>197</c:v>
                </c:pt>
                <c:pt idx="22">
                  <c:v>233</c:v>
                </c:pt>
                <c:pt idx="23">
                  <c:v>366</c:v>
                </c:pt>
                <c:pt idx="24">
                  <c:v>463</c:v>
                </c:pt>
                <c:pt idx="25">
                  <c:v>631</c:v>
                </c:pt>
                <c:pt idx="26">
                  <c:v>827</c:v>
                </c:pt>
                <c:pt idx="27">
                  <c:v>1016</c:v>
                </c:pt>
                <c:pt idx="28">
                  <c:v>1266</c:v>
                </c:pt>
                <c:pt idx="29">
                  <c:v>1441</c:v>
                </c:pt>
                <c:pt idx="30">
                  <c:v>1809</c:v>
                </c:pt>
                <c:pt idx="31">
                  <c:v>2158</c:v>
                </c:pt>
                <c:pt idx="32">
                  <c:v>2503</c:v>
                </c:pt>
                <c:pt idx="33">
                  <c:v>2978</c:v>
                </c:pt>
                <c:pt idx="34">
                  <c:v>3405</c:v>
                </c:pt>
                <c:pt idx="35">
                  <c:v>4032</c:v>
                </c:pt>
                <c:pt idx="36">
                  <c:v>4825</c:v>
                </c:pt>
                <c:pt idx="37">
                  <c:v>5476</c:v>
                </c:pt>
                <c:pt idx="38">
                  <c:v>6077</c:v>
                </c:pt>
                <c:pt idx="39">
                  <c:v>6820</c:v>
                </c:pt>
                <c:pt idx="40">
                  <c:v>7503</c:v>
                </c:pt>
                <c:pt idx="41">
                  <c:v>8215</c:v>
                </c:pt>
                <c:pt idx="42">
                  <c:v>9134</c:v>
                </c:pt>
                <c:pt idx="43">
                  <c:v>10023</c:v>
                </c:pt>
                <c:pt idx="44">
                  <c:v>10779</c:v>
                </c:pt>
                <c:pt idx="45">
                  <c:v>11591</c:v>
                </c:pt>
                <c:pt idx="46">
                  <c:v>12428</c:v>
                </c:pt>
                <c:pt idx="47">
                  <c:v>13155</c:v>
                </c:pt>
                <c:pt idx="48">
                  <c:v>13917</c:v>
                </c:pt>
                <c:pt idx="49">
                  <c:v>14681</c:v>
                </c:pt>
                <c:pt idx="50">
                  <c:v>15362</c:v>
                </c:pt>
                <c:pt idx="51">
                  <c:v>15887</c:v>
                </c:pt>
                <c:pt idx="52">
                  <c:v>16523</c:v>
                </c:pt>
                <c:pt idx="53">
                  <c:v>17127</c:v>
                </c:pt>
                <c:pt idx="54">
                  <c:v>17669</c:v>
                </c:pt>
                <c:pt idx="55">
                  <c:v>18279</c:v>
                </c:pt>
                <c:pt idx="56">
                  <c:v>18849</c:v>
                </c:pt>
                <c:pt idx="57">
                  <c:v>19468</c:v>
                </c:pt>
                <c:pt idx="58">
                  <c:v>19899</c:v>
                </c:pt>
                <c:pt idx="59">
                  <c:v>20465</c:v>
                </c:pt>
                <c:pt idx="60">
                  <c:v>21067</c:v>
                </c:pt>
                <c:pt idx="61">
                  <c:v>21645</c:v>
                </c:pt>
                <c:pt idx="62">
                  <c:v>22170</c:v>
                </c:pt>
                <c:pt idx="63">
                  <c:v>22745</c:v>
                </c:pt>
                <c:pt idx="64">
                  <c:v>23227</c:v>
                </c:pt>
                <c:pt idx="65">
                  <c:v>23660</c:v>
                </c:pt>
                <c:pt idx="66">
                  <c:v>24114</c:v>
                </c:pt>
              </c:numCache>
            </c:numRef>
          </c:val>
          <c:smooth val="0"/>
          <c:extLst>
            <c:ext xmlns:c16="http://schemas.microsoft.com/office/drawing/2014/chart" uri="{C3380CC4-5D6E-409C-BE32-E72D297353CC}">
              <c16:uniqueId val="{00000001-067F-43B5-AD9C-ECF0F702C6D4}"/>
            </c:ext>
          </c:extLst>
        </c:ser>
        <c:ser>
          <c:idx val="2"/>
          <c:order val="2"/>
          <c:marker>
            <c:symbol val="circle"/>
            <c:size val="6"/>
            <c:spPr>
              <a:solidFill>
                <a:srgbClr val="F1C232"/>
              </a:solidFill>
              <a:ln cmpd="sng">
                <a:solidFill>
                  <a:srgbClr val="F1C232"/>
                </a:solidFill>
              </a:ln>
            </c:spPr>
          </c:marker>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Europe!$AR$44:$AR$110</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3</c:v>
                </c:pt>
                <c:pt idx="21">
                  <c:v>5</c:v>
                </c:pt>
                <c:pt idx="22">
                  <c:v>10</c:v>
                </c:pt>
                <c:pt idx="23">
                  <c:v>17</c:v>
                </c:pt>
                <c:pt idx="24">
                  <c:v>28</c:v>
                </c:pt>
                <c:pt idx="25">
                  <c:v>35</c:v>
                </c:pt>
                <c:pt idx="26">
                  <c:v>54</c:v>
                </c:pt>
                <c:pt idx="27">
                  <c:v>84</c:v>
                </c:pt>
                <c:pt idx="28">
                  <c:v>122</c:v>
                </c:pt>
                <c:pt idx="29">
                  <c:v>195</c:v>
                </c:pt>
                <c:pt idx="30">
                  <c:v>289</c:v>
                </c:pt>
                <c:pt idx="31">
                  <c:v>342</c:v>
                </c:pt>
                <c:pt idx="32">
                  <c:v>533</c:v>
                </c:pt>
                <c:pt idx="33">
                  <c:v>623</c:v>
                </c:pt>
                <c:pt idx="34">
                  <c:v>830</c:v>
                </c:pt>
                <c:pt idx="35">
                  <c:v>1043</c:v>
                </c:pt>
                <c:pt idx="36">
                  <c:v>1375</c:v>
                </c:pt>
                <c:pt idx="37">
                  <c:v>1772</c:v>
                </c:pt>
                <c:pt idx="38">
                  <c:v>2207</c:v>
                </c:pt>
                <c:pt idx="39">
                  <c:v>2808</c:v>
                </c:pt>
                <c:pt idx="40">
                  <c:v>3647</c:v>
                </c:pt>
                <c:pt idx="41">
                  <c:v>4145</c:v>
                </c:pt>
                <c:pt idx="42">
                  <c:v>4940</c:v>
                </c:pt>
                <c:pt idx="43">
                  <c:v>5820</c:v>
                </c:pt>
                <c:pt idx="44">
                  <c:v>6802</c:v>
                </c:pt>
                <c:pt idx="45">
                  <c:v>7340</c:v>
                </c:pt>
                <c:pt idx="46">
                  <c:v>8464</c:v>
                </c:pt>
                <c:pt idx="47">
                  <c:v>9387</c:v>
                </c:pt>
                <c:pt idx="48">
                  <c:v>10003</c:v>
                </c:pt>
                <c:pt idx="49">
                  <c:v>11198</c:v>
                </c:pt>
                <c:pt idx="50">
                  <c:v>11947</c:v>
                </c:pt>
                <c:pt idx="51">
                  <c:v>12641</c:v>
                </c:pt>
                <c:pt idx="52">
                  <c:v>13169</c:v>
                </c:pt>
                <c:pt idx="53">
                  <c:v>13912</c:v>
                </c:pt>
                <c:pt idx="54">
                  <c:v>14792</c:v>
                </c:pt>
                <c:pt idx="55">
                  <c:v>15238</c:v>
                </c:pt>
                <c:pt idx="56">
                  <c:v>15970</c:v>
                </c:pt>
                <c:pt idx="57">
                  <c:v>16480</c:v>
                </c:pt>
                <c:pt idx="58">
                  <c:v>16972</c:v>
                </c:pt>
                <c:pt idx="59">
                  <c:v>17489</c:v>
                </c:pt>
                <c:pt idx="60">
                  <c:v>18056</c:v>
                </c:pt>
                <c:pt idx="61">
                  <c:v>18579</c:v>
                </c:pt>
                <c:pt idx="62">
                  <c:v>19130</c:v>
                </c:pt>
                <c:pt idx="63">
                  <c:v>19631</c:v>
                </c:pt>
                <c:pt idx="64">
                  <c:v>20043</c:v>
                </c:pt>
                <c:pt idx="65">
                  <c:v>20595</c:v>
                </c:pt>
                <c:pt idx="66">
                  <c:v>20852</c:v>
                </c:pt>
              </c:numCache>
            </c:numRef>
          </c:val>
          <c:smooth val="0"/>
          <c:extLst>
            <c:ext xmlns:c16="http://schemas.microsoft.com/office/drawing/2014/chart" uri="{C3380CC4-5D6E-409C-BE32-E72D297353CC}">
              <c16:uniqueId val="{00000002-067F-43B5-AD9C-ECF0F702C6D4}"/>
            </c:ext>
          </c:extLst>
        </c:ser>
        <c:ser>
          <c:idx val="3"/>
          <c:order val="3"/>
          <c:marker>
            <c:symbol val="circle"/>
            <c:size val="6"/>
            <c:spPr>
              <a:solidFill>
                <a:srgbClr val="1155CC"/>
              </a:solidFill>
              <a:ln cmpd="sng">
                <a:solidFill>
                  <a:srgbClr val="1155CC"/>
                </a:solidFill>
              </a:ln>
            </c:spPr>
          </c:marker>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Europe!$BA$44:$BA$110</c:f>
              <c:numCache>
                <c:formatCode>General</c:formatCode>
                <c:ptCount val="67"/>
                <c:pt idx="0">
                  <c:v>1</c:v>
                </c:pt>
                <c:pt idx="1">
                  <c:v>1</c:v>
                </c:pt>
                <c:pt idx="2">
                  <c:v>1</c:v>
                </c:pt>
                <c:pt idx="3">
                  <c:v>1</c:v>
                </c:pt>
                <c:pt idx="4">
                  <c:v>1</c:v>
                </c:pt>
                <c:pt idx="5">
                  <c:v>1</c:v>
                </c:pt>
                <c:pt idx="6">
                  <c:v>1</c:v>
                </c:pt>
                <c:pt idx="7">
                  <c:v>1</c:v>
                </c:pt>
                <c:pt idx="8">
                  <c:v>1</c:v>
                </c:pt>
                <c:pt idx="9">
                  <c:v>1</c:v>
                </c:pt>
                <c:pt idx="10">
                  <c:v>1</c:v>
                </c:pt>
                <c:pt idx="11">
                  <c:v>1</c:v>
                </c:pt>
                <c:pt idx="12">
                  <c:v>2</c:v>
                </c:pt>
                <c:pt idx="13">
                  <c:v>2</c:v>
                </c:pt>
                <c:pt idx="14">
                  <c:v>2</c:v>
                </c:pt>
                <c:pt idx="15">
                  <c:v>2</c:v>
                </c:pt>
                <c:pt idx="16">
                  <c:v>2</c:v>
                </c:pt>
                <c:pt idx="17">
                  <c:v>3</c:v>
                </c:pt>
                <c:pt idx="18">
                  <c:v>4</c:v>
                </c:pt>
                <c:pt idx="19">
                  <c:v>4</c:v>
                </c:pt>
                <c:pt idx="20">
                  <c:v>7</c:v>
                </c:pt>
                <c:pt idx="21">
                  <c:v>9</c:v>
                </c:pt>
                <c:pt idx="22">
                  <c:v>16</c:v>
                </c:pt>
                <c:pt idx="23">
                  <c:v>19</c:v>
                </c:pt>
                <c:pt idx="24">
                  <c:v>25</c:v>
                </c:pt>
                <c:pt idx="25">
                  <c:v>33</c:v>
                </c:pt>
                <c:pt idx="26">
                  <c:v>48</c:v>
                </c:pt>
                <c:pt idx="27">
                  <c:v>61</c:v>
                </c:pt>
                <c:pt idx="28">
                  <c:v>79</c:v>
                </c:pt>
                <c:pt idx="29">
                  <c:v>91</c:v>
                </c:pt>
                <c:pt idx="30">
                  <c:v>127</c:v>
                </c:pt>
                <c:pt idx="31">
                  <c:v>148</c:v>
                </c:pt>
                <c:pt idx="32">
                  <c:v>175</c:v>
                </c:pt>
                <c:pt idx="33">
                  <c:v>264</c:v>
                </c:pt>
                <c:pt idx="34">
                  <c:v>372</c:v>
                </c:pt>
                <c:pt idx="35">
                  <c:v>450</c:v>
                </c:pt>
                <c:pt idx="36">
                  <c:v>562</c:v>
                </c:pt>
                <c:pt idx="37">
                  <c:v>674</c:v>
                </c:pt>
                <c:pt idx="38">
                  <c:v>860</c:v>
                </c:pt>
                <c:pt idx="39">
                  <c:v>1100</c:v>
                </c:pt>
                <c:pt idx="40">
                  <c:v>1331</c:v>
                </c:pt>
                <c:pt idx="41">
                  <c:v>1696</c:v>
                </c:pt>
                <c:pt idx="42">
                  <c:v>1995</c:v>
                </c:pt>
                <c:pt idx="43">
                  <c:v>2314</c:v>
                </c:pt>
                <c:pt idx="44">
                  <c:v>2606</c:v>
                </c:pt>
                <c:pt idx="45">
                  <c:v>3024</c:v>
                </c:pt>
                <c:pt idx="46">
                  <c:v>3523</c:v>
                </c:pt>
                <c:pt idx="47">
                  <c:v>4403</c:v>
                </c:pt>
                <c:pt idx="48">
                  <c:v>5387</c:v>
                </c:pt>
                <c:pt idx="49">
                  <c:v>6507</c:v>
                </c:pt>
                <c:pt idx="50">
                  <c:v>7560</c:v>
                </c:pt>
                <c:pt idx="51">
                  <c:v>8078</c:v>
                </c:pt>
                <c:pt idx="52">
                  <c:v>8911</c:v>
                </c:pt>
                <c:pt idx="53">
                  <c:v>10328</c:v>
                </c:pt>
                <c:pt idx="54">
                  <c:v>10869</c:v>
                </c:pt>
                <c:pt idx="55">
                  <c:v>12210</c:v>
                </c:pt>
                <c:pt idx="56">
                  <c:v>13197</c:v>
                </c:pt>
                <c:pt idx="57">
                  <c:v>13832</c:v>
                </c:pt>
                <c:pt idx="58">
                  <c:v>14393</c:v>
                </c:pt>
                <c:pt idx="59">
                  <c:v>14967</c:v>
                </c:pt>
                <c:pt idx="60">
                  <c:v>15729</c:v>
                </c:pt>
                <c:pt idx="61">
                  <c:v>17167</c:v>
                </c:pt>
                <c:pt idx="62">
                  <c:v>17920</c:v>
                </c:pt>
                <c:pt idx="63">
                  <c:v>18681</c:v>
                </c:pt>
                <c:pt idx="64">
                  <c:v>19323</c:v>
                </c:pt>
                <c:pt idx="65">
                  <c:v>19718</c:v>
                </c:pt>
                <c:pt idx="66">
                  <c:v>20265</c:v>
                </c:pt>
              </c:numCache>
            </c:numRef>
          </c:val>
          <c:smooth val="0"/>
          <c:extLst>
            <c:ext xmlns:c16="http://schemas.microsoft.com/office/drawing/2014/chart" uri="{C3380CC4-5D6E-409C-BE32-E72D297353CC}">
              <c16:uniqueId val="{00000003-067F-43B5-AD9C-ECF0F702C6D4}"/>
            </c:ext>
          </c:extLst>
        </c:ser>
        <c:ser>
          <c:idx val="4"/>
          <c:order val="4"/>
          <c:marker>
            <c:symbol val="circle"/>
            <c:size val="6"/>
            <c:spPr>
              <a:solidFill>
                <a:srgbClr val="674EA7"/>
              </a:solidFill>
              <a:ln cmpd="sng">
                <a:solidFill>
                  <a:srgbClr val="674EA7"/>
                </a:solidFill>
              </a:ln>
            </c:spPr>
          </c:marker>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Europe!$DX$44:$DX$110</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2</c:v>
                </c:pt>
                <c:pt idx="22">
                  <c:v>2</c:v>
                </c:pt>
                <c:pt idx="23">
                  <c:v>2</c:v>
                </c:pt>
                <c:pt idx="24">
                  <c:v>4</c:v>
                </c:pt>
                <c:pt idx="25">
                  <c:v>6</c:v>
                </c:pt>
                <c:pt idx="26">
                  <c:v>8</c:v>
                </c:pt>
                <c:pt idx="27">
                  <c:v>8</c:v>
                </c:pt>
                <c:pt idx="28">
                  <c:v>8</c:v>
                </c:pt>
                <c:pt idx="29">
                  <c:v>21</c:v>
                </c:pt>
                <c:pt idx="30">
                  <c:v>35</c:v>
                </c:pt>
                <c:pt idx="31">
                  <c:v>36</c:v>
                </c:pt>
                <c:pt idx="32">
                  <c:v>56</c:v>
                </c:pt>
                <c:pt idx="33">
                  <c:v>72</c:v>
                </c:pt>
                <c:pt idx="34">
                  <c:v>138</c:v>
                </c:pt>
                <c:pt idx="35">
                  <c:v>178</c:v>
                </c:pt>
                <c:pt idx="36">
                  <c:v>234</c:v>
                </c:pt>
                <c:pt idx="37">
                  <c:v>281</c:v>
                </c:pt>
                <c:pt idx="38">
                  <c:v>336</c:v>
                </c:pt>
                <c:pt idx="39">
                  <c:v>423</c:v>
                </c:pt>
                <c:pt idx="40">
                  <c:v>466</c:v>
                </c:pt>
                <c:pt idx="41">
                  <c:v>580</c:v>
                </c:pt>
                <c:pt idx="42">
                  <c:v>761</c:v>
                </c:pt>
                <c:pt idx="43">
                  <c:v>1021</c:v>
                </c:pt>
                <c:pt idx="44">
                  <c:v>1231</c:v>
                </c:pt>
                <c:pt idx="45">
                  <c:v>1411</c:v>
                </c:pt>
                <c:pt idx="46">
                  <c:v>1793</c:v>
                </c:pt>
                <c:pt idx="47">
                  <c:v>2357</c:v>
                </c:pt>
                <c:pt idx="48">
                  <c:v>2926</c:v>
                </c:pt>
                <c:pt idx="49">
                  <c:v>3611</c:v>
                </c:pt>
                <c:pt idx="50">
                  <c:v>4320</c:v>
                </c:pt>
                <c:pt idx="51">
                  <c:v>4943</c:v>
                </c:pt>
                <c:pt idx="52">
                  <c:v>5383</c:v>
                </c:pt>
                <c:pt idx="53">
                  <c:v>6171</c:v>
                </c:pt>
                <c:pt idx="54">
                  <c:v>7111</c:v>
                </c:pt>
                <c:pt idx="55">
                  <c:v>7992</c:v>
                </c:pt>
                <c:pt idx="56">
                  <c:v>8974</c:v>
                </c:pt>
                <c:pt idx="57">
                  <c:v>9892</c:v>
                </c:pt>
                <c:pt idx="58">
                  <c:v>10629</c:v>
                </c:pt>
                <c:pt idx="59">
                  <c:v>11346</c:v>
                </c:pt>
                <c:pt idx="60">
                  <c:v>12129</c:v>
                </c:pt>
                <c:pt idx="61">
                  <c:v>12894</c:v>
                </c:pt>
                <c:pt idx="62">
                  <c:v>13759</c:v>
                </c:pt>
                <c:pt idx="63">
                  <c:v>14607</c:v>
                </c:pt>
                <c:pt idx="64">
                  <c:v>15497</c:v>
                </c:pt>
                <c:pt idx="65">
                  <c:v>16095</c:v>
                </c:pt>
                <c:pt idx="66">
                  <c:v>16550</c:v>
                </c:pt>
              </c:numCache>
            </c:numRef>
          </c:val>
          <c:smooth val="0"/>
          <c:extLst>
            <c:ext xmlns:c16="http://schemas.microsoft.com/office/drawing/2014/chart" uri="{C3380CC4-5D6E-409C-BE32-E72D297353CC}">
              <c16:uniqueId val="{00000004-067F-43B5-AD9C-ECF0F702C6D4}"/>
            </c:ext>
          </c:extLst>
        </c:ser>
        <c:ser>
          <c:idx val="5"/>
          <c:order val="5"/>
          <c:marker>
            <c:symbol val="circle"/>
            <c:size val="6"/>
            <c:spPr>
              <a:solidFill>
                <a:srgbClr val="C27BA0"/>
              </a:solidFill>
              <a:ln cmpd="sng">
                <a:solidFill>
                  <a:srgbClr val="C27BA0"/>
                </a:solidFill>
              </a:ln>
            </c:spPr>
          </c:marker>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Europe!$DL$44:$DL$110</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1</c:v>
                </c:pt>
                <c:pt idx="23">
                  <c:v>3</c:v>
                </c:pt>
                <c:pt idx="24">
                  <c:v>3</c:v>
                </c:pt>
                <c:pt idx="25">
                  <c:v>4</c:v>
                </c:pt>
                <c:pt idx="26">
                  <c:v>5</c:v>
                </c:pt>
                <c:pt idx="27">
                  <c:v>5</c:v>
                </c:pt>
                <c:pt idx="28">
                  <c:v>10</c:v>
                </c:pt>
                <c:pt idx="29">
                  <c:v>12</c:v>
                </c:pt>
                <c:pt idx="30">
                  <c:v>20</c:v>
                </c:pt>
                <c:pt idx="31">
                  <c:v>24</c:v>
                </c:pt>
                <c:pt idx="32">
                  <c:v>43</c:v>
                </c:pt>
                <c:pt idx="33">
                  <c:v>58</c:v>
                </c:pt>
                <c:pt idx="34">
                  <c:v>77</c:v>
                </c:pt>
                <c:pt idx="35">
                  <c:v>106</c:v>
                </c:pt>
                <c:pt idx="36">
                  <c:v>137</c:v>
                </c:pt>
                <c:pt idx="37">
                  <c:v>179</c:v>
                </c:pt>
                <c:pt idx="38">
                  <c:v>214</c:v>
                </c:pt>
                <c:pt idx="39">
                  <c:v>277</c:v>
                </c:pt>
                <c:pt idx="40">
                  <c:v>357</c:v>
                </c:pt>
                <c:pt idx="41">
                  <c:v>435</c:v>
                </c:pt>
                <c:pt idx="42">
                  <c:v>547</c:v>
                </c:pt>
                <c:pt idx="43">
                  <c:v>640</c:v>
                </c:pt>
                <c:pt idx="44">
                  <c:v>772</c:v>
                </c:pt>
                <c:pt idx="45">
                  <c:v>865</c:v>
                </c:pt>
                <c:pt idx="46">
                  <c:v>1040</c:v>
                </c:pt>
                <c:pt idx="47">
                  <c:v>1175</c:v>
                </c:pt>
                <c:pt idx="48">
                  <c:v>1341</c:v>
                </c:pt>
                <c:pt idx="49">
                  <c:v>1490</c:v>
                </c:pt>
                <c:pt idx="50">
                  <c:v>1656</c:v>
                </c:pt>
                <c:pt idx="51">
                  <c:v>1766</c:v>
                </c:pt>
                <c:pt idx="52">
                  <c:v>1874</c:v>
                </c:pt>
                <c:pt idx="53">
                  <c:v>2108</c:v>
                </c:pt>
                <c:pt idx="54">
                  <c:v>2255</c:v>
                </c:pt>
                <c:pt idx="55">
                  <c:v>2403</c:v>
                </c:pt>
                <c:pt idx="56">
                  <c:v>2520</c:v>
                </c:pt>
                <c:pt idx="57">
                  <c:v>2653</c:v>
                </c:pt>
                <c:pt idx="58">
                  <c:v>2747</c:v>
                </c:pt>
                <c:pt idx="59">
                  <c:v>2833</c:v>
                </c:pt>
                <c:pt idx="60">
                  <c:v>2955</c:v>
                </c:pt>
                <c:pt idx="61">
                  <c:v>3145</c:v>
                </c:pt>
                <c:pt idx="62">
                  <c:v>3327</c:v>
                </c:pt>
                <c:pt idx="63">
                  <c:v>3471</c:v>
                </c:pt>
                <c:pt idx="64">
                  <c:v>3613</c:v>
                </c:pt>
                <c:pt idx="65">
                  <c:v>3697</c:v>
                </c:pt>
                <c:pt idx="66">
                  <c:v>3764</c:v>
                </c:pt>
              </c:numCache>
            </c:numRef>
          </c:val>
          <c:smooth val="0"/>
          <c:extLst>
            <c:ext xmlns:c16="http://schemas.microsoft.com/office/drawing/2014/chart" uri="{C3380CC4-5D6E-409C-BE32-E72D297353CC}">
              <c16:uniqueId val="{00000005-067F-43B5-AD9C-ECF0F702C6D4}"/>
            </c:ext>
          </c:extLst>
        </c:ser>
        <c:ser>
          <c:idx val="6"/>
          <c:order val="6"/>
          <c:marker>
            <c:symbol val="circle"/>
            <c:size val="6"/>
            <c:spPr>
              <a:solidFill>
                <a:srgbClr val="FF0000"/>
              </a:solidFill>
              <a:ln cmpd="sng">
                <a:solidFill>
                  <a:srgbClr val="FF0000"/>
                </a:solidFill>
              </a:ln>
            </c:spPr>
          </c:marker>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Europe!$EV$44:$EV$110</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2</c:v>
                </c:pt>
                <c:pt idx="24">
                  <c:v>2</c:v>
                </c:pt>
                <c:pt idx="25">
                  <c:v>3</c:v>
                </c:pt>
                <c:pt idx="26">
                  <c:v>7</c:v>
                </c:pt>
                <c:pt idx="27">
                  <c:v>9</c:v>
                </c:pt>
                <c:pt idx="28">
                  <c:v>11</c:v>
                </c:pt>
                <c:pt idx="29">
                  <c:v>14</c:v>
                </c:pt>
                <c:pt idx="30">
                  <c:v>19</c:v>
                </c:pt>
                <c:pt idx="31">
                  <c:v>25</c:v>
                </c:pt>
                <c:pt idx="32">
                  <c:v>36</c:v>
                </c:pt>
                <c:pt idx="33">
                  <c:v>46</c:v>
                </c:pt>
                <c:pt idx="34">
                  <c:v>55</c:v>
                </c:pt>
                <c:pt idx="35">
                  <c:v>72</c:v>
                </c:pt>
                <c:pt idx="36">
                  <c:v>72</c:v>
                </c:pt>
                <c:pt idx="37">
                  <c:v>107</c:v>
                </c:pt>
                <c:pt idx="38">
                  <c:v>137</c:v>
                </c:pt>
                <c:pt idx="39">
                  <c:v>158</c:v>
                </c:pt>
                <c:pt idx="40">
                  <c:v>193</c:v>
                </c:pt>
                <c:pt idx="41">
                  <c:v>230</c:v>
                </c:pt>
                <c:pt idx="42">
                  <c:v>262</c:v>
                </c:pt>
                <c:pt idx="43">
                  <c:v>306</c:v>
                </c:pt>
                <c:pt idx="44">
                  <c:v>345</c:v>
                </c:pt>
                <c:pt idx="45">
                  <c:v>405</c:v>
                </c:pt>
                <c:pt idx="46">
                  <c:v>470</c:v>
                </c:pt>
                <c:pt idx="47">
                  <c:v>525</c:v>
                </c:pt>
                <c:pt idx="48">
                  <c:v>585</c:v>
                </c:pt>
                <c:pt idx="49">
                  <c:v>644</c:v>
                </c:pt>
                <c:pt idx="50">
                  <c:v>707</c:v>
                </c:pt>
                <c:pt idx="51">
                  <c:v>757</c:v>
                </c:pt>
                <c:pt idx="52">
                  <c:v>811</c:v>
                </c:pt>
                <c:pt idx="53">
                  <c:v>874</c:v>
                </c:pt>
                <c:pt idx="54">
                  <c:v>939</c:v>
                </c:pt>
                <c:pt idx="55">
                  <c:v>998</c:v>
                </c:pt>
                <c:pt idx="56">
                  <c:v>1056</c:v>
                </c:pt>
                <c:pt idx="57">
                  <c:v>1085</c:v>
                </c:pt>
                <c:pt idx="58">
                  <c:v>1139</c:v>
                </c:pt>
                <c:pt idx="59">
                  <c:v>1168</c:v>
                </c:pt>
                <c:pt idx="60">
                  <c:v>1212</c:v>
                </c:pt>
                <c:pt idx="61">
                  <c:v>1262</c:v>
                </c:pt>
                <c:pt idx="62">
                  <c:v>1307</c:v>
                </c:pt>
                <c:pt idx="63">
                  <c:v>1354</c:v>
                </c:pt>
                <c:pt idx="64">
                  <c:v>1387</c:v>
                </c:pt>
                <c:pt idx="65">
                  <c:v>1412</c:v>
                </c:pt>
                <c:pt idx="66">
                  <c:v>1434</c:v>
                </c:pt>
              </c:numCache>
            </c:numRef>
          </c:val>
          <c:smooth val="0"/>
          <c:extLst>
            <c:ext xmlns:c16="http://schemas.microsoft.com/office/drawing/2014/chart" uri="{C3380CC4-5D6E-409C-BE32-E72D297353CC}">
              <c16:uniqueId val="{00000006-067F-43B5-AD9C-ECF0F702C6D4}"/>
            </c:ext>
          </c:extLst>
        </c:ser>
        <c:ser>
          <c:idx val="7"/>
          <c:order val="7"/>
          <c:marker>
            <c:symbol val="circle"/>
            <c:size val="6"/>
            <c:spPr>
              <a:solidFill>
                <a:srgbClr val="000000"/>
              </a:solidFill>
              <a:ln cmpd="sng">
                <a:solidFill>
                  <a:srgbClr val="000000"/>
                </a:solidFill>
              </a:ln>
            </c:spPr>
          </c:marker>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Europe!$Q$44:$Q$110</c:f>
              <c:numCache>
                <c:formatCode>0</c:formatCode>
                <c:ptCount val="67"/>
                <c:pt idx="0">
                  <c:v>0</c:v>
                </c:pt>
                <c:pt idx="1">
                  <c:v>0</c:v>
                </c:pt>
                <c:pt idx="2">
                  <c:v>0</c:v>
                </c:pt>
                <c:pt idx="3">
                  <c:v>0</c:v>
                </c:pt>
                <c:pt idx="4">
                  <c:v>0</c:v>
                </c:pt>
                <c:pt idx="5">
                  <c:v>0</c:v>
                </c:pt>
                <c:pt idx="6">
                  <c:v>0</c:v>
                </c:pt>
                <c:pt idx="7">
                  <c:v>0</c:v>
                </c:pt>
                <c:pt idx="8">
                  <c:v>0</c:v>
                </c:pt>
                <c:pt idx="9">
                  <c:v>0</c:v>
                </c:pt>
                <c:pt idx="10">
                  <c:v>0</c:v>
                </c:pt>
                <c:pt idx="11" formatCode="General">
                  <c:v>0</c:v>
                </c:pt>
                <c:pt idx="12" formatCode="General">
                  <c:v>0</c:v>
                </c:pt>
                <c:pt idx="13" formatCode="General">
                  <c:v>0</c:v>
                </c:pt>
                <c:pt idx="14" formatCode="General">
                  <c:v>0</c:v>
                </c:pt>
                <c:pt idx="15" formatCode="General">
                  <c:v>0</c:v>
                </c:pt>
                <c:pt idx="16" formatCode="General">
                  <c:v>0</c:v>
                </c:pt>
                <c:pt idx="17" formatCode="General">
                  <c:v>0</c:v>
                </c:pt>
                <c:pt idx="18" formatCode="General">
                  <c:v>0</c:v>
                </c:pt>
                <c:pt idx="19" formatCode="General">
                  <c:v>0</c:v>
                </c:pt>
                <c:pt idx="20" formatCode="General">
                  <c:v>0</c:v>
                </c:pt>
                <c:pt idx="21" formatCode="General">
                  <c:v>0</c:v>
                </c:pt>
                <c:pt idx="22" formatCode="General">
                  <c:v>0</c:v>
                </c:pt>
                <c:pt idx="23" formatCode="General">
                  <c:v>0</c:v>
                </c:pt>
                <c:pt idx="24" formatCode="General">
                  <c:v>2</c:v>
                </c:pt>
                <c:pt idx="25" formatCode="General">
                  <c:v>2</c:v>
                </c:pt>
                <c:pt idx="26" formatCode="General">
                  <c:v>3</c:v>
                </c:pt>
                <c:pt idx="27" formatCode="General">
                  <c:v>3</c:v>
                </c:pt>
                <c:pt idx="28" formatCode="General">
                  <c:v>7</c:v>
                </c:pt>
                <c:pt idx="29" formatCode="General">
                  <c:v>8</c:v>
                </c:pt>
                <c:pt idx="30" formatCode="General">
                  <c:v>11</c:v>
                </c:pt>
                <c:pt idx="31" formatCode="General">
                  <c:v>17</c:v>
                </c:pt>
                <c:pt idx="32" formatCode="General">
                  <c:v>24</c:v>
                </c:pt>
                <c:pt idx="33" formatCode="General">
                  <c:v>28</c:v>
                </c:pt>
                <c:pt idx="34" formatCode="General">
                  <c:v>44</c:v>
                </c:pt>
                <c:pt idx="35" formatCode="General">
                  <c:v>67</c:v>
                </c:pt>
                <c:pt idx="36" formatCode="General">
                  <c:v>84</c:v>
                </c:pt>
                <c:pt idx="37" formatCode="General">
                  <c:v>92</c:v>
                </c:pt>
                <c:pt idx="38" formatCode="General">
                  <c:v>123</c:v>
                </c:pt>
                <c:pt idx="39" formatCode="General">
                  <c:v>157</c:v>
                </c:pt>
                <c:pt idx="40" formatCode="General">
                  <c:v>206</c:v>
                </c:pt>
                <c:pt idx="41" formatCode="General">
                  <c:v>262</c:v>
                </c:pt>
                <c:pt idx="42" formatCode="General">
                  <c:v>342</c:v>
                </c:pt>
                <c:pt idx="43" formatCode="General">
                  <c:v>430</c:v>
                </c:pt>
                <c:pt idx="44" formatCode="General">
                  <c:v>525</c:v>
                </c:pt>
                <c:pt idx="45" formatCode="General">
                  <c:v>645</c:v>
                </c:pt>
                <c:pt idx="46" formatCode="General">
                  <c:v>774</c:v>
                </c:pt>
                <c:pt idx="47" formatCode="General">
                  <c:v>920</c:v>
                </c:pt>
                <c:pt idx="48" formatCode="General">
                  <c:v>1107</c:v>
                </c:pt>
                <c:pt idx="49" formatCode="General">
                  <c:v>1275</c:v>
                </c:pt>
                <c:pt idx="50" formatCode="General">
                  <c:v>1444</c:v>
                </c:pt>
                <c:pt idx="51" formatCode="General">
                  <c:v>1576</c:v>
                </c:pt>
                <c:pt idx="52" formatCode="General">
                  <c:v>1695</c:v>
                </c:pt>
                <c:pt idx="53" formatCode="General">
                  <c:v>1983</c:v>
                </c:pt>
                <c:pt idx="54" formatCode="General">
                  <c:v>2349</c:v>
                </c:pt>
                <c:pt idx="55" formatCode="General">
                  <c:v>2451</c:v>
                </c:pt>
                <c:pt idx="56" formatCode="General">
                  <c:v>2688</c:v>
                </c:pt>
                <c:pt idx="57" formatCode="General">
                  <c:v>2736</c:v>
                </c:pt>
                <c:pt idx="58" formatCode="General">
                  <c:v>2961</c:v>
                </c:pt>
                <c:pt idx="59" formatCode="General">
                  <c:v>3043</c:v>
                </c:pt>
                <c:pt idx="60" formatCode="General">
                  <c:v>3294</c:v>
                </c:pt>
                <c:pt idx="61" formatCode="General">
                  <c:v>3592</c:v>
                </c:pt>
                <c:pt idx="62" formatCode="General">
                  <c:v>3943</c:v>
                </c:pt>
                <c:pt idx="63" formatCode="General">
                  <c:v>4203</c:v>
                </c:pt>
                <c:pt idx="64" formatCode="General">
                  <c:v>4426</c:v>
                </c:pt>
                <c:pt idx="65" formatCode="General">
                  <c:v>4586</c:v>
                </c:pt>
                <c:pt idx="66" formatCode="General">
                  <c:v>4706</c:v>
                </c:pt>
              </c:numCache>
            </c:numRef>
          </c:val>
          <c:smooth val="0"/>
          <c:extLst>
            <c:ext xmlns:c16="http://schemas.microsoft.com/office/drawing/2014/chart" uri="{C3380CC4-5D6E-409C-BE32-E72D297353CC}">
              <c16:uniqueId val="{00000007-067F-43B5-AD9C-ECF0F702C6D4}"/>
            </c:ext>
          </c:extLst>
        </c:ser>
        <c:ser>
          <c:idx val="8"/>
          <c:order val="8"/>
          <c:marker>
            <c:symbol val="circle"/>
            <c:size val="6"/>
            <c:spPr>
              <a:solidFill>
                <a:srgbClr val="78C6D8"/>
              </a:solidFill>
              <a:ln cmpd="sng">
                <a:solidFill>
                  <a:srgbClr val="78C6D8"/>
                </a:solidFill>
              </a:ln>
            </c:spPr>
          </c:marker>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Europe!$W$44:$W$110</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3</c:v>
                </c:pt>
                <c:pt idx="27">
                  <c:v>3</c:v>
                </c:pt>
                <c:pt idx="28">
                  <c:v>3</c:v>
                </c:pt>
                <c:pt idx="29">
                  <c:v>4</c:v>
                </c:pt>
                <c:pt idx="30">
                  <c:v>4</c:v>
                </c:pt>
                <c:pt idx="31">
                  <c:v>5</c:v>
                </c:pt>
                <c:pt idx="32">
                  <c:v>10</c:v>
                </c:pt>
                <c:pt idx="33">
                  <c:v>14</c:v>
                </c:pt>
                <c:pt idx="34">
                  <c:v>21</c:v>
                </c:pt>
                <c:pt idx="35">
                  <c:v>37</c:v>
                </c:pt>
                <c:pt idx="36">
                  <c:v>67</c:v>
                </c:pt>
                <c:pt idx="37">
                  <c:v>75</c:v>
                </c:pt>
                <c:pt idx="38">
                  <c:v>88</c:v>
                </c:pt>
                <c:pt idx="39">
                  <c:v>122</c:v>
                </c:pt>
                <c:pt idx="40">
                  <c:v>178</c:v>
                </c:pt>
                <c:pt idx="41">
                  <c:v>220</c:v>
                </c:pt>
                <c:pt idx="42">
                  <c:v>289</c:v>
                </c:pt>
                <c:pt idx="43">
                  <c:v>353</c:v>
                </c:pt>
                <c:pt idx="44">
                  <c:v>431</c:v>
                </c:pt>
                <c:pt idx="45">
                  <c:v>513</c:v>
                </c:pt>
                <c:pt idx="46">
                  <c:v>705</c:v>
                </c:pt>
                <c:pt idx="47">
                  <c:v>828</c:v>
                </c:pt>
                <c:pt idx="48">
                  <c:v>1011</c:v>
                </c:pt>
                <c:pt idx="49">
                  <c:v>1143</c:v>
                </c:pt>
                <c:pt idx="50">
                  <c:v>1283</c:v>
                </c:pt>
                <c:pt idx="51">
                  <c:v>1447</c:v>
                </c:pt>
                <c:pt idx="52">
                  <c:v>1632</c:v>
                </c:pt>
                <c:pt idx="53">
                  <c:v>2035</c:v>
                </c:pt>
                <c:pt idx="54">
                  <c:v>2240</c:v>
                </c:pt>
                <c:pt idx="55">
                  <c:v>2523</c:v>
                </c:pt>
                <c:pt idx="56">
                  <c:v>3019</c:v>
                </c:pt>
                <c:pt idx="57">
                  <c:v>3346</c:v>
                </c:pt>
                <c:pt idx="58">
                  <c:v>3600</c:v>
                </c:pt>
                <c:pt idx="59">
                  <c:v>3903</c:v>
                </c:pt>
                <c:pt idx="60">
                  <c:v>4157</c:v>
                </c:pt>
                <c:pt idx="61">
                  <c:v>4440</c:v>
                </c:pt>
                <c:pt idx="62">
                  <c:v>4857</c:v>
                </c:pt>
                <c:pt idx="63">
                  <c:v>5163</c:v>
                </c:pt>
                <c:pt idx="64">
                  <c:v>5453</c:v>
                </c:pt>
                <c:pt idx="65">
                  <c:v>5683</c:v>
                </c:pt>
                <c:pt idx="66">
                  <c:v>5828</c:v>
                </c:pt>
              </c:numCache>
            </c:numRef>
          </c:val>
          <c:smooth val="0"/>
          <c:extLst>
            <c:ext xmlns:c16="http://schemas.microsoft.com/office/drawing/2014/chart" uri="{C3380CC4-5D6E-409C-BE32-E72D297353CC}">
              <c16:uniqueId val="{00000008-067F-43B5-AD9C-ECF0F702C6D4}"/>
            </c:ext>
          </c:extLst>
        </c:ser>
        <c:ser>
          <c:idx val="9"/>
          <c:order val="9"/>
          <c:spPr>
            <a:ln w="19050" cmpd="sng">
              <a:solidFill>
                <a:srgbClr val="FF9900"/>
              </a:solidFill>
            </a:ln>
          </c:spPr>
          <c:marker>
            <c:symbol val="circle"/>
            <c:size val="6"/>
            <c:spPr>
              <a:solidFill>
                <a:srgbClr val="FF9900"/>
              </a:solidFill>
              <a:ln cmpd="sng">
                <a:solidFill>
                  <a:srgbClr val="FF9900"/>
                </a:solidFill>
              </a:ln>
            </c:spPr>
          </c:marker>
          <c:cat>
            <c:numRef>
              <c:f>Europe!$A$43:$A$110</c:f>
              <c:numCache>
                <c:formatCode>dd\.mm\.yyyy</c:formatCode>
                <c:ptCount val="68"/>
                <c:pt idx="0">
                  <c:v>43874</c:v>
                </c:pt>
                <c:pt idx="1">
                  <c:v>43875</c:v>
                </c:pt>
                <c:pt idx="2">
                  <c:v>43876</c:v>
                </c:pt>
                <c:pt idx="3">
                  <c:v>43877</c:v>
                </c:pt>
                <c:pt idx="4">
                  <c:v>43878</c:v>
                </c:pt>
                <c:pt idx="5">
                  <c:v>43879</c:v>
                </c:pt>
                <c:pt idx="6">
                  <c:v>43880</c:v>
                </c:pt>
                <c:pt idx="7">
                  <c:v>43881</c:v>
                </c:pt>
                <c:pt idx="8">
                  <c:v>43882</c:v>
                </c:pt>
                <c:pt idx="9">
                  <c:v>43883</c:v>
                </c:pt>
                <c:pt idx="10">
                  <c:v>43884</c:v>
                </c:pt>
                <c:pt idx="11">
                  <c:v>43885</c:v>
                </c:pt>
                <c:pt idx="12">
                  <c:v>43886</c:v>
                </c:pt>
                <c:pt idx="13">
                  <c:v>43887</c:v>
                </c:pt>
                <c:pt idx="14">
                  <c:v>43888</c:v>
                </c:pt>
                <c:pt idx="15">
                  <c:v>43889</c:v>
                </c:pt>
                <c:pt idx="16">
                  <c:v>43890</c:v>
                </c:pt>
                <c:pt idx="17">
                  <c:v>43891</c:v>
                </c:pt>
                <c:pt idx="18">
                  <c:v>43892</c:v>
                </c:pt>
                <c:pt idx="19">
                  <c:v>43893</c:v>
                </c:pt>
                <c:pt idx="20">
                  <c:v>43894</c:v>
                </c:pt>
                <c:pt idx="21">
                  <c:v>43895</c:v>
                </c:pt>
                <c:pt idx="22">
                  <c:v>43896</c:v>
                </c:pt>
                <c:pt idx="23">
                  <c:v>43897</c:v>
                </c:pt>
                <c:pt idx="24">
                  <c:v>43898</c:v>
                </c:pt>
                <c:pt idx="25">
                  <c:v>43899</c:v>
                </c:pt>
                <c:pt idx="26">
                  <c:v>43900</c:v>
                </c:pt>
                <c:pt idx="27">
                  <c:v>43901</c:v>
                </c:pt>
                <c:pt idx="28">
                  <c:v>43902</c:v>
                </c:pt>
                <c:pt idx="29">
                  <c:v>43903</c:v>
                </c:pt>
                <c:pt idx="30">
                  <c:v>43904</c:v>
                </c:pt>
                <c:pt idx="31">
                  <c:v>43905</c:v>
                </c:pt>
                <c:pt idx="32">
                  <c:v>43906</c:v>
                </c:pt>
                <c:pt idx="33">
                  <c:v>43907</c:v>
                </c:pt>
                <c:pt idx="34">
                  <c:v>43908</c:v>
                </c:pt>
                <c:pt idx="35">
                  <c:v>43909</c:v>
                </c:pt>
                <c:pt idx="36">
                  <c:v>43910</c:v>
                </c:pt>
                <c:pt idx="37">
                  <c:v>43911</c:v>
                </c:pt>
                <c:pt idx="38">
                  <c:v>43912</c:v>
                </c:pt>
                <c:pt idx="39">
                  <c:v>43913</c:v>
                </c:pt>
                <c:pt idx="40">
                  <c:v>43914</c:v>
                </c:pt>
                <c:pt idx="41">
                  <c:v>43915</c:v>
                </c:pt>
                <c:pt idx="42">
                  <c:v>43916</c:v>
                </c:pt>
                <c:pt idx="43">
                  <c:v>43917</c:v>
                </c:pt>
                <c:pt idx="44">
                  <c:v>43918</c:v>
                </c:pt>
                <c:pt idx="45">
                  <c:v>43919</c:v>
                </c:pt>
                <c:pt idx="46">
                  <c:v>43920</c:v>
                </c:pt>
                <c:pt idx="47">
                  <c:v>43921</c:v>
                </c:pt>
                <c:pt idx="48">
                  <c:v>43922</c:v>
                </c:pt>
                <c:pt idx="49">
                  <c:v>43923</c:v>
                </c:pt>
                <c:pt idx="50">
                  <c:v>43924</c:v>
                </c:pt>
                <c:pt idx="51">
                  <c:v>43925</c:v>
                </c:pt>
                <c:pt idx="52">
                  <c:v>43926</c:v>
                </c:pt>
                <c:pt idx="53">
                  <c:v>43927</c:v>
                </c:pt>
                <c:pt idx="54">
                  <c:v>43928</c:v>
                </c:pt>
                <c:pt idx="55">
                  <c:v>43929</c:v>
                </c:pt>
                <c:pt idx="56">
                  <c:v>43930</c:v>
                </c:pt>
                <c:pt idx="57">
                  <c:v>43931</c:v>
                </c:pt>
                <c:pt idx="58">
                  <c:v>43932</c:v>
                </c:pt>
                <c:pt idx="59">
                  <c:v>43933</c:v>
                </c:pt>
                <c:pt idx="60">
                  <c:v>43934</c:v>
                </c:pt>
                <c:pt idx="61">
                  <c:v>43935</c:v>
                </c:pt>
                <c:pt idx="62">
                  <c:v>43936</c:v>
                </c:pt>
                <c:pt idx="63">
                  <c:v>43937</c:v>
                </c:pt>
                <c:pt idx="64">
                  <c:v>43938</c:v>
                </c:pt>
                <c:pt idx="65">
                  <c:v>43939</c:v>
                </c:pt>
                <c:pt idx="66">
                  <c:v>43940</c:v>
                </c:pt>
                <c:pt idx="67">
                  <c:v>43941</c:v>
                </c:pt>
              </c:numCache>
            </c:numRef>
          </c:cat>
          <c:val>
            <c:numRef>
              <c:f>Europe!$ES$44:$ES$110</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2</c:v>
                </c:pt>
                <c:pt idx="30">
                  <c:v>3</c:v>
                </c:pt>
                <c:pt idx="31">
                  <c:v>6</c:v>
                </c:pt>
                <c:pt idx="32">
                  <c:v>7</c:v>
                </c:pt>
                <c:pt idx="33">
                  <c:v>10</c:v>
                </c:pt>
                <c:pt idx="34">
                  <c:v>11</c:v>
                </c:pt>
                <c:pt idx="35">
                  <c:v>16</c:v>
                </c:pt>
                <c:pt idx="36">
                  <c:v>20</c:v>
                </c:pt>
                <c:pt idx="37">
                  <c:v>21</c:v>
                </c:pt>
                <c:pt idx="38">
                  <c:v>25</c:v>
                </c:pt>
                <c:pt idx="39">
                  <c:v>36</c:v>
                </c:pt>
                <c:pt idx="40">
                  <c:v>62</c:v>
                </c:pt>
                <c:pt idx="41">
                  <c:v>71</c:v>
                </c:pt>
                <c:pt idx="42">
                  <c:v>92</c:v>
                </c:pt>
                <c:pt idx="43">
                  <c:v>105</c:v>
                </c:pt>
                <c:pt idx="44">
                  <c:v>110</c:v>
                </c:pt>
                <c:pt idx="45">
                  <c:v>146</c:v>
                </c:pt>
                <c:pt idx="46">
                  <c:v>180</c:v>
                </c:pt>
                <c:pt idx="47">
                  <c:v>239</c:v>
                </c:pt>
                <c:pt idx="48">
                  <c:v>308</c:v>
                </c:pt>
                <c:pt idx="49">
                  <c:v>358</c:v>
                </c:pt>
                <c:pt idx="50">
                  <c:v>373</c:v>
                </c:pt>
                <c:pt idx="51">
                  <c:v>401</c:v>
                </c:pt>
                <c:pt idx="52">
                  <c:v>477</c:v>
                </c:pt>
                <c:pt idx="53">
                  <c:v>591</c:v>
                </c:pt>
                <c:pt idx="54">
                  <c:v>687</c:v>
                </c:pt>
                <c:pt idx="55">
                  <c:v>793</c:v>
                </c:pt>
                <c:pt idx="56">
                  <c:v>870</c:v>
                </c:pt>
                <c:pt idx="57">
                  <c:v>887</c:v>
                </c:pt>
                <c:pt idx="58">
                  <c:v>899</c:v>
                </c:pt>
                <c:pt idx="59">
                  <c:v>919</c:v>
                </c:pt>
                <c:pt idx="60">
                  <c:v>1033</c:v>
                </c:pt>
                <c:pt idx="61">
                  <c:v>1203</c:v>
                </c:pt>
                <c:pt idx="62">
                  <c:v>1333</c:v>
                </c:pt>
                <c:pt idx="63">
                  <c:v>1400</c:v>
                </c:pt>
                <c:pt idx="64">
                  <c:v>1511</c:v>
                </c:pt>
                <c:pt idx="65">
                  <c:v>1540</c:v>
                </c:pt>
                <c:pt idx="66">
                  <c:v>1580</c:v>
                </c:pt>
              </c:numCache>
            </c:numRef>
          </c:val>
          <c:smooth val="0"/>
          <c:extLst>
            <c:ext xmlns:c16="http://schemas.microsoft.com/office/drawing/2014/chart" uri="{C3380CC4-5D6E-409C-BE32-E72D297353CC}">
              <c16:uniqueId val="{00000009-067F-43B5-AD9C-ECF0F702C6D4}"/>
            </c:ext>
          </c:extLst>
        </c:ser>
        <c:dLbls>
          <c:showLegendKey val="0"/>
          <c:showVal val="0"/>
          <c:showCatName val="0"/>
          <c:showSerName val="0"/>
          <c:showPercent val="0"/>
          <c:showBubbleSize val="0"/>
        </c:dLbls>
        <c:marker val="1"/>
        <c:smooth val="0"/>
        <c:axId val="1763366887"/>
        <c:axId val="1980364914"/>
      </c:lineChart>
      <c:dateAx>
        <c:axId val="1763366887"/>
        <c:scaling>
          <c:orientation val="minMax"/>
        </c:scaling>
        <c:delete val="0"/>
        <c:axPos val="b"/>
        <c:title>
          <c:tx>
            <c:rich>
              <a:bodyPr/>
              <a:lstStyle/>
              <a:p>
                <a:pPr lvl="0">
                  <a:defRPr b="0">
                    <a:solidFill>
                      <a:srgbClr val="000000"/>
                    </a:solidFill>
                    <a:latin typeface="Roboto"/>
                  </a:defRPr>
                </a:pPr>
                <a:endParaRPr/>
              </a:p>
            </c:rich>
          </c:tx>
          <c:overlay val="0"/>
        </c:title>
        <c:numFmt formatCode="dd\.mm\.yyyy" sourceLinked="1"/>
        <c:majorTickMark val="cross"/>
        <c:minorTickMark val="cross"/>
        <c:tickLblPos val="nextTo"/>
        <c:txPr>
          <a:bodyPr rot="0"/>
          <a:lstStyle/>
          <a:p>
            <a:pPr lvl="0">
              <a:defRPr b="0">
                <a:solidFill>
                  <a:srgbClr val="000000"/>
                </a:solidFill>
                <a:latin typeface="Roboto"/>
              </a:defRPr>
            </a:pPr>
            <a:endParaRPr lang="fr-FR"/>
          </a:p>
        </c:txPr>
        <c:crossAx val="1980364914"/>
        <c:crosses val="autoZero"/>
        <c:auto val="1"/>
        <c:lblOffset val="100"/>
        <c:baseTimeUnit val="days"/>
      </c:dateAx>
      <c:valAx>
        <c:axId val="1980364914"/>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fr-FR"/>
          </a:p>
        </c:txPr>
        <c:crossAx val="1763366887"/>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2000" b="0">
                <a:solidFill>
                  <a:srgbClr val="666666"/>
                </a:solidFill>
                <a:latin typeface="Roboto"/>
              </a:defRPr>
            </a:pPr>
            <a:r>
              <a:t>Evolution du nombre de cas avérés du COVID-19 dans le monde</a:t>
            </a:r>
          </a:p>
        </c:rich>
      </c:tx>
      <c:overlay val="0"/>
    </c:title>
    <c:autoTitleDeleted val="0"/>
    <c:plotArea>
      <c:layout/>
      <c:lineChart>
        <c:grouping val="standard"/>
        <c:varyColors val="0"/>
        <c:ser>
          <c:idx val="0"/>
          <c:order val="0"/>
          <c:marker>
            <c:symbol val="circle"/>
            <c:size val="6"/>
            <c:spPr>
              <a:solidFill>
                <a:srgbClr val="E69138"/>
              </a:solidFill>
              <a:ln cmpd="sng">
                <a:solidFill>
                  <a:srgbClr val="E69138"/>
                </a:solidFill>
              </a:ln>
            </c:spPr>
          </c:marker>
          <c:cat>
            <c:numRef>
              <c:f>'Chiffres - Monde'!$A$4:$A$108</c:f>
              <c:numCache>
                <c:formatCode>dd\.mm\.yyyy</c:formatCode>
                <c:ptCount val="105"/>
                <c:pt idx="0">
                  <c:v>43815</c:v>
                </c:pt>
                <c:pt idx="1">
                  <c:v>43830</c:v>
                </c:pt>
                <c:pt idx="2">
                  <c:v>43839</c:v>
                </c:pt>
                <c:pt idx="3">
                  <c:v>43840</c:v>
                </c:pt>
                <c:pt idx="4">
                  <c:v>43841</c:v>
                </c:pt>
                <c:pt idx="5">
                  <c:v>43842</c:v>
                </c:pt>
                <c:pt idx="6">
                  <c:v>43843</c:v>
                </c:pt>
                <c:pt idx="7">
                  <c:v>43844</c:v>
                </c:pt>
                <c:pt idx="8">
                  <c:v>43845</c:v>
                </c:pt>
                <c:pt idx="9">
                  <c:v>43846</c:v>
                </c:pt>
                <c:pt idx="10">
                  <c:v>43847</c:v>
                </c:pt>
                <c:pt idx="11">
                  <c:v>43848</c:v>
                </c:pt>
                <c:pt idx="12">
                  <c:v>43849</c:v>
                </c:pt>
                <c:pt idx="13">
                  <c:v>43850</c:v>
                </c:pt>
                <c:pt idx="14">
                  <c:v>43851</c:v>
                </c:pt>
                <c:pt idx="15">
                  <c:v>43852</c:v>
                </c:pt>
                <c:pt idx="16">
                  <c:v>43853</c:v>
                </c:pt>
                <c:pt idx="17">
                  <c:v>43854</c:v>
                </c:pt>
                <c:pt idx="18">
                  <c:v>43855</c:v>
                </c:pt>
                <c:pt idx="19">
                  <c:v>43856</c:v>
                </c:pt>
                <c:pt idx="20">
                  <c:v>43857</c:v>
                </c:pt>
                <c:pt idx="21">
                  <c:v>43858</c:v>
                </c:pt>
                <c:pt idx="22">
                  <c:v>43859</c:v>
                </c:pt>
                <c:pt idx="23">
                  <c:v>43860</c:v>
                </c:pt>
                <c:pt idx="24">
                  <c:v>43861</c:v>
                </c:pt>
                <c:pt idx="25">
                  <c:v>43862</c:v>
                </c:pt>
                <c:pt idx="26">
                  <c:v>43863</c:v>
                </c:pt>
                <c:pt idx="27">
                  <c:v>43864</c:v>
                </c:pt>
                <c:pt idx="28">
                  <c:v>43865</c:v>
                </c:pt>
                <c:pt idx="29">
                  <c:v>43866</c:v>
                </c:pt>
                <c:pt idx="30">
                  <c:v>43867</c:v>
                </c:pt>
                <c:pt idx="31">
                  <c:v>43868</c:v>
                </c:pt>
                <c:pt idx="32">
                  <c:v>43869</c:v>
                </c:pt>
                <c:pt idx="33">
                  <c:v>43870</c:v>
                </c:pt>
                <c:pt idx="34">
                  <c:v>43871</c:v>
                </c:pt>
                <c:pt idx="35">
                  <c:v>43872</c:v>
                </c:pt>
                <c:pt idx="36">
                  <c:v>43873</c:v>
                </c:pt>
                <c:pt idx="37">
                  <c:v>43874</c:v>
                </c:pt>
                <c:pt idx="38">
                  <c:v>43875</c:v>
                </c:pt>
                <c:pt idx="39">
                  <c:v>43876</c:v>
                </c:pt>
                <c:pt idx="40">
                  <c:v>43877</c:v>
                </c:pt>
                <c:pt idx="41">
                  <c:v>43878</c:v>
                </c:pt>
                <c:pt idx="42">
                  <c:v>43879</c:v>
                </c:pt>
                <c:pt idx="43">
                  <c:v>43880</c:v>
                </c:pt>
                <c:pt idx="44">
                  <c:v>43881</c:v>
                </c:pt>
                <c:pt idx="45">
                  <c:v>43882</c:v>
                </c:pt>
                <c:pt idx="46">
                  <c:v>43883</c:v>
                </c:pt>
                <c:pt idx="47">
                  <c:v>43884</c:v>
                </c:pt>
                <c:pt idx="48">
                  <c:v>43885</c:v>
                </c:pt>
                <c:pt idx="49">
                  <c:v>43886</c:v>
                </c:pt>
                <c:pt idx="50">
                  <c:v>43887</c:v>
                </c:pt>
                <c:pt idx="51">
                  <c:v>43888</c:v>
                </c:pt>
                <c:pt idx="52">
                  <c:v>43889</c:v>
                </c:pt>
                <c:pt idx="53">
                  <c:v>43890</c:v>
                </c:pt>
                <c:pt idx="54">
                  <c:v>43891</c:v>
                </c:pt>
                <c:pt idx="55">
                  <c:v>43892</c:v>
                </c:pt>
                <c:pt idx="56">
                  <c:v>43893</c:v>
                </c:pt>
                <c:pt idx="57">
                  <c:v>43894</c:v>
                </c:pt>
                <c:pt idx="58">
                  <c:v>43895</c:v>
                </c:pt>
                <c:pt idx="59">
                  <c:v>43896</c:v>
                </c:pt>
                <c:pt idx="60">
                  <c:v>43897</c:v>
                </c:pt>
                <c:pt idx="61">
                  <c:v>43898</c:v>
                </c:pt>
                <c:pt idx="62">
                  <c:v>43899</c:v>
                </c:pt>
                <c:pt idx="63">
                  <c:v>43900</c:v>
                </c:pt>
                <c:pt idx="64">
                  <c:v>43901</c:v>
                </c:pt>
                <c:pt idx="65">
                  <c:v>43902</c:v>
                </c:pt>
                <c:pt idx="66">
                  <c:v>43903</c:v>
                </c:pt>
                <c:pt idx="67">
                  <c:v>43904</c:v>
                </c:pt>
                <c:pt idx="68">
                  <c:v>43905</c:v>
                </c:pt>
                <c:pt idx="69">
                  <c:v>43906</c:v>
                </c:pt>
                <c:pt idx="70">
                  <c:v>43907</c:v>
                </c:pt>
                <c:pt idx="71">
                  <c:v>43908</c:v>
                </c:pt>
                <c:pt idx="72">
                  <c:v>43909</c:v>
                </c:pt>
                <c:pt idx="73">
                  <c:v>43910</c:v>
                </c:pt>
                <c:pt idx="74">
                  <c:v>43911</c:v>
                </c:pt>
                <c:pt idx="75">
                  <c:v>43912</c:v>
                </c:pt>
                <c:pt idx="76">
                  <c:v>43913</c:v>
                </c:pt>
                <c:pt idx="77">
                  <c:v>43914</c:v>
                </c:pt>
                <c:pt idx="78">
                  <c:v>43915</c:v>
                </c:pt>
                <c:pt idx="79">
                  <c:v>43916</c:v>
                </c:pt>
                <c:pt idx="80">
                  <c:v>43917</c:v>
                </c:pt>
                <c:pt idx="81">
                  <c:v>43918</c:v>
                </c:pt>
                <c:pt idx="82">
                  <c:v>43919</c:v>
                </c:pt>
                <c:pt idx="83">
                  <c:v>43920</c:v>
                </c:pt>
                <c:pt idx="84">
                  <c:v>43921</c:v>
                </c:pt>
                <c:pt idx="85">
                  <c:v>43922</c:v>
                </c:pt>
                <c:pt idx="86">
                  <c:v>43923</c:v>
                </c:pt>
                <c:pt idx="87">
                  <c:v>43924</c:v>
                </c:pt>
                <c:pt idx="88">
                  <c:v>43925</c:v>
                </c:pt>
                <c:pt idx="89">
                  <c:v>43926</c:v>
                </c:pt>
                <c:pt idx="90">
                  <c:v>43927</c:v>
                </c:pt>
                <c:pt idx="91">
                  <c:v>43928</c:v>
                </c:pt>
                <c:pt idx="92">
                  <c:v>43929</c:v>
                </c:pt>
                <c:pt idx="93">
                  <c:v>43930</c:v>
                </c:pt>
                <c:pt idx="94">
                  <c:v>43931</c:v>
                </c:pt>
                <c:pt idx="95">
                  <c:v>43932</c:v>
                </c:pt>
                <c:pt idx="96">
                  <c:v>43933</c:v>
                </c:pt>
                <c:pt idx="97">
                  <c:v>43934</c:v>
                </c:pt>
                <c:pt idx="98">
                  <c:v>43935</c:v>
                </c:pt>
                <c:pt idx="99">
                  <c:v>43936</c:v>
                </c:pt>
                <c:pt idx="100">
                  <c:v>43937</c:v>
                </c:pt>
                <c:pt idx="101">
                  <c:v>43938</c:v>
                </c:pt>
                <c:pt idx="102">
                  <c:v>43939</c:v>
                </c:pt>
                <c:pt idx="103">
                  <c:v>43940</c:v>
                </c:pt>
                <c:pt idx="104">
                  <c:v>43941</c:v>
                </c:pt>
              </c:numCache>
            </c:numRef>
          </c:cat>
          <c:val>
            <c:numRef>
              <c:f>'Chiffres - Monde'!$B$4:$B$108</c:f>
              <c:numCache>
                <c:formatCode>0</c:formatCode>
                <c:ptCount val="105"/>
                <c:pt idx="0">
                  <c:v>41</c:v>
                </c:pt>
                <c:pt idx="1">
                  <c:v>41</c:v>
                </c:pt>
                <c:pt idx="2">
                  <c:v>41</c:v>
                </c:pt>
                <c:pt idx="3">
                  <c:v>41</c:v>
                </c:pt>
                <c:pt idx="4">
                  <c:v>41</c:v>
                </c:pt>
                <c:pt idx="5">
                  <c:v>41</c:v>
                </c:pt>
                <c:pt idx="6">
                  <c:v>42</c:v>
                </c:pt>
                <c:pt idx="7">
                  <c:v>42</c:v>
                </c:pt>
                <c:pt idx="8">
                  <c:v>43</c:v>
                </c:pt>
                <c:pt idx="9">
                  <c:v>43</c:v>
                </c:pt>
                <c:pt idx="10">
                  <c:v>43</c:v>
                </c:pt>
                <c:pt idx="11">
                  <c:v>43</c:v>
                </c:pt>
                <c:pt idx="12">
                  <c:v>43</c:v>
                </c:pt>
                <c:pt idx="13">
                  <c:v>282</c:v>
                </c:pt>
                <c:pt idx="14">
                  <c:v>332</c:v>
                </c:pt>
                <c:pt idx="15">
                  <c:v>555</c:v>
                </c:pt>
                <c:pt idx="16">
                  <c:v>649</c:v>
                </c:pt>
                <c:pt idx="17">
                  <c:v>939</c:v>
                </c:pt>
                <c:pt idx="18">
                  <c:v>2074</c:v>
                </c:pt>
                <c:pt idx="19">
                  <c:v>2810</c:v>
                </c:pt>
                <c:pt idx="20">
                  <c:v>4593</c:v>
                </c:pt>
                <c:pt idx="21">
                  <c:v>6177</c:v>
                </c:pt>
                <c:pt idx="22">
                  <c:v>7912</c:v>
                </c:pt>
                <c:pt idx="23">
                  <c:v>9952</c:v>
                </c:pt>
                <c:pt idx="24">
                  <c:v>11953</c:v>
                </c:pt>
                <c:pt idx="25">
                  <c:v>14650</c:v>
                </c:pt>
                <c:pt idx="26">
                  <c:v>17569</c:v>
                </c:pt>
                <c:pt idx="27">
                  <c:v>20663</c:v>
                </c:pt>
                <c:pt idx="28">
                  <c:v>24590</c:v>
                </c:pt>
                <c:pt idx="29">
                  <c:v>28318</c:v>
                </c:pt>
                <c:pt idx="30">
                  <c:v>31461</c:v>
                </c:pt>
                <c:pt idx="31">
                  <c:v>34884</c:v>
                </c:pt>
                <c:pt idx="32">
                  <c:v>37558</c:v>
                </c:pt>
                <c:pt idx="33">
                  <c:v>40554</c:v>
                </c:pt>
                <c:pt idx="34">
                  <c:v>43097</c:v>
                </c:pt>
                <c:pt idx="35">
                  <c:v>45172</c:v>
                </c:pt>
                <c:pt idx="36">
                  <c:v>46998</c:v>
                </c:pt>
                <c:pt idx="37">
                  <c:v>64437</c:v>
                </c:pt>
                <c:pt idx="38">
                  <c:v>65102</c:v>
                </c:pt>
                <c:pt idx="39">
                  <c:v>69267</c:v>
                </c:pt>
                <c:pt idx="40">
                  <c:v>71429</c:v>
                </c:pt>
                <c:pt idx="41">
                  <c:v>73332</c:v>
                </c:pt>
                <c:pt idx="42">
                  <c:v>75203</c:v>
                </c:pt>
                <c:pt idx="43">
                  <c:v>75695</c:v>
                </c:pt>
                <c:pt idx="44">
                  <c:v>76769</c:v>
                </c:pt>
                <c:pt idx="45">
                  <c:v>77794</c:v>
                </c:pt>
                <c:pt idx="46">
                  <c:v>78811</c:v>
                </c:pt>
                <c:pt idx="47">
                  <c:v>79325</c:v>
                </c:pt>
                <c:pt idx="48">
                  <c:v>80233</c:v>
                </c:pt>
                <c:pt idx="49">
                  <c:v>81118</c:v>
                </c:pt>
                <c:pt idx="50">
                  <c:v>82297</c:v>
                </c:pt>
                <c:pt idx="51">
                  <c:v>83665</c:v>
                </c:pt>
                <c:pt idx="52">
                  <c:v>85423</c:v>
                </c:pt>
                <c:pt idx="53">
                  <c:v>87162</c:v>
                </c:pt>
                <c:pt idx="54">
                  <c:v>88949</c:v>
                </c:pt>
                <c:pt idx="55">
                  <c:v>90291</c:v>
                </c:pt>
                <c:pt idx="56">
                  <c:v>92828</c:v>
                </c:pt>
                <c:pt idx="57">
                  <c:v>95119</c:v>
                </c:pt>
                <c:pt idx="58">
                  <c:v>97928</c:v>
                </c:pt>
                <c:pt idx="59">
                  <c:v>101756</c:v>
                </c:pt>
                <c:pt idx="60">
                  <c:v>105837</c:v>
                </c:pt>
                <c:pt idx="61">
                  <c:v>109798</c:v>
                </c:pt>
                <c:pt idx="62">
                  <c:v>113780</c:v>
                </c:pt>
                <c:pt idx="63">
                  <c:v>118530</c:v>
                </c:pt>
                <c:pt idx="64">
                  <c:v>125927</c:v>
                </c:pt>
                <c:pt idx="65">
                  <c:v>133082</c:v>
                </c:pt>
                <c:pt idx="66">
                  <c:v>142442</c:v>
                </c:pt>
                <c:pt idx="67">
                  <c:v>156247</c:v>
                </c:pt>
                <c:pt idx="68">
                  <c:v>167698</c:v>
                </c:pt>
                <c:pt idx="69">
                  <c:v>181240</c:v>
                </c:pt>
                <c:pt idx="70">
                  <c:v>197126</c:v>
                </c:pt>
                <c:pt idx="71">
                  <c:v>216420</c:v>
                </c:pt>
                <c:pt idx="72">
                  <c:v>243778</c:v>
                </c:pt>
                <c:pt idx="73">
                  <c:v>273030</c:v>
                </c:pt>
                <c:pt idx="74">
                  <c:v>304350</c:v>
                </c:pt>
                <c:pt idx="75">
                  <c:v>336792</c:v>
                </c:pt>
                <c:pt idx="76">
                  <c:v>376520</c:v>
                </c:pt>
                <c:pt idx="77">
                  <c:v>418527</c:v>
                </c:pt>
                <c:pt idx="78">
                  <c:v>467648</c:v>
                </c:pt>
                <c:pt idx="79">
                  <c:v>526873</c:v>
                </c:pt>
                <c:pt idx="80">
                  <c:v>592705</c:v>
                </c:pt>
                <c:pt idx="81">
                  <c:v>660343</c:v>
                </c:pt>
                <c:pt idx="82">
                  <c:v>716569</c:v>
                </c:pt>
                <c:pt idx="83">
                  <c:v>777865</c:v>
                </c:pt>
                <c:pt idx="84">
                  <c:v>855439</c:v>
                </c:pt>
                <c:pt idx="85">
                  <c:v>932930</c:v>
                </c:pt>
                <c:pt idx="86">
                  <c:v>1006618</c:v>
                </c:pt>
                <c:pt idx="87">
                  <c:v>1094848</c:v>
                </c:pt>
                <c:pt idx="88">
                  <c:v>1175766</c:v>
                </c:pt>
                <c:pt idx="89">
                  <c:v>1248120</c:v>
                </c:pt>
                <c:pt idx="90">
                  <c:v>1313895</c:v>
                </c:pt>
                <c:pt idx="91">
                  <c:v>1382988</c:v>
                </c:pt>
                <c:pt idx="92">
                  <c:v>1476039</c:v>
                </c:pt>
                <c:pt idx="93">
                  <c:v>1555914</c:v>
                </c:pt>
                <c:pt idx="94">
                  <c:v>1647995</c:v>
                </c:pt>
                <c:pt idx="95">
                  <c:v>1729124</c:v>
                </c:pt>
                <c:pt idx="96">
                  <c:v>1808748</c:v>
                </c:pt>
                <c:pt idx="97">
                  <c:v>1873012</c:v>
                </c:pt>
                <c:pt idx="98">
                  <c:v>1944698</c:v>
                </c:pt>
                <c:pt idx="99">
                  <c:v>2027733</c:v>
                </c:pt>
                <c:pt idx="100">
                  <c:v>2111126</c:v>
                </c:pt>
                <c:pt idx="101">
                  <c:v>2197098</c:v>
                </c:pt>
                <c:pt idx="102">
                  <c:v>2279171</c:v>
                </c:pt>
                <c:pt idx="103">
                  <c:v>2354265</c:v>
                </c:pt>
                <c:pt idx="104">
                  <c:v>2428256</c:v>
                </c:pt>
              </c:numCache>
            </c:numRef>
          </c:val>
          <c:smooth val="0"/>
          <c:extLst>
            <c:ext xmlns:c16="http://schemas.microsoft.com/office/drawing/2014/chart" uri="{C3380CC4-5D6E-409C-BE32-E72D297353CC}">
              <c16:uniqueId val="{00000000-9D82-410B-AD1F-285DE789134C}"/>
            </c:ext>
          </c:extLst>
        </c:ser>
        <c:dLbls>
          <c:showLegendKey val="0"/>
          <c:showVal val="0"/>
          <c:showCatName val="0"/>
          <c:showSerName val="0"/>
          <c:showPercent val="0"/>
          <c:showBubbleSize val="0"/>
        </c:dLbls>
        <c:marker val="1"/>
        <c:smooth val="0"/>
        <c:axId val="284783260"/>
        <c:axId val="1367030188"/>
      </c:lineChart>
      <c:dateAx>
        <c:axId val="284783260"/>
        <c:scaling>
          <c:orientation val="minMax"/>
        </c:scaling>
        <c:delete val="0"/>
        <c:axPos val="b"/>
        <c:title>
          <c:tx>
            <c:rich>
              <a:bodyPr/>
              <a:lstStyle/>
              <a:p>
                <a:pPr lvl="0">
                  <a:defRPr b="0">
                    <a:solidFill>
                      <a:srgbClr val="000000"/>
                    </a:solidFill>
                    <a:latin typeface="Roboto"/>
                  </a:defRPr>
                </a:pPr>
                <a:endParaRPr/>
              </a:p>
            </c:rich>
          </c:tx>
          <c:overlay val="0"/>
        </c:title>
        <c:numFmt formatCode="dd\.mm\.yyyy" sourceLinked="1"/>
        <c:majorTickMark val="cross"/>
        <c:minorTickMark val="cross"/>
        <c:tickLblPos val="nextTo"/>
        <c:txPr>
          <a:bodyPr rot="0"/>
          <a:lstStyle/>
          <a:p>
            <a:pPr lvl="0">
              <a:defRPr b="0">
                <a:solidFill>
                  <a:srgbClr val="000000"/>
                </a:solidFill>
                <a:latin typeface="Roboto"/>
              </a:defRPr>
            </a:pPr>
            <a:endParaRPr lang="fr-FR"/>
          </a:p>
        </c:txPr>
        <c:crossAx val="1367030188"/>
        <c:crosses val="autoZero"/>
        <c:auto val="1"/>
        <c:lblOffset val="100"/>
        <c:baseTimeUnit val="days"/>
      </c:dateAx>
      <c:valAx>
        <c:axId val="1367030188"/>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fr-FR"/>
          </a:p>
        </c:txPr>
        <c:crossAx val="284783260"/>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2000" b="0">
                <a:solidFill>
                  <a:srgbClr val="666666"/>
                </a:solidFill>
                <a:latin typeface="Roboto"/>
              </a:defRPr>
            </a:pPr>
            <a:r>
              <a:t>Evolution du nombre de morts avérées causées par le COVID-19 dans le monde (hors Chine)</a:t>
            </a:r>
          </a:p>
        </c:rich>
      </c:tx>
      <c:overlay val="0"/>
    </c:title>
    <c:autoTitleDeleted val="0"/>
    <c:plotArea>
      <c:layout/>
      <c:lineChart>
        <c:grouping val="standard"/>
        <c:varyColors val="0"/>
        <c:ser>
          <c:idx val="0"/>
          <c:order val="0"/>
          <c:marker>
            <c:symbol val="circle"/>
            <c:size val="6"/>
            <c:spPr>
              <a:solidFill>
                <a:srgbClr val="CC0000"/>
              </a:solidFill>
              <a:ln cmpd="sng">
                <a:solidFill>
                  <a:srgbClr val="CC0000"/>
                </a:solidFill>
              </a:ln>
            </c:spPr>
          </c:marker>
          <c:cat>
            <c:numRef>
              <c:f>'Chiffres - Monde'!$A$4:$A$108</c:f>
              <c:numCache>
                <c:formatCode>dd\.mm\.yyyy</c:formatCode>
                <c:ptCount val="105"/>
                <c:pt idx="0">
                  <c:v>43815</c:v>
                </c:pt>
                <c:pt idx="1">
                  <c:v>43830</c:v>
                </c:pt>
                <c:pt idx="2">
                  <c:v>43839</c:v>
                </c:pt>
                <c:pt idx="3">
                  <c:v>43840</c:v>
                </c:pt>
                <c:pt idx="4">
                  <c:v>43841</c:v>
                </c:pt>
                <c:pt idx="5">
                  <c:v>43842</c:v>
                </c:pt>
                <c:pt idx="6">
                  <c:v>43843</c:v>
                </c:pt>
                <c:pt idx="7">
                  <c:v>43844</c:v>
                </c:pt>
                <c:pt idx="8">
                  <c:v>43845</c:v>
                </c:pt>
                <c:pt idx="9">
                  <c:v>43846</c:v>
                </c:pt>
                <c:pt idx="10">
                  <c:v>43847</c:v>
                </c:pt>
                <c:pt idx="11">
                  <c:v>43848</c:v>
                </c:pt>
                <c:pt idx="12">
                  <c:v>43849</c:v>
                </c:pt>
                <c:pt idx="13">
                  <c:v>43850</c:v>
                </c:pt>
                <c:pt idx="14">
                  <c:v>43851</c:v>
                </c:pt>
                <c:pt idx="15">
                  <c:v>43852</c:v>
                </c:pt>
                <c:pt idx="16">
                  <c:v>43853</c:v>
                </c:pt>
                <c:pt idx="17">
                  <c:v>43854</c:v>
                </c:pt>
                <c:pt idx="18">
                  <c:v>43855</c:v>
                </c:pt>
                <c:pt idx="19">
                  <c:v>43856</c:v>
                </c:pt>
                <c:pt idx="20">
                  <c:v>43857</c:v>
                </c:pt>
                <c:pt idx="21">
                  <c:v>43858</c:v>
                </c:pt>
                <c:pt idx="22">
                  <c:v>43859</c:v>
                </c:pt>
                <c:pt idx="23">
                  <c:v>43860</c:v>
                </c:pt>
                <c:pt idx="24">
                  <c:v>43861</c:v>
                </c:pt>
                <c:pt idx="25">
                  <c:v>43862</c:v>
                </c:pt>
                <c:pt idx="26">
                  <c:v>43863</c:v>
                </c:pt>
                <c:pt idx="27">
                  <c:v>43864</c:v>
                </c:pt>
                <c:pt idx="28">
                  <c:v>43865</c:v>
                </c:pt>
                <c:pt idx="29">
                  <c:v>43866</c:v>
                </c:pt>
                <c:pt idx="30">
                  <c:v>43867</c:v>
                </c:pt>
                <c:pt idx="31">
                  <c:v>43868</c:v>
                </c:pt>
                <c:pt idx="32">
                  <c:v>43869</c:v>
                </c:pt>
                <c:pt idx="33">
                  <c:v>43870</c:v>
                </c:pt>
                <c:pt idx="34">
                  <c:v>43871</c:v>
                </c:pt>
                <c:pt idx="35">
                  <c:v>43872</c:v>
                </c:pt>
                <c:pt idx="36">
                  <c:v>43873</c:v>
                </c:pt>
                <c:pt idx="37">
                  <c:v>43874</c:v>
                </c:pt>
                <c:pt idx="38">
                  <c:v>43875</c:v>
                </c:pt>
                <c:pt idx="39">
                  <c:v>43876</c:v>
                </c:pt>
                <c:pt idx="40">
                  <c:v>43877</c:v>
                </c:pt>
                <c:pt idx="41">
                  <c:v>43878</c:v>
                </c:pt>
                <c:pt idx="42">
                  <c:v>43879</c:v>
                </c:pt>
                <c:pt idx="43">
                  <c:v>43880</c:v>
                </c:pt>
                <c:pt idx="44">
                  <c:v>43881</c:v>
                </c:pt>
                <c:pt idx="45">
                  <c:v>43882</c:v>
                </c:pt>
                <c:pt idx="46">
                  <c:v>43883</c:v>
                </c:pt>
                <c:pt idx="47">
                  <c:v>43884</c:v>
                </c:pt>
                <c:pt idx="48">
                  <c:v>43885</c:v>
                </c:pt>
                <c:pt idx="49">
                  <c:v>43886</c:v>
                </c:pt>
                <c:pt idx="50">
                  <c:v>43887</c:v>
                </c:pt>
                <c:pt idx="51">
                  <c:v>43888</c:v>
                </c:pt>
                <c:pt idx="52">
                  <c:v>43889</c:v>
                </c:pt>
                <c:pt idx="53">
                  <c:v>43890</c:v>
                </c:pt>
                <c:pt idx="54">
                  <c:v>43891</c:v>
                </c:pt>
                <c:pt idx="55">
                  <c:v>43892</c:v>
                </c:pt>
                <c:pt idx="56">
                  <c:v>43893</c:v>
                </c:pt>
                <c:pt idx="57">
                  <c:v>43894</c:v>
                </c:pt>
                <c:pt idx="58">
                  <c:v>43895</c:v>
                </c:pt>
                <c:pt idx="59">
                  <c:v>43896</c:v>
                </c:pt>
                <c:pt idx="60">
                  <c:v>43897</c:v>
                </c:pt>
                <c:pt idx="61">
                  <c:v>43898</c:v>
                </c:pt>
                <c:pt idx="62">
                  <c:v>43899</c:v>
                </c:pt>
                <c:pt idx="63">
                  <c:v>43900</c:v>
                </c:pt>
                <c:pt idx="64">
                  <c:v>43901</c:v>
                </c:pt>
                <c:pt idx="65">
                  <c:v>43902</c:v>
                </c:pt>
                <c:pt idx="66">
                  <c:v>43903</c:v>
                </c:pt>
                <c:pt idx="67">
                  <c:v>43904</c:v>
                </c:pt>
                <c:pt idx="68">
                  <c:v>43905</c:v>
                </c:pt>
                <c:pt idx="69">
                  <c:v>43906</c:v>
                </c:pt>
                <c:pt idx="70">
                  <c:v>43907</c:v>
                </c:pt>
                <c:pt idx="71">
                  <c:v>43908</c:v>
                </c:pt>
                <c:pt idx="72">
                  <c:v>43909</c:v>
                </c:pt>
                <c:pt idx="73">
                  <c:v>43910</c:v>
                </c:pt>
                <c:pt idx="74">
                  <c:v>43911</c:v>
                </c:pt>
                <c:pt idx="75">
                  <c:v>43912</c:v>
                </c:pt>
                <c:pt idx="76">
                  <c:v>43913</c:v>
                </c:pt>
                <c:pt idx="77">
                  <c:v>43914</c:v>
                </c:pt>
                <c:pt idx="78">
                  <c:v>43915</c:v>
                </c:pt>
                <c:pt idx="79">
                  <c:v>43916</c:v>
                </c:pt>
                <c:pt idx="80">
                  <c:v>43917</c:v>
                </c:pt>
                <c:pt idx="81">
                  <c:v>43918</c:v>
                </c:pt>
                <c:pt idx="82">
                  <c:v>43919</c:v>
                </c:pt>
                <c:pt idx="83">
                  <c:v>43920</c:v>
                </c:pt>
                <c:pt idx="84">
                  <c:v>43921</c:v>
                </c:pt>
                <c:pt idx="85">
                  <c:v>43922</c:v>
                </c:pt>
                <c:pt idx="86">
                  <c:v>43923</c:v>
                </c:pt>
                <c:pt idx="87">
                  <c:v>43924</c:v>
                </c:pt>
                <c:pt idx="88">
                  <c:v>43925</c:v>
                </c:pt>
                <c:pt idx="89">
                  <c:v>43926</c:v>
                </c:pt>
                <c:pt idx="90">
                  <c:v>43927</c:v>
                </c:pt>
                <c:pt idx="91">
                  <c:v>43928</c:v>
                </c:pt>
                <c:pt idx="92">
                  <c:v>43929</c:v>
                </c:pt>
                <c:pt idx="93">
                  <c:v>43930</c:v>
                </c:pt>
                <c:pt idx="94">
                  <c:v>43931</c:v>
                </c:pt>
                <c:pt idx="95">
                  <c:v>43932</c:v>
                </c:pt>
                <c:pt idx="96">
                  <c:v>43933</c:v>
                </c:pt>
                <c:pt idx="97">
                  <c:v>43934</c:v>
                </c:pt>
                <c:pt idx="98">
                  <c:v>43935</c:v>
                </c:pt>
                <c:pt idx="99">
                  <c:v>43936</c:v>
                </c:pt>
                <c:pt idx="100">
                  <c:v>43937</c:v>
                </c:pt>
                <c:pt idx="101">
                  <c:v>43938</c:v>
                </c:pt>
                <c:pt idx="102">
                  <c:v>43939</c:v>
                </c:pt>
                <c:pt idx="103">
                  <c:v>43940</c:v>
                </c:pt>
                <c:pt idx="104">
                  <c:v>43941</c:v>
                </c:pt>
              </c:numCache>
            </c:numRef>
          </c:cat>
          <c:val>
            <c:numRef>
              <c:f>'Chiffres - Monde'!#REF!</c:f>
              <c:numCache>
                <c:formatCode>General</c:formatCode>
                <c:ptCount val="1"/>
                <c:pt idx="0">
                  <c:v>1</c:v>
                </c:pt>
              </c:numCache>
            </c:numRef>
          </c:val>
          <c:smooth val="0"/>
          <c:extLst>
            <c:ext xmlns:c16="http://schemas.microsoft.com/office/drawing/2014/chart" uri="{C3380CC4-5D6E-409C-BE32-E72D297353CC}">
              <c16:uniqueId val="{00000000-91B7-486F-93B5-9EA189604848}"/>
            </c:ext>
          </c:extLst>
        </c:ser>
        <c:dLbls>
          <c:showLegendKey val="0"/>
          <c:showVal val="0"/>
          <c:showCatName val="0"/>
          <c:showSerName val="0"/>
          <c:showPercent val="0"/>
          <c:showBubbleSize val="0"/>
        </c:dLbls>
        <c:marker val="1"/>
        <c:smooth val="0"/>
        <c:axId val="585672463"/>
        <c:axId val="151380241"/>
      </c:lineChart>
      <c:dateAx>
        <c:axId val="585672463"/>
        <c:scaling>
          <c:orientation val="minMax"/>
        </c:scaling>
        <c:delete val="0"/>
        <c:axPos val="b"/>
        <c:title>
          <c:tx>
            <c:rich>
              <a:bodyPr/>
              <a:lstStyle/>
              <a:p>
                <a:pPr lvl="0">
                  <a:defRPr b="0">
                    <a:solidFill>
                      <a:srgbClr val="000000"/>
                    </a:solidFill>
                    <a:latin typeface="Roboto"/>
                  </a:defRPr>
                </a:pPr>
                <a:endParaRPr/>
              </a:p>
            </c:rich>
          </c:tx>
          <c:overlay val="0"/>
        </c:title>
        <c:numFmt formatCode="dd\.mm\.yyyy" sourceLinked="1"/>
        <c:majorTickMark val="cross"/>
        <c:minorTickMark val="cross"/>
        <c:tickLblPos val="nextTo"/>
        <c:txPr>
          <a:bodyPr rot="0"/>
          <a:lstStyle/>
          <a:p>
            <a:pPr lvl="0">
              <a:defRPr b="0">
                <a:solidFill>
                  <a:srgbClr val="000000"/>
                </a:solidFill>
                <a:latin typeface="Roboto"/>
              </a:defRPr>
            </a:pPr>
            <a:endParaRPr lang="fr-FR"/>
          </a:p>
        </c:txPr>
        <c:crossAx val="151380241"/>
        <c:crosses val="autoZero"/>
        <c:auto val="1"/>
        <c:lblOffset val="100"/>
        <c:baseTimeUnit val="days"/>
      </c:dateAx>
      <c:valAx>
        <c:axId val="151380241"/>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fr-FR"/>
          </a:p>
        </c:txPr>
        <c:crossAx val="585672463"/>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2000" b="0">
                <a:solidFill>
                  <a:srgbClr val="666666"/>
                </a:solidFill>
                <a:latin typeface="Roboto"/>
              </a:defRPr>
            </a:pPr>
            <a:r>
              <a:t>Evolution du nombre de morts avérées causées par le COVID-19 dans le monde</a:t>
            </a:r>
          </a:p>
        </c:rich>
      </c:tx>
      <c:overlay val="0"/>
    </c:title>
    <c:autoTitleDeleted val="0"/>
    <c:plotArea>
      <c:layout/>
      <c:lineChart>
        <c:grouping val="standard"/>
        <c:varyColors val="0"/>
        <c:ser>
          <c:idx val="0"/>
          <c:order val="0"/>
          <c:marker>
            <c:symbol val="circle"/>
            <c:size val="6"/>
            <c:spPr>
              <a:solidFill>
                <a:srgbClr val="CC0000"/>
              </a:solidFill>
              <a:ln cmpd="sng">
                <a:solidFill>
                  <a:srgbClr val="CC0000"/>
                </a:solidFill>
              </a:ln>
            </c:spPr>
          </c:marker>
          <c:cat>
            <c:numRef>
              <c:f>'Chiffres - Monde'!$A$4:$A$108</c:f>
              <c:numCache>
                <c:formatCode>dd\.mm\.yyyy</c:formatCode>
                <c:ptCount val="105"/>
                <c:pt idx="0">
                  <c:v>43815</c:v>
                </c:pt>
                <c:pt idx="1">
                  <c:v>43830</c:v>
                </c:pt>
                <c:pt idx="2">
                  <c:v>43839</c:v>
                </c:pt>
                <c:pt idx="3">
                  <c:v>43840</c:v>
                </c:pt>
                <c:pt idx="4">
                  <c:v>43841</c:v>
                </c:pt>
                <c:pt idx="5">
                  <c:v>43842</c:v>
                </c:pt>
                <c:pt idx="6">
                  <c:v>43843</c:v>
                </c:pt>
                <c:pt idx="7">
                  <c:v>43844</c:v>
                </c:pt>
                <c:pt idx="8">
                  <c:v>43845</c:v>
                </c:pt>
                <c:pt idx="9">
                  <c:v>43846</c:v>
                </c:pt>
                <c:pt idx="10">
                  <c:v>43847</c:v>
                </c:pt>
                <c:pt idx="11">
                  <c:v>43848</c:v>
                </c:pt>
                <c:pt idx="12">
                  <c:v>43849</c:v>
                </c:pt>
                <c:pt idx="13">
                  <c:v>43850</c:v>
                </c:pt>
                <c:pt idx="14">
                  <c:v>43851</c:v>
                </c:pt>
                <c:pt idx="15">
                  <c:v>43852</c:v>
                </c:pt>
                <c:pt idx="16">
                  <c:v>43853</c:v>
                </c:pt>
                <c:pt idx="17">
                  <c:v>43854</c:v>
                </c:pt>
                <c:pt idx="18">
                  <c:v>43855</c:v>
                </c:pt>
                <c:pt idx="19">
                  <c:v>43856</c:v>
                </c:pt>
                <c:pt idx="20">
                  <c:v>43857</c:v>
                </c:pt>
                <c:pt idx="21">
                  <c:v>43858</c:v>
                </c:pt>
                <c:pt idx="22">
                  <c:v>43859</c:v>
                </c:pt>
                <c:pt idx="23">
                  <c:v>43860</c:v>
                </c:pt>
                <c:pt idx="24">
                  <c:v>43861</c:v>
                </c:pt>
                <c:pt idx="25">
                  <c:v>43862</c:v>
                </c:pt>
                <c:pt idx="26">
                  <c:v>43863</c:v>
                </c:pt>
                <c:pt idx="27">
                  <c:v>43864</c:v>
                </c:pt>
                <c:pt idx="28">
                  <c:v>43865</c:v>
                </c:pt>
                <c:pt idx="29">
                  <c:v>43866</c:v>
                </c:pt>
                <c:pt idx="30">
                  <c:v>43867</c:v>
                </c:pt>
                <c:pt idx="31">
                  <c:v>43868</c:v>
                </c:pt>
                <c:pt idx="32">
                  <c:v>43869</c:v>
                </c:pt>
                <c:pt idx="33">
                  <c:v>43870</c:v>
                </c:pt>
                <c:pt idx="34">
                  <c:v>43871</c:v>
                </c:pt>
                <c:pt idx="35">
                  <c:v>43872</c:v>
                </c:pt>
                <c:pt idx="36">
                  <c:v>43873</c:v>
                </c:pt>
                <c:pt idx="37">
                  <c:v>43874</c:v>
                </c:pt>
                <c:pt idx="38">
                  <c:v>43875</c:v>
                </c:pt>
                <c:pt idx="39">
                  <c:v>43876</c:v>
                </c:pt>
                <c:pt idx="40">
                  <c:v>43877</c:v>
                </c:pt>
                <c:pt idx="41">
                  <c:v>43878</c:v>
                </c:pt>
                <c:pt idx="42">
                  <c:v>43879</c:v>
                </c:pt>
                <c:pt idx="43">
                  <c:v>43880</c:v>
                </c:pt>
                <c:pt idx="44">
                  <c:v>43881</c:v>
                </c:pt>
                <c:pt idx="45">
                  <c:v>43882</c:v>
                </c:pt>
                <c:pt idx="46">
                  <c:v>43883</c:v>
                </c:pt>
                <c:pt idx="47">
                  <c:v>43884</c:v>
                </c:pt>
                <c:pt idx="48">
                  <c:v>43885</c:v>
                </c:pt>
                <c:pt idx="49">
                  <c:v>43886</c:v>
                </c:pt>
                <c:pt idx="50">
                  <c:v>43887</c:v>
                </c:pt>
                <c:pt idx="51">
                  <c:v>43888</c:v>
                </c:pt>
                <c:pt idx="52">
                  <c:v>43889</c:v>
                </c:pt>
                <c:pt idx="53">
                  <c:v>43890</c:v>
                </c:pt>
                <c:pt idx="54">
                  <c:v>43891</c:v>
                </c:pt>
                <c:pt idx="55">
                  <c:v>43892</c:v>
                </c:pt>
                <c:pt idx="56">
                  <c:v>43893</c:v>
                </c:pt>
                <c:pt idx="57">
                  <c:v>43894</c:v>
                </c:pt>
                <c:pt idx="58">
                  <c:v>43895</c:v>
                </c:pt>
                <c:pt idx="59">
                  <c:v>43896</c:v>
                </c:pt>
                <c:pt idx="60">
                  <c:v>43897</c:v>
                </c:pt>
                <c:pt idx="61">
                  <c:v>43898</c:v>
                </c:pt>
                <c:pt idx="62">
                  <c:v>43899</c:v>
                </c:pt>
                <c:pt idx="63">
                  <c:v>43900</c:v>
                </c:pt>
                <c:pt idx="64">
                  <c:v>43901</c:v>
                </c:pt>
                <c:pt idx="65">
                  <c:v>43902</c:v>
                </c:pt>
                <c:pt idx="66">
                  <c:v>43903</c:v>
                </c:pt>
                <c:pt idx="67">
                  <c:v>43904</c:v>
                </c:pt>
                <c:pt idx="68">
                  <c:v>43905</c:v>
                </c:pt>
                <c:pt idx="69">
                  <c:v>43906</c:v>
                </c:pt>
                <c:pt idx="70">
                  <c:v>43907</c:v>
                </c:pt>
                <c:pt idx="71">
                  <c:v>43908</c:v>
                </c:pt>
                <c:pt idx="72">
                  <c:v>43909</c:v>
                </c:pt>
                <c:pt idx="73">
                  <c:v>43910</c:v>
                </c:pt>
                <c:pt idx="74">
                  <c:v>43911</c:v>
                </c:pt>
                <c:pt idx="75">
                  <c:v>43912</c:v>
                </c:pt>
                <c:pt idx="76">
                  <c:v>43913</c:v>
                </c:pt>
                <c:pt idx="77">
                  <c:v>43914</c:v>
                </c:pt>
                <c:pt idx="78">
                  <c:v>43915</c:v>
                </c:pt>
                <c:pt idx="79">
                  <c:v>43916</c:v>
                </c:pt>
                <c:pt idx="80">
                  <c:v>43917</c:v>
                </c:pt>
                <c:pt idx="81">
                  <c:v>43918</c:v>
                </c:pt>
                <c:pt idx="82">
                  <c:v>43919</c:v>
                </c:pt>
                <c:pt idx="83">
                  <c:v>43920</c:v>
                </c:pt>
                <c:pt idx="84">
                  <c:v>43921</c:v>
                </c:pt>
                <c:pt idx="85">
                  <c:v>43922</c:v>
                </c:pt>
                <c:pt idx="86">
                  <c:v>43923</c:v>
                </c:pt>
                <c:pt idx="87">
                  <c:v>43924</c:v>
                </c:pt>
                <c:pt idx="88">
                  <c:v>43925</c:v>
                </c:pt>
                <c:pt idx="89">
                  <c:v>43926</c:v>
                </c:pt>
                <c:pt idx="90">
                  <c:v>43927</c:v>
                </c:pt>
                <c:pt idx="91">
                  <c:v>43928</c:v>
                </c:pt>
                <c:pt idx="92">
                  <c:v>43929</c:v>
                </c:pt>
                <c:pt idx="93">
                  <c:v>43930</c:v>
                </c:pt>
                <c:pt idx="94">
                  <c:v>43931</c:v>
                </c:pt>
                <c:pt idx="95">
                  <c:v>43932</c:v>
                </c:pt>
                <c:pt idx="96">
                  <c:v>43933</c:v>
                </c:pt>
                <c:pt idx="97">
                  <c:v>43934</c:v>
                </c:pt>
                <c:pt idx="98">
                  <c:v>43935</c:v>
                </c:pt>
                <c:pt idx="99">
                  <c:v>43936</c:v>
                </c:pt>
                <c:pt idx="100">
                  <c:v>43937</c:v>
                </c:pt>
                <c:pt idx="101">
                  <c:v>43938</c:v>
                </c:pt>
                <c:pt idx="102">
                  <c:v>43939</c:v>
                </c:pt>
                <c:pt idx="103">
                  <c:v>43940</c:v>
                </c:pt>
                <c:pt idx="104">
                  <c:v>43941</c:v>
                </c:pt>
              </c:numCache>
            </c:numRef>
          </c:cat>
          <c:val>
            <c:numRef>
              <c:f>'Chiffres - Monde'!$C$4:$C$108</c:f>
              <c:numCache>
                <c:formatCode>0</c:formatCode>
                <c:ptCount val="105"/>
                <c:pt idx="0">
                  <c:v>0</c:v>
                </c:pt>
                <c:pt idx="1">
                  <c:v>0</c:v>
                </c:pt>
                <c:pt idx="2">
                  <c:v>1</c:v>
                </c:pt>
                <c:pt idx="3">
                  <c:v>1</c:v>
                </c:pt>
                <c:pt idx="4">
                  <c:v>1</c:v>
                </c:pt>
                <c:pt idx="5">
                  <c:v>1</c:v>
                </c:pt>
                <c:pt idx="6">
                  <c:v>1</c:v>
                </c:pt>
                <c:pt idx="7">
                  <c:v>1</c:v>
                </c:pt>
                <c:pt idx="8">
                  <c:v>1</c:v>
                </c:pt>
                <c:pt idx="9">
                  <c:v>1</c:v>
                </c:pt>
                <c:pt idx="10">
                  <c:v>1</c:v>
                </c:pt>
                <c:pt idx="11">
                  <c:v>2</c:v>
                </c:pt>
                <c:pt idx="12">
                  <c:v>2</c:v>
                </c:pt>
                <c:pt idx="13">
                  <c:v>6</c:v>
                </c:pt>
                <c:pt idx="14">
                  <c:v>6</c:v>
                </c:pt>
                <c:pt idx="15">
                  <c:v>8</c:v>
                </c:pt>
                <c:pt idx="16">
                  <c:v>16</c:v>
                </c:pt>
                <c:pt idx="17">
                  <c:v>25</c:v>
                </c:pt>
                <c:pt idx="18">
                  <c:v>40</c:v>
                </c:pt>
                <c:pt idx="19">
                  <c:v>80</c:v>
                </c:pt>
                <c:pt idx="20">
                  <c:v>107</c:v>
                </c:pt>
                <c:pt idx="21">
                  <c:v>133</c:v>
                </c:pt>
                <c:pt idx="22">
                  <c:v>171</c:v>
                </c:pt>
                <c:pt idx="23">
                  <c:v>214</c:v>
                </c:pt>
                <c:pt idx="24">
                  <c:v>260</c:v>
                </c:pt>
                <c:pt idx="25">
                  <c:v>258</c:v>
                </c:pt>
                <c:pt idx="26">
                  <c:v>363</c:v>
                </c:pt>
                <c:pt idx="27">
                  <c:v>427</c:v>
                </c:pt>
                <c:pt idx="28">
                  <c:v>494</c:v>
                </c:pt>
                <c:pt idx="29">
                  <c:v>567</c:v>
                </c:pt>
                <c:pt idx="30">
                  <c:v>640</c:v>
                </c:pt>
                <c:pt idx="31">
                  <c:v>726</c:v>
                </c:pt>
                <c:pt idx="32">
                  <c:v>815</c:v>
                </c:pt>
                <c:pt idx="33">
                  <c:v>912</c:v>
                </c:pt>
                <c:pt idx="34">
                  <c:v>1020</c:v>
                </c:pt>
                <c:pt idx="35">
                  <c:v>1117</c:v>
                </c:pt>
                <c:pt idx="36">
                  <c:v>1371</c:v>
                </c:pt>
                <c:pt idx="37">
                  <c:v>1385</c:v>
                </c:pt>
                <c:pt idx="38">
                  <c:v>1529</c:v>
                </c:pt>
                <c:pt idx="39">
                  <c:v>1671</c:v>
                </c:pt>
                <c:pt idx="40">
                  <c:v>1778</c:v>
                </c:pt>
                <c:pt idx="41">
                  <c:v>1876</c:v>
                </c:pt>
                <c:pt idx="42">
                  <c:v>2012</c:v>
                </c:pt>
                <c:pt idx="43">
                  <c:v>2130</c:v>
                </c:pt>
                <c:pt idx="44">
                  <c:v>2250</c:v>
                </c:pt>
                <c:pt idx="45">
                  <c:v>2362</c:v>
                </c:pt>
                <c:pt idx="46">
                  <c:v>2465</c:v>
                </c:pt>
                <c:pt idx="47">
                  <c:v>2622</c:v>
                </c:pt>
                <c:pt idx="48">
                  <c:v>2703</c:v>
                </c:pt>
                <c:pt idx="49">
                  <c:v>2765</c:v>
                </c:pt>
                <c:pt idx="50">
                  <c:v>2807</c:v>
                </c:pt>
                <c:pt idx="51">
                  <c:v>2861</c:v>
                </c:pt>
                <c:pt idx="52">
                  <c:v>2926</c:v>
                </c:pt>
                <c:pt idx="53">
                  <c:v>2978</c:v>
                </c:pt>
                <c:pt idx="54">
                  <c:v>3044</c:v>
                </c:pt>
                <c:pt idx="55">
                  <c:v>3079</c:v>
                </c:pt>
                <c:pt idx="56">
                  <c:v>3159</c:v>
                </c:pt>
                <c:pt idx="57">
                  <c:v>3253</c:v>
                </c:pt>
                <c:pt idx="58">
                  <c:v>3349</c:v>
                </c:pt>
                <c:pt idx="59">
                  <c:v>3460</c:v>
                </c:pt>
                <c:pt idx="60">
                  <c:v>3563</c:v>
                </c:pt>
                <c:pt idx="61">
                  <c:v>3801</c:v>
                </c:pt>
                <c:pt idx="62">
                  <c:v>3992</c:v>
                </c:pt>
                <c:pt idx="63">
                  <c:v>4262</c:v>
                </c:pt>
                <c:pt idx="64">
                  <c:v>4619</c:v>
                </c:pt>
                <c:pt idx="65">
                  <c:v>4957</c:v>
                </c:pt>
                <c:pt idx="66">
                  <c:v>5385</c:v>
                </c:pt>
                <c:pt idx="67">
                  <c:v>5814</c:v>
                </c:pt>
                <c:pt idx="68">
                  <c:v>6493</c:v>
                </c:pt>
                <c:pt idx="69">
                  <c:v>7103</c:v>
                </c:pt>
                <c:pt idx="70">
                  <c:v>7942</c:v>
                </c:pt>
                <c:pt idx="71">
                  <c:v>8866</c:v>
                </c:pt>
                <c:pt idx="72">
                  <c:v>9987</c:v>
                </c:pt>
                <c:pt idx="73">
                  <c:v>11298</c:v>
                </c:pt>
                <c:pt idx="74">
                  <c:v>12959</c:v>
                </c:pt>
                <c:pt idx="75">
                  <c:v>14622</c:v>
                </c:pt>
                <c:pt idx="76">
                  <c:v>16391</c:v>
                </c:pt>
                <c:pt idx="77">
                  <c:v>18658</c:v>
                </c:pt>
                <c:pt idx="78">
                  <c:v>21206</c:v>
                </c:pt>
                <c:pt idx="79">
                  <c:v>23703</c:v>
                </c:pt>
                <c:pt idx="80">
                  <c:v>27018</c:v>
                </c:pt>
                <c:pt idx="81">
                  <c:v>30531</c:v>
                </c:pt>
                <c:pt idx="82">
                  <c:v>33886</c:v>
                </c:pt>
                <c:pt idx="83">
                  <c:v>37198</c:v>
                </c:pt>
                <c:pt idx="84">
                  <c:v>41831</c:v>
                </c:pt>
                <c:pt idx="85">
                  <c:v>47212</c:v>
                </c:pt>
                <c:pt idx="86">
                  <c:v>52690</c:v>
                </c:pt>
                <c:pt idx="87">
                  <c:v>58830</c:v>
                </c:pt>
                <c:pt idx="88">
                  <c:v>64578</c:v>
                </c:pt>
                <c:pt idx="89">
                  <c:v>69354</c:v>
                </c:pt>
                <c:pt idx="90">
                  <c:v>74119</c:v>
                </c:pt>
                <c:pt idx="91">
                  <c:v>81261</c:v>
                </c:pt>
                <c:pt idx="92">
                  <c:v>88366</c:v>
                </c:pt>
                <c:pt idx="93">
                  <c:v>94912</c:v>
                </c:pt>
                <c:pt idx="94">
                  <c:v>102072</c:v>
                </c:pt>
                <c:pt idx="95">
                  <c:v>108226</c:v>
                </c:pt>
                <c:pt idx="96">
                  <c:v>113827</c:v>
                </c:pt>
                <c:pt idx="97">
                  <c:v>118677</c:v>
                </c:pt>
                <c:pt idx="98">
                  <c:v>125581</c:v>
                </c:pt>
                <c:pt idx="99">
                  <c:v>133861</c:v>
                </c:pt>
                <c:pt idx="100">
                  <c:v>143451</c:v>
                </c:pt>
                <c:pt idx="101">
                  <c:v>153332</c:v>
                </c:pt>
                <c:pt idx="102">
                  <c:v>159385</c:v>
                </c:pt>
                <c:pt idx="103">
                  <c:v>164961</c:v>
                </c:pt>
                <c:pt idx="104">
                  <c:v>169803</c:v>
                </c:pt>
              </c:numCache>
            </c:numRef>
          </c:val>
          <c:smooth val="0"/>
          <c:extLst>
            <c:ext xmlns:c16="http://schemas.microsoft.com/office/drawing/2014/chart" uri="{C3380CC4-5D6E-409C-BE32-E72D297353CC}">
              <c16:uniqueId val="{00000000-340B-47BF-8A74-81156850CE06}"/>
            </c:ext>
          </c:extLst>
        </c:ser>
        <c:dLbls>
          <c:showLegendKey val="0"/>
          <c:showVal val="0"/>
          <c:showCatName val="0"/>
          <c:showSerName val="0"/>
          <c:showPercent val="0"/>
          <c:showBubbleSize val="0"/>
        </c:dLbls>
        <c:marker val="1"/>
        <c:smooth val="0"/>
        <c:axId val="1237462550"/>
        <c:axId val="1790403651"/>
      </c:lineChart>
      <c:dateAx>
        <c:axId val="1237462550"/>
        <c:scaling>
          <c:orientation val="minMax"/>
        </c:scaling>
        <c:delete val="0"/>
        <c:axPos val="b"/>
        <c:title>
          <c:tx>
            <c:rich>
              <a:bodyPr/>
              <a:lstStyle/>
              <a:p>
                <a:pPr lvl="0">
                  <a:defRPr b="0">
                    <a:solidFill>
                      <a:srgbClr val="000000"/>
                    </a:solidFill>
                    <a:latin typeface="Roboto"/>
                  </a:defRPr>
                </a:pPr>
                <a:endParaRPr/>
              </a:p>
            </c:rich>
          </c:tx>
          <c:overlay val="0"/>
        </c:title>
        <c:numFmt formatCode="dd\.mm\.yyyy" sourceLinked="1"/>
        <c:majorTickMark val="cross"/>
        <c:minorTickMark val="cross"/>
        <c:tickLblPos val="nextTo"/>
        <c:txPr>
          <a:bodyPr rot="0"/>
          <a:lstStyle/>
          <a:p>
            <a:pPr lvl="0">
              <a:defRPr b="0">
                <a:solidFill>
                  <a:srgbClr val="000000"/>
                </a:solidFill>
                <a:latin typeface="Roboto"/>
              </a:defRPr>
            </a:pPr>
            <a:endParaRPr lang="fr-FR"/>
          </a:p>
        </c:txPr>
        <c:crossAx val="1790403651"/>
        <c:crosses val="autoZero"/>
        <c:auto val="1"/>
        <c:lblOffset val="100"/>
        <c:baseTimeUnit val="days"/>
      </c:dateAx>
      <c:valAx>
        <c:axId val="1790403651"/>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fr-FR"/>
          </a:p>
        </c:txPr>
        <c:crossAx val="1237462550"/>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2000" b="0">
                <a:solidFill>
                  <a:srgbClr val="666666"/>
                </a:solidFill>
                <a:latin typeface="Roboto"/>
              </a:defRPr>
            </a:pPr>
            <a:r>
              <a:t>Evolution du comparative nbr. pers. contaminées/mortes/guéries à cause du COVID-19</a:t>
            </a:r>
          </a:p>
        </c:rich>
      </c:tx>
      <c:overlay val="0"/>
    </c:title>
    <c:autoTitleDeleted val="0"/>
    <c:plotArea>
      <c:layout/>
      <c:lineChart>
        <c:grouping val="standard"/>
        <c:varyColors val="1"/>
        <c:ser>
          <c:idx val="0"/>
          <c:order val="0"/>
          <c:marker>
            <c:symbol val="circle"/>
            <c:size val="6"/>
            <c:spPr>
              <a:solidFill>
                <a:srgbClr val="FF9900"/>
              </a:solidFill>
              <a:ln cmpd="sng">
                <a:solidFill>
                  <a:srgbClr val="FF9900"/>
                </a:solidFill>
              </a:ln>
            </c:spPr>
          </c:marker>
          <c:cat>
            <c:numRef>
              <c:f>'Chiffres - Monde'!$A$4:$A$108</c:f>
              <c:numCache>
                <c:formatCode>dd\.mm\.yyyy</c:formatCode>
                <c:ptCount val="105"/>
                <c:pt idx="0">
                  <c:v>43815</c:v>
                </c:pt>
                <c:pt idx="1">
                  <c:v>43830</c:v>
                </c:pt>
                <c:pt idx="2">
                  <c:v>43839</c:v>
                </c:pt>
                <c:pt idx="3">
                  <c:v>43840</c:v>
                </c:pt>
                <c:pt idx="4">
                  <c:v>43841</c:v>
                </c:pt>
                <c:pt idx="5">
                  <c:v>43842</c:v>
                </c:pt>
                <c:pt idx="6">
                  <c:v>43843</c:v>
                </c:pt>
                <c:pt idx="7">
                  <c:v>43844</c:v>
                </c:pt>
                <c:pt idx="8">
                  <c:v>43845</c:v>
                </c:pt>
                <c:pt idx="9">
                  <c:v>43846</c:v>
                </c:pt>
                <c:pt idx="10">
                  <c:v>43847</c:v>
                </c:pt>
                <c:pt idx="11">
                  <c:v>43848</c:v>
                </c:pt>
                <c:pt idx="12">
                  <c:v>43849</c:v>
                </c:pt>
                <c:pt idx="13">
                  <c:v>43850</c:v>
                </c:pt>
                <c:pt idx="14">
                  <c:v>43851</c:v>
                </c:pt>
                <c:pt idx="15">
                  <c:v>43852</c:v>
                </c:pt>
                <c:pt idx="16">
                  <c:v>43853</c:v>
                </c:pt>
                <c:pt idx="17">
                  <c:v>43854</c:v>
                </c:pt>
                <c:pt idx="18">
                  <c:v>43855</c:v>
                </c:pt>
                <c:pt idx="19">
                  <c:v>43856</c:v>
                </c:pt>
                <c:pt idx="20">
                  <c:v>43857</c:v>
                </c:pt>
                <c:pt idx="21">
                  <c:v>43858</c:v>
                </c:pt>
                <c:pt idx="22">
                  <c:v>43859</c:v>
                </c:pt>
                <c:pt idx="23">
                  <c:v>43860</c:v>
                </c:pt>
                <c:pt idx="24">
                  <c:v>43861</c:v>
                </c:pt>
                <c:pt idx="25">
                  <c:v>43862</c:v>
                </c:pt>
                <c:pt idx="26">
                  <c:v>43863</c:v>
                </c:pt>
                <c:pt idx="27">
                  <c:v>43864</c:v>
                </c:pt>
                <c:pt idx="28">
                  <c:v>43865</c:v>
                </c:pt>
                <c:pt idx="29">
                  <c:v>43866</c:v>
                </c:pt>
                <c:pt idx="30">
                  <c:v>43867</c:v>
                </c:pt>
                <c:pt idx="31">
                  <c:v>43868</c:v>
                </c:pt>
                <c:pt idx="32">
                  <c:v>43869</c:v>
                </c:pt>
                <c:pt idx="33">
                  <c:v>43870</c:v>
                </c:pt>
                <c:pt idx="34">
                  <c:v>43871</c:v>
                </c:pt>
                <c:pt idx="35">
                  <c:v>43872</c:v>
                </c:pt>
                <c:pt idx="36">
                  <c:v>43873</c:v>
                </c:pt>
                <c:pt idx="37">
                  <c:v>43874</c:v>
                </c:pt>
                <c:pt idx="38">
                  <c:v>43875</c:v>
                </c:pt>
                <c:pt idx="39">
                  <c:v>43876</c:v>
                </c:pt>
                <c:pt idx="40">
                  <c:v>43877</c:v>
                </c:pt>
                <c:pt idx="41">
                  <c:v>43878</c:v>
                </c:pt>
                <c:pt idx="42">
                  <c:v>43879</c:v>
                </c:pt>
                <c:pt idx="43">
                  <c:v>43880</c:v>
                </c:pt>
                <c:pt idx="44">
                  <c:v>43881</c:v>
                </c:pt>
                <c:pt idx="45">
                  <c:v>43882</c:v>
                </c:pt>
                <c:pt idx="46">
                  <c:v>43883</c:v>
                </c:pt>
                <c:pt idx="47">
                  <c:v>43884</c:v>
                </c:pt>
                <c:pt idx="48">
                  <c:v>43885</c:v>
                </c:pt>
                <c:pt idx="49">
                  <c:v>43886</c:v>
                </c:pt>
                <c:pt idx="50">
                  <c:v>43887</c:v>
                </c:pt>
                <c:pt idx="51">
                  <c:v>43888</c:v>
                </c:pt>
                <c:pt idx="52">
                  <c:v>43889</c:v>
                </c:pt>
                <c:pt idx="53">
                  <c:v>43890</c:v>
                </c:pt>
                <c:pt idx="54">
                  <c:v>43891</c:v>
                </c:pt>
                <c:pt idx="55">
                  <c:v>43892</c:v>
                </c:pt>
                <c:pt idx="56">
                  <c:v>43893</c:v>
                </c:pt>
                <c:pt idx="57">
                  <c:v>43894</c:v>
                </c:pt>
                <c:pt idx="58">
                  <c:v>43895</c:v>
                </c:pt>
                <c:pt idx="59">
                  <c:v>43896</c:v>
                </c:pt>
                <c:pt idx="60">
                  <c:v>43897</c:v>
                </c:pt>
                <c:pt idx="61">
                  <c:v>43898</c:v>
                </c:pt>
                <c:pt idx="62">
                  <c:v>43899</c:v>
                </c:pt>
                <c:pt idx="63">
                  <c:v>43900</c:v>
                </c:pt>
                <c:pt idx="64">
                  <c:v>43901</c:v>
                </c:pt>
                <c:pt idx="65">
                  <c:v>43902</c:v>
                </c:pt>
                <c:pt idx="66">
                  <c:v>43903</c:v>
                </c:pt>
                <c:pt idx="67">
                  <c:v>43904</c:v>
                </c:pt>
                <c:pt idx="68">
                  <c:v>43905</c:v>
                </c:pt>
                <c:pt idx="69">
                  <c:v>43906</c:v>
                </c:pt>
                <c:pt idx="70">
                  <c:v>43907</c:v>
                </c:pt>
                <c:pt idx="71">
                  <c:v>43908</c:v>
                </c:pt>
                <c:pt idx="72">
                  <c:v>43909</c:v>
                </c:pt>
                <c:pt idx="73">
                  <c:v>43910</c:v>
                </c:pt>
                <c:pt idx="74">
                  <c:v>43911</c:v>
                </c:pt>
                <c:pt idx="75">
                  <c:v>43912</c:v>
                </c:pt>
                <c:pt idx="76">
                  <c:v>43913</c:v>
                </c:pt>
                <c:pt idx="77">
                  <c:v>43914</c:v>
                </c:pt>
                <c:pt idx="78">
                  <c:v>43915</c:v>
                </c:pt>
                <c:pt idx="79">
                  <c:v>43916</c:v>
                </c:pt>
                <c:pt idx="80">
                  <c:v>43917</c:v>
                </c:pt>
                <c:pt idx="81">
                  <c:v>43918</c:v>
                </c:pt>
                <c:pt idx="82">
                  <c:v>43919</c:v>
                </c:pt>
                <c:pt idx="83">
                  <c:v>43920</c:v>
                </c:pt>
                <c:pt idx="84">
                  <c:v>43921</c:v>
                </c:pt>
                <c:pt idx="85">
                  <c:v>43922</c:v>
                </c:pt>
                <c:pt idx="86">
                  <c:v>43923</c:v>
                </c:pt>
                <c:pt idx="87">
                  <c:v>43924</c:v>
                </c:pt>
                <c:pt idx="88">
                  <c:v>43925</c:v>
                </c:pt>
                <c:pt idx="89">
                  <c:v>43926</c:v>
                </c:pt>
                <c:pt idx="90">
                  <c:v>43927</c:v>
                </c:pt>
                <c:pt idx="91">
                  <c:v>43928</c:v>
                </c:pt>
                <c:pt idx="92">
                  <c:v>43929</c:v>
                </c:pt>
                <c:pt idx="93">
                  <c:v>43930</c:v>
                </c:pt>
                <c:pt idx="94">
                  <c:v>43931</c:v>
                </c:pt>
                <c:pt idx="95">
                  <c:v>43932</c:v>
                </c:pt>
                <c:pt idx="96">
                  <c:v>43933</c:v>
                </c:pt>
                <c:pt idx="97">
                  <c:v>43934</c:v>
                </c:pt>
                <c:pt idx="98">
                  <c:v>43935</c:v>
                </c:pt>
                <c:pt idx="99">
                  <c:v>43936</c:v>
                </c:pt>
                <c:pt idx="100">
                  <c:v>43937</c:v>
                </c:pt>
                <c:pt idx="101">
                  <c:v>43938</c:v>
                </c:pt>
                <c:pt idx="102">
                  <c:v>43939</c:v>
                </c:pt>
                <c:pt idx="103">
                  <c:v>43940</c:v>
                </c:pt>
                <c:pt idx="104">
                  <c:v>43941</c:v>
                </c:pt>
              </c:numCache>
            </c:numRef>
          </c:cat>
          <c:val>
            <c:numRef>
              <c:f>'Chiffres - Monde'!$B$4:$B$108</c:f>
              <c:numCache>
                <c:formatCode>0</c:formatCode>
                <c:ptCount val="105"/>
                <c:pt idx="0">
                  <c:v>41</c:v>
                </c:pt>
                <c:pt idx="1">
                  <c:v>41</c:v>
                </c:pt>
                <c:pt idx="2">
                  <c:v>41</c:v>
                </c:pt>
                <c:pt idx="3">
                  <c:v>41</c:v>
                </c:pt>
                <c:pt idx="4">
                  <c:v>41</c:v>
                </c:pt>
                <c:pt idx="5">
                  <c:v>41</c:v>
                </c:pt>
                <c:pt idx="6">
                  <c:v>42</c:v>
                </c:pt>
                <c:pt idx="7">
                  <c:v>42</c:v>
                </c:pt>
                <c:pt idx="8">
                  <c:v>43</c:v>
                </c:pt>
                <c:pt idx="9">
                  <c:v>43</c:v>
                </c:pt>
                <c:pt idx="10">
                  <c:v>43</c:v>
                </c:pt>
                <c:pt idx="11">
                  <c:v>43</c:v>
                </c:pt>
                <c:pt idx="12">
                  <c:v>43</c:v>
                </c:pt>
                <c:pt idx="13">
                  <c:v>282</c:v>
                </c:pt>
                <c:pt idx="14">
                  <c:v>332</c:v>
                </c:pt>
                <c:pt idx="15">
                  <c:v>555</c:v>
                </c:pt>
                <c:pt idx="16">
                  <c:v>649</c:v>
                </c:pt>
                <c:pt idx="17">
                  <c:v>939</c:v>
                </c:pt>
                <c:pt idx="18">
                  <c:v>2074</c:v>
                </c:pt>
                <c:pt idx="19">
                  <c:v>2810</c:v>
                </c:pt>
                <c:pt idx="20">
                  <c:v>4593</c:v>
                </c:pt>
                <c:pt idx="21">
                  <c:v>6177</c:v>
                </c:pt>
                <c:pt idx="22">
                  <c:v>7912</c:v>
                </c:pt>
                <c:pt idx="23">
                  <c:v>9952</c:v>
                </c:pt>
                <c:pt idx="24">
                  <c:v>11953</c:v>
                </c:pt>
                <c:pt idx="25">
                  <c:v>14650</c:v>
                </c:pt>
                <c:pt idx="26">
                  <c:v>17569</c:v>
                </c:pt>
                <c:pt idx="27">
                  <c:v>20663</c:v>
                </c:pt>
                <c:pt idx="28">
                  <c:v>24590</c:v>
                </c:pt>
                <c:pt idx="29">
                  <c:v>28318</c:v>
                </c:pt>
                <c:pt idx="30">
                  <c:v>31461</c:v>
                </c:pt>
                <c:pt idx="31">
                  <c:v>34884</c:v>
                </c:pt>
                <c:pt idx="32">
                  <c:v>37558</c:v>
                </c:pt>
                <c:pt idx="33">
                  <c:v>40554</c:v>
                </c:pt>
                <c:pt idx="34">
                  <c:v>43097</c:v>
                </c:pt>
                <c:pt idx="35">
                  <c:v>45172</c:v>
                </c:pt>
                <c:pt idx="36">
                  <c:v>46998</c:v>
                </c:pt>
                <c:pt idx="37">
                  <c:v>64437</c:v>
                </c:pt>
                <c:pt idx="38">
                  <c:v>65102</c:v>
                </c:pt>
                <c:pt idx="39">
                  <c:v>69267</c:v>
                </c:pt>
                <c:pt idx="40">
                  <c:v>71429</c:v>
                </c:pt>
                <c:pt idx="41">
                  <c:v>73332</c:v>
                </c:pt>
                <c:pt idx="42">
                  <c:v>75203</c:v>
                </c:pt>
                <c:pt idx="43">
                  <c:v>75695</c:v>
                </c:pt>
                <c:pt idx="44">
                  <c:v>76769</c:v>
                </c:pt>
                <c:pt idx="45">
                  <c:v>77794</c:v>
                </c:pt>
                <c:pt idx="46">
                  <c:v>78811</c:v>
                </c:pt>
                <c:pt idx="47">
                  <c:v>79325</c:v>
                </c:pt>
                <c:pt idx="48">
                  <c:v>80233</c:v>
                </c:pt>
                <c:pt idx="49">
                  <c:v>81118</c:v>
                </c:pt>
                <c:pt idx="50">
                  <c:v>82297</c:v>
                </c:pt>
                <c:pt idx="51">
                  <c:v>83665</c:v>
                </c:pt>
                <c:pt idx="52">
                  <c:v>85423</c:v>
                </c:pt>
                <c:pt idx="53">
                  <c:v>87162</c:v>
                </c:pt>
                <c:pt idx="54">
                  <c:v>88949</c:v>
                </c:pt>
                <c:pt idx="55">
                  <c:v>90291</c:v>
                </c:pt>
                <c:pt idx="56">
                  <c:v>92828</c:v>
                </c:pt>
                <c:pt idx="57">
                  <c:v>95119</c:v>
                </c:pt>
                <c:pt idx="58">
                  <c:v>97928</c:v>
                </c:pt>
                <c:pt idx="59">
                  <c:v>101756</c:v>
                </c:pt>
                <c:pt idx="60">
                  <c:v>105837</c:v>
                </c:pt>
                <c:pt idx="61">
                  <c:v>109798</c:v>
                </c:pt>
                <c:pt idx="62">
                  <c:v>113780</c:v>
                </c:pt>
                <c:pt idx="63">
                  <c:v>118530</c:v>
                </c:pt>
                <c:pt idx="64">
                  <c:v>125927</c:v>
                </c:pt>
                <c:pt idx="65">
                  <c:v>133082</c:v>
                </c:pt>
                <c:pt idx="66">
                  <c:v>142442</c:v>
                </c:pt>
                <c:pt idx="67">
                  <c:v>156247</c:v>
                </c:pt>
                <c:pt idx="68">
                  <c:v>167698</c:v>
                </c:pt>
                <c:pt idx="69">
                  <c:v>181240</c:v>
                </c:pt>
                <c:pt idx="70">
                  <c:v>197126</c:v>
                </c:pt>
                <c:pt idx="71">
                  <c:v>216420</c:v>
                </c:pt>
                <c:pt idx="72">
                  <c:v>243778</c:v>
                </c:pt>
                <c:pt idx="73">
                  <c:v>273030</c:v>
                </c:pt>
                <c:pt idx="74">
                  <c:v>304350</c:v>
                </c:pt>
                <c:pt idx="75">
                  <c:v>336792</c:v>
                </c:pt>
                <c:pt idx="76">
                  <c:v>376520</c:v>
                </c:pt>
                <c:pt idx="77">
                  <c:v>418527</c:v>
                </c:pt>
                <c:pt idx="78">
                  <c:v>467648</c:v>
                </c:pt>
                <c:pt idx="79">
                  <c:v>526873</c:v>
                </c:pt>
                <c:pt idx="80">
                  <c:v>592705</c:v>
                </c:pt>
                <c:pt idx="81">
                  <c:v>660343</c:v>
                </c:pt>
                <c:pt idx="82">
                  <c:v>716569</c:v>
                </c:pt>
                <c:pt idx="83">
                  <c:v>777865</c:v>
                </c:pt>
                <c:pt idx="84">
                  <c:v>855439</c:v>
                </c:pt>
                <c:pt idx="85">
                  <c:v>932930</c:v>
                </c:pt>
                <c:pt idx="86">
                  <c:v>1006618</c:v>
                </c:pt>
                <c:pt idx="87">
                  <c:v>1094848</c:v>
                </c:pt>
                <c:pt idx="88">
                  <c:v>1175766</c:v>
                </c:pt>
                <c:pt idx="89">
                  <c:v>1248120</c:v>
                </c:pt>
                <c:pt idx="90">
                  <c:v>1313895</c:v>
                </c:pt>
                <c:pt idx="91">
                  <c:v>1382988</c:v>
                </c:pt>
                <c:pt idx="92">
                  <c:v>1476039</c:v>
                </c:pt>
                <c:pt idx="93">
                  <c:v>1555914</c:v>
                </c:pt>
                <c:pt idx="94">
                  <c:v>1647995</c:v>
                </c:pt>
                <c:pt idx="95">
                  <c:v>1729124</c:v>
                </c:pt>
                <c:pt idx="96">
                  <c:v>1808748</c:v>
                </c:pt>
                <c:pt idx="97">
                  <c:v>1873012</c:v>
                </c:pt>
                <c:pt idx="98">
                  <c:v>1944698</c:v>
                </c:pt>
                <c:pt idx="99">
                  <c:v>2027733</c:v>
                </c:pt>
                <c:pt idx="100">
                  <c:v>2111126</c:v>
                </c:pt>
                <c:pt idx="101">
                  <c:v>2197098</c:v>
                </c:pt>
                <c:pt idx="102">
                  <c:v>2279171</c:v>
                </c:pt>
                <c:pt idx="103">
                  <c:v>2354265</c:v>
                </c:pt>
                <c:pt idx="104">
                  <c:v>2428256</c:v>
                </c:pt>
              </c:numCache>
            </c:numRef>
          </c:val>
          <c:smooth val="0"/>
          <c:extLst>
            <c:ext xmlns:c16="http://schemas.microsoft.com/office/drawing/2014/chart" uri="{C3380CC4-5D6E-409C-BE32-E72D297353CC}">
              <c16:uniqueId val="{00000000-9FC0-41C9-B017-30D5FBFD9841}"/>
            </c:ext>
          </c:extLst>
        </c:ser>
        <c:ser>
          <c:idx val="1"/>
          <c:order val="1"/>
          <c:marker>
            <c:symbol val="circle"/>
            <c:size val="6"/>
            <c:spPr>
              <a:solidFill>
                <a:srgbClr val="CC0000"/>
              </a:solidFill>
              <a:ln cmpd="sng">
                <a:solidFill>
                  <a:srgbClr val="CC0000"/>
                </a:solidFill>
              </a:ln>
            </c:spPr>
          </c:marker>
          <c:cat>
            <c:numRef>
              <c:f>'Chiffres - Monde'!$A$4:$A$108</c:f>
              <c:numCache>
                <c:formatCode>dd\.mm\.yyyy</c:formatCode>
                <c:ptCount val="105"/>
                <c:pt idx="0">
                  <c:v>43815</c:v>
                </c:pt>
                <c:pt idx="1">
                  <c:v>43830</c:v>
                </c:pt>
                <c:pt idx="2">
                  <c:v>43839</c:v>
                </c:pt>
                <c:pt idx="3">
                  <c:v>43840</c:v>
                </c:pt>
                <c:pt idx="4">
                  <c:v>43841</c:v>
                </c:pt>
                <c:pt idx="5">
                  <c:v>43842</c:v>
                </c:pt>
                <c:pt idx="6">
                  <c:v>43843</c:v>
                </c:pt>
                <c:pt idx="7">
                  <c:v>43844</c:v>
                </c:pt>
                <c:pt idx="8">
                  <c:v>43845</c:v>
                </c:pt>
                <c:pt idx="9">
                  <c:v>43846</c:v>
                </c:pt>
                <c:pt idx="10">
                  <c:v>43847</c:v>
                </c:pt>
                <c:pt idx="11">
                  <c:v>43848</c:v>
                </c:pt>
                <c:pt idx="12">
                  <c:v>43849</c:v>
                </c:pt>
                <c:pt idx="13">
                  <c:v>43850</c:v>
                </c:pt>
                <c:pt idx="14">
                  <c:v>43851</c:v>
                </c:pt>
                <c:pt idx="15">
                  <c:v>43852</c:v>
                </c:pt>
                <c:pt idx="16">
                  <c:v>43853</c:v>
                </c:pt>
                <c:pt idx="17">
                  <c:v>43854</c:v>
                </c:pt>
                <c:pt idx="18">
                  <c:v>43855</c:v>
                </c:pt>
                <c:pt idx="19">
                  <c:v>43856</c:v>
                </c:pt>
                <c:pt idx="20">
                  <c:v>43857</c:v>
                </c:pt>
                <c:pt idx="21">
                  <c:v>43858</c:v>
                </c:pt>
                <c:pt idx="22">
                  <c:v>43859</c:v>
                </c:pt>
                <c:pt idx="23">
                  <c:v>43860</c:v>
                </c:pt>
                <c:pt idx="24">
                  <c:v>43861</c:v>
                </c:pt>
                <c:pt idx="25">
                  <c:v>43862</c:v>
                </c:pt>
                <c:pt idx="26">
                  <c:v>43863</c:v>
                </c:pt>
                <c:pt idx="27">
                  <c:v>43864</c:v>
                </c:pt>
                <c:pt idx="28">
                  <c:v>43865</c:v>
                </c:pt>
                <c:pt idx="29">
                  <c:v>43866</c:v>
                </c:pt>
                <c:pt idx="30">
                  <c:v>43867</c:v>
                </c:pt>
                <c:pt idx="31">
                  <c:v>43868</c:v>
                </c:pt>
                <c:pt idx="32">
                  <c:v>43869</c:v>
                </c:pt>
                <c:pt idx="33">
                  <c:v>43870</c:v>
                </c:pt>
                <c:pt idx="34">
                  <c:v>43871</c:v>
                </c:pt>
                <c:pt idx="35">
                  <c:v>43872</c:v>
                </c:pt>
                <c:pt idx="36">
                  <c:v>43873</c:v>
                </c:pt>
                <c:pt idx="37">
                  <c:v>43874</c:v>
                </c:pt>
                <c:pt idx="38">
                  <c:v>43875</c:v>
                </c:pt>
                <c:pt idx="39">
                  <c:v>43876</c:v>
                </c:pt>
                <c:pt idx="40">
                  <c:v>43877</c:v>
                </c:pt>
                <c:pt idx="41">
                  <c:v>43878</c:v>
                </c:pt>
                <c:pt idx="42">
                  <c:v>43879</c:v>
                </c:pt>
                <c:pt idx="43">
                  <c:v>43880</c:v>
                </c:pt>
                <c:pt idx="44">
                  <c:v>43881</c:v>
                </c:pt>
                <c:pt idx="45">
                  <c:v>43882</c:v>
                </c:pt>
                <c:pt idx="46">
                  <c:v>43883</c:v>
                </c:pt>
                <c:pt idx="47">
                  <c:v>43884</c:v>
                </c:pt>
                <c:pt idx="48">
                  <c:v>43885</c:v>
                </c:pt>
                <c:pt idx="49">
                  <c:v>43886</c:v>
                </c:pt>
                <c:pt idx="50">
                  <c:v>43887</c:v>
                </c:pt>
                <c:pt idx="51">
                  <c:v>43888</c:v>
                </c:pt>
                <c:pt idx="52">
                  <c:v>43889</c:v>
                </c:pt>
                <c:pt idx="53">
                  <c:v>43890</c:v>
                </c:pt>
                <c:pt idx="54">
                  <c:v>43891</c:v>
                </c:pt>
                <c:pt idx="55">
                  <c:v>43892</c:v>
                </c:pt>
                <c:pt idx="56">
                  <c:v>43893</c:v>
                </c:pt>
                <c:pt idx="57">
                  <c:v>43894</c:v>
                </c:pt>
                <c:pt idx="58">
                  <c:v>43895</c:v>
                </c:pt>
                <c:pt idx="59">
                  <c:v>43896</c:v>
                </c:pt>
                <c:pt idx="60">
                  <c:v>43897</c:v>
                </c:pt>
                <c:pt idx="61">
                  <c:v>43898</c:v>
                </c:pt>
                <c:pt idx="62">
                  <c:v>43899</c:v>
                </c:pt>
                <c:pt idx="63">
                  <c:v>43900</c:v>
                </c:pt>
                <c:pt idx="64">
                  <c:v>43901</c:v>
                </c:pt>
                <c:pt idx="65">
                  <c:v>43902</c:v>
                </c:pt>
                <c:pt idx="66">
                  <c:v>43903</c:v>
                </c:pt>
                <c:pt idx="67">
                  <c:v>43904</c:v>
                </c:pt>
                <c:pt idx="68">
                  <c:v>43905</c:v>
                </c:pt>
                <c:pt idx="69">
                  <c:v>43906</c:v>
                </c:pt>
                <c:pt idx="70">
                  <c:v>43907</c:v>
                </c:pt>
                <c:pt idx="71">
                  <c:v>43908</c:v>
                </c:pt>
                <c:pt idx="72">
                  <c:v>43909</c:v>
                </c:pt>
                <c:pt idx="73">
                  <c:v>43910</c:v>
                </c:pt>
                <c:pt idx="74">
                  <c:v>43911</c:v>
                </c:pt>
                <c:pt idx="75">
                  <c:v>43912</c:v>
                </c:pt>
                <c:pt idx="76">
                  <c:v>43913</c:v>
                </c:pt>
                <c:pt idx="77">
                  <c:v>43914</c:v>
                </c:pt>
                <c:pt idx="78">
                  <c:v>43915</c:v>
                </c:pt>
                <c:pt idx="79">
                  <c:v>43916</c:v>
                </c:pt>
                <c:pt idx="80">
                  <c:v>43917</c:v>
                </c:pt>
                <c:pt idx="81">
                  <c:v>43918</c:v>
                </c:pt>
                <c:pt idx="82">
                  <c:v>43919</c:v>
                </c:pt>
                <c:pt idx="83">
                  <c:v>43920</c:v>
                </c:pt>
                <c:pt idx="84">
                  <c:v>43921</c:v>
                </c:pt>
                <c:pt idx="85">
                  <c:v>43922</c:v>
                </c:pt>
                <c:pt idx="86">
                  <c:v>43923</c:v>
                </c:pt>
                <c:pt idx="87">
                  <c:v>43924</c:v>
                </c:pt>
                <c:pt idx="88">
                  <c:v>43925</c:v>
                </c:pt>
                <c:pt idx="89">
                  <c:v>43926</c:v>
                </c:pt>
                <c:pt idx="90">
                  <c:v>43927</c:v>
                </c:pt>
                <c:pt idx="91">
                  <c:v>43928</c:v>
                </c:pt>
                <c:pt idx="92">
                  <c:v>43929</c:v>
                </c:pt>
                <c:pt idx="93">
                  <c:v>43930</c:v>
                </c:pt>
                <c:pt idx="94">
                  <c:v>43931</c:v>
                </c:pt>
                <c:pt idx="95">
                  <c:v>43932</c:v>
                </c:pt>
                <c:pt idx="96">
                  <c:v>43933</c:v>
                </c:pt>
                <c:pt idx="97">
                  <c:v>43934</c:v>
                </c:pt>
                <c:pt idx="98">
                  <c:v>43935</c:v>
                </c:pt>
                <c:pt idx="99">
                  <c:v>43936</c:v>
                </c:pt>
                <c:pt idx="100">
                  <c:v>43937</c:v>
                </c:pt>
                <c:pt idx="101">
                  <c:v>43938</c:v>
                </c:pt>
                <c:pt idx="102">
                  <c:v>43939</c:v>
                </c:pt>
                <c:pt idx="103">
                  <c:v>43940</c:v>
                </c:pt>
                <c:pt idx="104">
                  <c:v>43941</c:v>
                </c:pt>
              </c:numCache>
            </c:numRef>
          </c:cat>
          <c:val>
            <c:numRef>
              <c:f>'Chiffres - Monde'!$C$4:$C$108</c:f>
              <c:numCache>
                <c:formatCode>0</c:formatCode>
                <c:ptCount val="105"/>
                <c:pt idx="0">
                  <c:v>0</c:v>
                </c:pt>
                <c:pt idx="1">
                  <c:v>0</c:v>
                </c:pt>
                <c:pt idx="2">
                  <c:v>1</c:v>
                </c:pt>
                <c:pt idx="3">
                  <c:v>1</c:v>
                </c:pt>
                <c:pt idx="4">
                  <c:v>1</c:v>
                </c:pt>
                <c:pt idx="5">
                  <c:v>1</c:v>
                </c:pt>
                <c:pt idx="6">
                  <c:v>1</c:v>
                </c:pt>
                <c:pt idx="7">
                  <c:v>1</c:v>
                </c:pt>
                <c:pt idx="8">
                  <c:v>1</c:v>
                </c:pt>
                <c:pt idx="9">
                  <c:v>1</c:v>
                </c:pt>
                <c:pt idx="10">
                  <c:v>1</c:v>
                </c:pt>
                <c:pt idx="11">
                  <c:v>2</c:v>
                </c:pt>
                <c:pt idx="12">
                  <c:v>2</c:v>
                </c:pt>
                <c:pt idx="13">
                  <c:v>6</c:v>
                </c:pt>
                <c:pt idx="14">
                  <c:v>6</c:v>
                </c:pt>
                <c:pt idx="15">
                  <c:v>8</c:v>
                </c:pt>
                <c:pt idx="16">
                  <c:v>16</c:v>
                </c:pt>
                <c:pt idx="17">
                  <c:v>25</c:v>
                </c:pt>
                <c:pt idx="18">
                  <c:v>40</c:v>
                </c:pt>
                <c:pt idx="19">
                  <c:v>80</c:v>
                </c:pt>
                <c:pt idx="20">
                  <c:v>107</c:v>
                </c:pt>
                <c:pt idx="21">
                  <c:v>133</c:v>
                </c:pt>
                <c:pt idx="22">
                  <c:v>171</c:v>
                </c:pt>
                <c:pt idx="23">
                  <c:v>214</c:v>
                </c:pt>
                <c:pt idx="24">
                  <c:v>260</c:v>
                </c:pt>
                <c:pt idx="25">
                  <c:v>258</c:v>
                </c:pt>
                <c:pt idx="26">
                  <c:v>363</c:v>
                </c:pt>
                <c:pt idx="27">
                  <c:v>427</c:v>
                </c:pt>
                <c:pt idx="28">
                  <c:v>494</c:v>
                </c:pt>
                <c:pt idx="29">
                  <c:v>567</c:v>
                </c:pt>
                <c:pt idx="30">
                  <c:v>640</c:v>
                </c:pt>
                <c:pt idx="31">
                  <c:v>726</c:v>
                </c:pt>
                <c:pt idx="32">
                  <c:v>815</c:v>
                </c:pt>
                <c:pt idx="33">
                  <c:v>912</c:v>
                </c:pt>
                <c:pt idx="34">
                  <c:v>1020</c:v>
                </c:pt>
                <c:pt idx="35">
                  <c:v>1117</c:v>
                </c:pt>
                <c:pt idx="36">
                  <c:v>1371</c:v>
                </c:pt>
                <c:pt idx="37">
                  <c:v>1385</c:v>
                </c:pt>
                <c:pt idx="38">
                  <c:v>1529</c:v>
                </c:pt>
                <c:pt idx="39">
                  <c:v>1671</c:v>
                </c:pt>
                <c:pt idx="40">
                  <c:v>1778</c:v>
                </c:pt>
                <c:pt idx="41">
                  <c:v>1876</c:v>
                </c:pt>
                <c:pt idx="42">
                  <c:v>2012</c:v>
                </c:pt>
                <c:pt idx="43">
                  <c:v>2130</c:v>
                </c:pt>
                <c:pt idx="44">
                  <c:v>2250</c:v>
                </c:pt>
                <c:pt idx="45">
                  <c:v>2362</c:v>
                </c:pt>
                <c:pt idx="46">
                  <c:v>2465</c:v>
                </c:pt>
                <c:pt idx="47">
                  <c:v>2622</c:v>
                </c:pt>
                <c:pt idx="48">
                  <c:v>2703</c:v>
                </c:pt>
                <c:pt idx="49">
                  <c:v>2765</c:v>
                </c:pt>
                <c:pt idx="50">
                  <c:v>2807</c:v>
                </c:pt>
                <c:pt idx="51">
                  <c:v>2861</c:v>
                </c:pt>
                <c:pt idx="52">
                  <c:v>2926</c:v>
                </c:pt>
                <c:pt idx="53">
                  <c:v>2978</c:v>
                </c:pt>
                <c:pt idx="54">
                  <c:v>3044</c:v>
                </c:pt>
                <c:pt idx="55">
                  <c:v>3079</c:v>
                </c:pt>
                <c:pt idx="56">
                  <c:v>3159</c:v>
                </c:pt>
                <c:pt idx="57">
                  <c:v>3253</c:v>
                </c:pt>
                <c:pt idx="58">
                  <c:v>3349</c:v>
                </c:pt>
                <c:pt idx="59">
                  <c:v>3460</c:v>
                </c:pt>
                <c:pt idx="60">
                  <c:v>3563</c:v>
                </c:pt>
                <c:pt idx="61">
                  <c:v>3801</c:v>
                </c:pt>
                <c:pt idx="62">
                  <c:v>3992</c:v>
                </c:pt>
                <c:pt idx="63">
                  <c:v>4262</c:v>
                </c:pt>
                <c:pt idx="64">
                  <c:v>4619</c:v>
                </c:pt>
                <c:pt idx="65">
                  <c:v>4957</c:v>
                </c:pt>
                <c:pt idx="66">
                  <c:v>5385</c:v>
                </c:pt>
                <c:pt idx="67">
                  <c:v>5814</c:v>
                </c:pt>
                <c:pt idx="68">
                  <c:v>6493</c:v>
                </c:pt>
                <c:pt idx="69">
                  <c:v>7103</c:v>
                </c:pt>
                <c:pt idx="70">
                  <c:v>7942</c:v>
                </c:pt>
                <c:pt idx="71">
                  <c:v>8866</c:v>
                </c:pt>
                <c:pt idx="72">
                  <c:v>9987</c:v>
                </c:pt>
                <c:pt idx="73">
                  <c:v>11298</c:v>
                </c:pt>
                <c:pt idx="74">
                  <c:v>12959</c:v>
                </c:pt>
                <c:pt idx="75">
                  <c:v>14622</c:v>
                </c:pt>
                <c:pt idx="76">
                  <c:v>16391</c:v>
                </c:pt>
                <c:pt idx="77">
                  <c:v>18658</c:v>
                </c:pt>
                <c:pt idx="78">
                  <c:v>21206</c:v>
                </c:pt>
                <c:pt idx="79">
                  <c:v>23703</c:v>
                </c:pt>
                <c:pt idx="80">
                  <c:v>27018</c:v>
                </c:pt>
                <c:pt idx="81">
                  <c:v>30531</c:v>
                </c:pt>
                <c:pt idx="82">
                  <c:v>33886</c:v>
                </c:pt>
                <c:pt idx="83">
                  <c:v>37198</c:v>
                </c:pt>
                <c:pt idx="84">
                  <c:v>41831</c:v>
                </c:pt>
                <c:pt idx="85">
                  <c:v>47212</c:v>
                </c:pt>
                <c:pt idx="86">
                  <c:v>52690</c:v>
                </c:pt>
                <c:pt idx="87">
                  <c:v>58830</c:v>
                </c:pt>
                <c:pt idx="88">
                  <c:v>64578</c:v>
                </c:pt>
                <c:pt idx="89">
                  <c:v>69354</c:v>
                </c:pt>
                <c:pt idx="90">
                  <c:v>74119</c:v>
                </c:pt>
                <c:pt idx="91">
                  <c:v>81261</c:v>
                </c:pt>
                <c:pt idx="92">
                  <c:v>88366</c:v>
                </c:pt>
                <c:pt idx="93">
                  <c:v>94912</c:v>
                </c:pt>
                <c:pt idx="94">
                  <c:v>102072</c:v>
                </c:pt>
                <c:pt idx="95">
                  <c:v>108226</c:v>
                </c:pt>
                <c:pt idx="96">
                  <c:v>113827</c:v>
                </c:pt>
                <c:pt idx="97">
                  <c:v>118677</c:v>
                </c:pt>
                <c:pt idx="98">
                  <c:v>125581</c:v>
                </c:pt>
                <c:pt idx="99">
                  <c:v>133861</c:v>
                </c:pt>
                <c:pt idx="100">
                  <c:v>143451</c:v>
                </c:pt>
                <c:pt idx="101">
                  <c:v>153332</c:v>
                </c:pt>
                <c:pt idx="102">
                  <c:v>159385</c:v>
                </c:pt>
                <c:pt idx="103">
                  <c:v>164961</c:v>
                </c:pt>
                <c:pt idx="104">
                  <c:v>169803</c:v>
                </c:pt>
              </c:numCache>
            </c:numRef>
          </c:val>
          <c:smooth val="0"/>
          <c:extLst>
            <c:ext xmlns:c16="http://schemas.microsoft.com/office/drawing/2014/chart" uri="{C3380CC4-5D6E-409C-BE32-E72D297353CC}">
              <c16:uniqueId val="{00000001-9FC0-41C9-B017-30D5FBFD9841}"/>
            </c:ext>
          </c:extLst>
        </c:ser>
        <c:ser>
          <c:idx val="2"/>
          <c:order val="2"/>
          <c:marker>
            <c:symbol val="circle"/>
            <c:size val="6"/>
            <c:spPr>
              <a:solidFill>
                <a:srgbClr val="6AA84F"/>
              </a:solidFill>
              <a:ln cmpd="sng">
                <a:solidFill>
                  <a:srgbClr val="6AA84F"/>
                </a:solidFill>
              </a:ln>
            </c:spPr>
          </c:marker>
          <c:cat>
            <c:numRef>
              <c:f>'Chiffres - Monde'!$A$4:$A$108</c:f>
              <c:numCache>
                <c:formatCode>dd\.mm\.yyyy</c:formatCode>
                <c:ptCount val="105"/>
                <c:pt idx="0">
                  <c:v>43815</c:v>
                </c:pt>
                <c:pt idx="1">
                  <c:v>43830</c:v>
                </c:pt>
                <c:pt idx="2">
                  <c:v>43839</c:v>
                </c:pt>
                <c:pt idx="3">
                  <c:v>43840</c:v>
                </c:pt>
                <c:pt idx="4">
                  <c:v>43841</c:v>
                </c:pt>
                <c:pt idx="5">
                  <c:v>43842</c:v>
                </c:pt>
                <c:pt idx="6">
                  <c:v>43843</c:v>
                </c:pt>
                <c:pt idx="7">
                  <c:v>43844</c:v>
                </c:pt>
                <c:pt idx="8">
                  <c:v>43845</c:v>
                </c:pt>
                <c:pt idx="9">
                  <c:v>43846</c:v>
                </c:pt>
                <c:pt idx="10">
                  <c:v>43847</c:v>
                </c:pt>
                <c:pt idx="11">
                  <c:v>43848</c:v>
                </c:pt>
                <c:pt idx="12">
                  <c:v>43849</c:v>
                </c:pt>
                <c:pt idx="13">
                  <c:v>43850</c:v>
                </c:pt>
                <c:pt idx="14">
                  <c:v>43851</c:v>
                </c:pt>
                <c:pt idx="15">
                  <c:v>43852</c:v>
                </c:pt>
                <c:pt idx="16">
                  <c:v>43853</c:v>
                </c:pt>
                <c:pt idx="17">
                  <c:v>43854</c:v>
                </c:pt>
                <c:pt idx="18">
                  <c:v>43855</c:v>
                </c:pt>
                <c:pt idx="19">
                  <c:v>43856</c:v>
                </c:pt>
                <c:pt idx="20">
                  <c:v>43857</c:v>
                </c:pt>
                <c:pt idx="21">
                  <c:v>43858</c:v>
                </c:pt>
                <c:pt idx="22">
                  <c:v>43859</c:v>
                </c:pt>
                <c:pt idx="23">
                  <c:v>43860</c:v>
                </c:pt>
                <c:pt idx="24">
                  <c:v>43861</c:v>
                </c:pt>
                <c:pt idx="25">
                  <c:v>43862</c:v>
                </c:pt>
                <c:pt idx="26">
                  <c:v>43863</c:v>
                </c:pt>
                <c:pt idx="27">
                  <c:v>43864</c:v>
                </c:pt>
                <c:pt idx="28">
                  <c:v>43865</c:v>
                </c:pt>
                <c:pt idx="29">
                  <c:v>43866</c:v>
                </c:pt>
                <c:pt idx="30">
                  <c:v>43867</c:v>
                </c:pt>
                <c:pt idx="31">
                  <c:v>43868</c:v>
                </c:pt>
                <c:pt idx="32">
                  <c:v>43869</c:v>
                </c:pt>
                <c:pt idx="33">
                  <c:v>43870</c:v>
                </c:pt>
                <c:pt idx="34">
                  <c:v>43871</c:v>
                </c:pt>
                <c:pt idx="35">
                  <c:v>43872</c:v>
                </c:pt>
                <c:pt idx="36">
                  <c:v>43873</c:v>
                </c:pt>
                <c:pt idx="37">
                  <c:v>43874</c:v>
                </c:pt>
                <c:pt idx="38">
                  <c:v>43875</c:v>
                </c:pt>
                <c:pt idx="39">
                  <c:v>43876</c:v>
                </c:pt>
                <c:pt idx="40">
                  <c:v>43877</c:v>
                </c:pt>
                <c:pt idx="41">
                  <c:v>43878</c:v>
                </c:pt>
                <c:pt idx="42">
                  <c:v>43879</c:v>
                </c:pt>
                <c:pt idx="43">
                  <c:v>43880</c:v>
                </c:pt>
                <c:pt idx="44">
                  <c:v>43881</c:v>
                </c:pt>
                <c:pt idx="45">
                  <c:v>43882</c:v>
                </c:pt>
                <c:pt idx="46">
                  <c:v>43883</c:v>
                </c:pt>
                <c:pt idx="47">
                  <c:v>43884</c:v>
                </c:pt>
                <c:pt idx="48">
                  <c:v>43885</c:v>
                </c:pt>
                <c:pt idx="49">
                  <c:v>43886</c:v>
                </c:pt>
                <c:pt idx="50">
                  <c:v>43887</c:v>
                </c:pt>
                <c:pt idx="51">
                  <c:v>43888</c:v>
                </c:pt>
                <c:pt idx="52">
                  <c:v>43889</c:v>
                </c:pt>
                <c:pt idx="53">
                  <c:v>43890</c:v>
                </c:pt>
                <c:pt idx="54">
                  <c:v>43891</c:v>
                </c:pt>
                <c:pt idx="55">
                  <c:v>43892</c:v>
                </c:pt>
                <c:pt idx="56">
                  <c:v>43893</c:v>
                </c:pt>
                <c:pt idx="57">
                  <c:v>43894</c:v>
                </c:pt>
                <c:pt idx="58">
                  <c:v>43895</c:v>
                </c:pt>
                <c:pt idx="59">
                  <c:v>43896</c:v>
                </c:pt>
                <c:pt idx="60">
                  <c:v>43897</c:v>
                </c:pt>
                <c:pt idx="61">
                  <c:v>43898</c:v>
                </c:pt>
                <c:pt idx="62">
                  <c:v>43899</c:v>
                </c:pt>
                <c:pt idx="63">
                  <c:v>43900</c:v>
                </c:pt>
                <c:pt idx="64">
                  <c:v>43901</c:v>
                </c:pt>
                <c:pt idx="65">
                  <c:v>43902</c:v>
                </c:pt>
                <c:pt idx="66">
                  <c:v>43903</c:v>
                </c:pt>
                <c:pt idx="67">
                  <c:v>43904</c:v>
                </c:pt>
                <c:pt idx="68">
                  <c:v>43905</c:v>
                </c:pt>
                <c:pt idx="69">
                  <c:v>43906</c:v>
                </c:pt>
                <c:pt idx="70">
                  <c:v>43907</c:v>
                </c:pt>
                <c:pt idx="71">
                  <c:v>43908</c:v>
                </c:pt>
                <c:pt idx="72">
                  <c:v>43909</c:v>
                </c:pt>
                <c:pt idx="73">
                  <c:v>43910</c:v>
                </c:pt>
                <c:pt idx="74">
                  <c:v>43911</c:v>
                </c:pt>
                <c:pt idx="75">
                  <c:v>43912</c:v>
                </c:pt>
                <c:pt idx="76">
                  <c:v>43913</c:v>
                </c:pt>
                <c:pt idx="77">
                  <c:v>43914</c:v>
                </c:pt>
                <c:pt idx="78">
                  <c:v>43915</c:v>
                </c:pt>
                <c:pt idx="79">
                  <c:v>43916</c:v>
                </c:pt>
                <c:pt idx="80">
                  <c:v>43917</c:v>
                </c:pt>
                <c:pt idx="81">
                  <c:v>43918</c:v>
                </c:pt>
                <c:pt idx="82">
                  <c:v>43919</c:v>
                </c:pt>
                <c:pt idx="83">
                  <c:v>43920</c:v>
                </c:pt>
                <c:pt idx="84">
                  <c:v>43921</c:v>
                </c:pt>
                <c:pt idx="85">
                  <c:v>43922</c:v>
                </c:pt>
                <c:pt idx="86">
                  <c:v>43923</c:v>
                </c:pt>
                <c:pt idx="87">
                  <c:v>43924</c:v>
                </c:pt>
                <c:pt idx="88">
                  <c:v>43925</c:v>
                </c:pt>
                <c:pt idx="89">
                  <c:v>43926</c:v>
                </c:pt>
                <c:pt idx="90">
                  <c:v>43927</c:v>
                </c:pt>
                <c:pt idx="91">
                  <c:v>43928</c:v>
                </c:pt>
                <c:pt idx="92">
                  <c:v>43929</c:v>
                </c:pt>
                <c:pt idx="93">
                  <c:v>43930</c:v>
                </c:pt>
                <c:pt idx="94">
                  <c:v>43931</c:v>
                </c:pt>
                <c:pt idx="95">
                  <c:v>43932</c:v>
                </c:pt>
                <c:pt idx="96">
                  <c:v>43933</c:v>
                </c:pt>
                <c:pt idx="97">
                  <c:v>43934</c:v>
                </c:pt>
                <c:pt idx="98">
                  <c:v>43935</c:v>
                </c:pt>
                <c:pt idx="99">
                  <c:v>43936</c:v>
                </c:pt>
                <c:pt idx="100">
                  <c:v>43937</c:v>
                </c:pt>
                <c:pt idx="101">
                  <c:v>43938</c:v>
                </c:pt>
                <c:pt idx="102">
                  <c:v>43939</c:v>
                </c:pt>
                <c:pt idx="103">
                  <c:v>43940</c:v>
                </c:pt>
                <c:pt idx="104">
                  <c:v>43941</c:v>
                </c:pt>
              </c:numCache>
            </c:numRef>
          </c:cat>
          <c:val>
            <c:numRef>
              <c:f>'Chiffres - Monde'!$D$4:$D$108</c:f>
              <c:numCache>
                <c:formatCode>0</c:formatCode>
                <c:ptCount val="1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25</c:v>
                </c:pt>
                <c:pt idx="15">
                  <c:v>28</c:v>
                </c:pt>
                <c:pt idx="16">
                  <c:v>30</c:v>
                </c:pt>
                <c:pt idx="17">
                  <c:v>36</c:v>
                </c:pt>
                <c:pt idx="18">
                  <c:v>49</c:v>
                </c:pt>
                <c:pt idx="19">
                  <c:v>54</c:v>
                </c:pt>
                <c:pt idx="20">
                  <c:v>63</c:v>
                </c:pt>
                <c:pt idx="21">
                  <c:v>110</c:v>
                </c:pt>
                <c:pt idx="22">
                  <c:v>133</c:v>
                </c:pt>
                <c:pt idx="23">
                  <c:v>141</c:v>
                </c:pt>
                <c:pt idx="24">
                  <c:v>220</c:v>
                </c:pt>
                <c:pt idx="25">
                  <c:v>284</c:v>
                </c:pt>
                <c:pt idx="26">
                  <c:v>487</c:v>
                </c:pt>
                <c:pt idx="27">
                  <c:v>621</c:v>
                </c:pt>
                <c:pt idx="28">
                  <c:v>899</c:v>
                </c:pt>
                <c:pt idx="29">
                  <c:v>1100</c:v>
                </c:pt>
                <c:pt idx="30">
                  <c:v>1500</c:v>
                </c:pt>
                <c:pt idx="31">
                  <c:v>2000</c:v>
                </c:pt>
                <c:pt idx="32">
                  <c:v>2600</c:v>
                </c:pt>
                <c:pt idx="33">
                  <c:v>3200</c:v>
                </c:pt>
                <c:pt idx="34">
                  <c:v>3900</c:v>
                </c:pt>
                <c:pt idx="35">
                  <c:v>4700</c:v>
                </c:pt>
                <c:pt idx="36">
                  <c:v>5200</c:v>
                </c:pt>
                <c:pt idx="37">
                  <c:v>6300</c:v>
                </c:pt>
                <c:pt idx="38">
                  <c:v>8100</c:v>
                </c:pt>
                <c:pt idx="39">
                  <c:v>9400</c:v>
                </c:pt>
                <c:pt idx="40">
                  <c:v>10900</c:v>
                </c:pt>
                <c:pt idx="41">
                  <c:v>12600</c:v>
                </c:pt>
                <c:pt idx="42">
                  <c:v>14400</c:v>
                </c:pt>
                <c:pt idx="43">
                  <c:v>16100</c:v>
                </c:pt>
                <c:pt idx="44">
                  <c:v>18200</c:v>
                </c:pt>
                <c:pt idx="45">
                  <c:v>18900</c:v>
                </c:pt>
                <c:pt idx="46">
                  <c:v>22900</c:v>
                </c:pt>
                <c:pt idx="47">
                  <c:v>23400</c:v>
                </c:pt>
                <c:pt idx="48">
                  <c:v>25200</c:v>
                </c:pt>
                <c:pt idx="49">
                  <c:v>27867</c:v>
                </c:pt>
                <c:pt idx="50">
                  <c:v>30311</c:v>
                </c:pt>
                <c:pt idx="51">
                  <c:v>33242</c:v>
                </c:pt>
                <c:pt idx="52">
                  <c:v>36676</c:v>
                </c:pt>
                <c:pt idx="53">
                  <c:v>39750</c:v>
                </c:pt>
                <c:pt idx="54">
                  <c:v>42660</c:v>
                </c:pt>
                <c:pt idx="55">
                  <c:v>45571</c:v>
                </c:pt>
                <c:pt idx="56">
                  <c:v>48189</c:v>
                </c:pt>
                <c:pt idx="57">
                  <c:v>51144</c:v>
                </c:pt>
                <c:pt idx="58">
                  <c:v>53784</c:v>
                </c:pt>
                <c:pt idx="59">
                  <c:v>55835</c:v>
                </c:pt>
                <c:pt idx="60">
                  <c:v>58331</c:v>
                </c:pt>
                <c:pt idx="61">
                  <c:v>60682</c:v>
                </c:pt>
                <c:pt idx="62">
                  <c:v>62472</c:v>
                </c:pt>
                <c:pt idx="63">
                  <c:v>64383</c:v>
                </c:pt>
                <c:pt idx="64">
                  <c:v>66732</c:v>
                </c:pt>
                <c:pt idx="65">
                  <c:v>68097</c:v>
                </c:pt>
                <c:pt idx="66">
                  <c:v>69993</c:v>
                </c:pt>
                <c:pt idx="67">
                  <c:v>72365</c:v>
                </c:pt>
                <c:pt idx="68">
                  <c:v>76099</c:v>
                </c:pt>
                <c:pt idx="69">
                  <c:v>78251</c:v>
                </c:pt>
                <c:pt idx="70">
                  <c:v>81252</c:v>
                </c:pt>
                <c:pt idx="71">
                  <c:v>84350</c:v>
                </c:pt>
                <c:pt idx="72">
                  <c:v>86353</c:v>
                </c:pt>
                <c:pt idx="73">
                  <c:v>89111</c:v>
                </c:pt>
                <c:pt idx="74">
                  <c:v>93567</c:v>
                </c:pt>
                <c:pt idx="75">
                  <c:v>97935</c:v>
                </c:pt>
                <c:pt idx="76">
                  <c:v>101605</c:v>
                </c:pt>
                <c:pt idx="77">
                  <c:v>108270</c:v>
                </c:pt>
                <c:pt idx="78">
                  <c:v>114069</c:v>
                </c:pt>
                <c:pt idx="79">
                  <c:v>122485</c:v>
                </c:pt>
                <c:pt idx="80">
                  <c:v>130027</c:v>
                </c:pt>
                <c:pt idx="81">
                  <c:v>136618</c:v>
                </c:pt>
                <c:pt idx="82">
                  <c:v>148120</c:v>
                </c:pt>
                <c:pt idx="83">
                  <c:v>163651</c:v>
                </c:pt>
                <c:pt idx="84">
                  <c:v>177121</c:v>
                </c:pt>
                <c:pt idx="85">
                  <c:v>191441</c:v>
                </c:pt>
                <c:pt idx="86">
                  <c:v>207709</c:v>
                </c:pt>
                <c:pt idx="87">
                  <c:v>217929</c:v>
                </c:pt>
                <c:pt idx="88">
                  <c:v>241464</c:v>
                </c:pt>
                <c:pt idx="89">
                  <c:v>255351</c:v>
                </c:pt>
                <c:pt idx="90">
                  <c:v>269813</c:v>
                </c:pt>
                <c:pt idx="91">
                  <c:v>292076</c:v>
                </c:pt>
                <c:pt idx="92">
                  <c:v>311216</c:v>
                </c:pt>
                <c:pt idx="93">
                  <c:v>345654</c:v>
                </c:pt>
                <c:pt idx="94">
                  <c:v>366313</c:v>
                </c:pt>
                <c:pt idx="95">
                  <c:v>392059</c:v>
                </c:pt>
                <c:pt idx="96">
                  <c:v>411175</c:v>
                </c:pt>
                <c:pt idx="97">
                  <c:v>435943</c:v>
                </c:pt>
                <c:pt idx="98">
                  <c:v>462393</c:v>
                </c:pt>
                <c:pt idx="99">
                  <c:v>498906</c:v>
                </c:pt>
                <c:pt idx="100">
                  <c:v>529006</c:v>
                </c:pt>
                <c:pt idx="101">
                  <c:v>553406</c:v>
                </c:pt>
                <c:pt idx="102">
                  <c:v>577915</c:v>
                </c:pt>
                <c:pt idx="103">
                  <c:v>597809</c:v>
                </c:pt>
                <c:pt idx="104">
                  <c:v>630093</c:v>
                </c:pt>
              </c:numCache>
            </c:numRef>
          </c:val>
          <c:smooth val="0"/>
          <c:extLst>
            <c:ext xmlns:c16="http://schemas.microsoft.com/office/drawing/2014/chart" uri="{C3380CC4-5D6E-409C-BE32-E72D297353CC}">
              <c16:uniqueId val="{00000002-9FC0-41C9-B017-30D5FBFD9841}"/>
            </c:ext>
          </c:extLst>
        </c:ser>
        <c:dLbls>
          <c:showLegendKey val="0"/>
          <c:showVal val="0"/>
          <c:showCatName val="0"/>
          <c:showSerName val="0"/>
          <c:showPercent val="0"/>
          <c:showBubbleSize val="0"/>
        </c:dLbls>
        <c:marker val="1"/>
        <c:smooth val="0"/>
        <c:axId val="1827298674"/>
        <c:axId val="2027992282"/>
      </c:lineChart>
      <c:dateAx>
        <c:axId val="1827298674"/>
        <c:scaling>
          <c:orientation val="minMax"/>
        </c:scaling>
        <c:delete val="0"/>
        <c:axPos val="b"/>
        <c:title>
          <c:tx>
            <c:rich>
              <a:bodyPr/>
              <a:lstStyle/>
              <a:p>
                <a:pPr lvl="0">
                  <a:defRPr b="0">
                    <a:solidFill>
                      <a:srgbClr val="000000"/>
                    </a:solidFill>
                    <a:latin typeface="Roboto"/>
                  </a:defRPr>
                </a:pPr>
                <a:endParaRPr/>
              </a:p>
            </c:rich>
          </c:tx>
          <c:overlay val="0"/>
        </c:title>
        <c:numFmt formatCode="dd\.mm\.yyyy" sourceLinked="1"/>
        <c:majorTickMark val="cross"/>
        <c:minorTickMark val="cross"/>
        <c:tickLblPos val="nextTo"/>
        <c:txPr>
          <a:bodyPr rot="0"/>
          <a:lstStyle/>
          <a:p>
            <a:pPr lvl="0">
              <a:defRPr b="0">
                <a:solidFill>
                  <a:srgbClr val="000000"/>
                </a:solidFill>
                <a:latin typeface="Roboto"/>
              </a:defRPr>
            </a:pPr>
            <a:endParaRPr lang="fr-FR"/>
          </a:p>
        </c:txPr>
        <c:crossAx val="2027992282"/>
        <c:crosses val="autoZero"/>
        <c:auto val="1"/>
        <c:lblOffset val="100"/>
        <c:baseTimeUnit val="days"/>
      </c:dateAx>
      <c:valAx>
        <c:axId val="2027992282"/>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cross"/>
        <c:minorTickMark val="cross"/>
        <c:tickLblPos val="nextTo"/>
        <c:spPr>
          <a:ln w="47625">
            <a:noFill/>
          </a:ln>
        </c:spPr>
        <c:txPr>
          <a:bodyPr/>
          <a:lstStyle/>
          <a:p>
            <a:pPr lvl="0">
              <a:defRPr b="0">
                <a:solidFill>
                  <a:srgbClr val="000000"/>
                </a:solidFill>
                <a:latin typeface="Roboto"/>
              </a:defRPr>
            </a:pPr>
            <a:endParaRPr lang="fr-FR"/>
          </a:p>
        </c:txPr>
        <c:crossAx val="1827298674"/>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1"/>
  <c:style val="2"/>
  <c:chart>
    <c:title>
      <c:tx>
        <c:rich>
          <a:bodyPr/>
          <a:lstStyle/>
          <a:p>
            <a:pPr lvl="0">
              <a:defRPr sz="2000" b="0">
                <a:solidFill>
                  <a:srgbClr val="666666"/>
                </a:solidFill>
                <a:latin typeface="Roboto"/>
              </a:defRPr>
            </a:pPr>
            <a:r>
              <a:t>Evolution du taux de létalité du COVID-19 au niveau mondial</a:t>
            </a:r>
          </a:p>
        </c:rich>
      </c:tx>
      <c:overlay val="0"/>
    </c:title>
    <c:autoTitleDeleted val="0"/>
    <c:plotArea>
      <c:layout/>
      <c:lineChart>
        <c:grouping val="standard"/>
        <c:varyColors val="0"/>
        <c:ser>
          <c:idx val="0"/>
          <c:order val="0"/>
          <c:marker>
            <c:symbol val="circle"/>
            <c:size val="6"/>
            <c:spPr>
              <a:solidFill>
                <a:srgbClr val="CC0000"/>
              </a:solidFill>
              <a:ln cmpd="sng">
                <a:solidFill>
                  <a:srgbClr val="CC0000"/>
                </a:solidFill>
              </a:ln>
            </c:spPr>
          </c:marker>
          <c:cat>
            <c:numRef>
              <c:f>'Chiffres - Monde'!$A$4:$A$108</c:f>
              <c:numCache>
                <c:formatCode>dd\.mm\.yyyy</c:formatCode>
                <c:ptCount val="105"/>
                <c:pt idx="0">
                  <c:v>43815</c:v>
                </c:pt>
                <c:pt idx="1">
                  <c:v>43830</c:v>
                </c:pt>
                <c:pt idx="2">
                  <c:v>43839</c:v>
                </c:pt>
                <c:pt idx="3">
                  <c:v>43840</c:v>
                </c:pt>
                <c:pt idx="4">
                  <c:v>43841</c:v>
                </c:pt>
                <c:pt idx="5">
                  <c:v>43842</c:v>
                </c:pt>
                <c:pt idx="6">
                  <c:v>43843</c:v>
                </c:pt>
                <c:pt idx="7">
                  <c:v>43844</c:v>
                </c:pt>
                <c:pt idx="8">
                  <c:v>43845</c:v>
                </c:pt>
                <c:pt idx="9">
                  <c:v>43846</c:v>
                </c:pt>
                <c:pt idx="10">
                  <c:v>43847</c:v>
                </c:pt>
                <c:pt idx="11">
                  <c:v>43848</c:v>
                </c:pt>
                <c:pt idx="12">
                  <c:v>43849</c:v>
                </c:pt>
                <c:pt idx="13">
                  <c:v>43850</c:v>
                </c:pt>
                <c:pt idx="14">
                  <c:v>43851</c:v>
                </c:pt>
                <c:pt idx="15">
                  <c:v>43852</c:v>
                </c:pt>
                <c:pt idx="16">
                  <c:v>43853</c:v>
                </c:pt>
                <c:pt idx="17">
                  <c:v>43854</c:v>
                </c:pt>
                <c:pt idx="18">
                  <c:v>43855</c:v>
                </c:pt>
                <c:pt idx="19">
                  <c:v>43856</c:v>
                </c:pt>
                <c:pt idx="20">
                  <c:v>43857</c:v>
                </c:pt>
                <c:pt idx="21">
                  <c:v>43858</c:v>
                </c:pt>
                <c:pt idx="22">
                  <c:v>43859</c:v>
                </c:pt>
                <c:pt idx="23">
                  <c:v>43860</c:v>
                </c:pt>
                <c:pt idx="24">
                  <c:v>43861</c:v>
                </c:pt>
                <c:pt idx="25">
                  <c:v>43862</c:v>
                </c:pt>
                <c:pt idx="26">
                  <c:v>43863</c:v>
                </c:pt>
                <c:pt idx="27">
                  <c:v>43864</c:v>
                </c:pt>
                <c:pt idx="28">
                  <c:v>43865</c:v>
                </c:pt>
                <c:pt idx="29">
                  <c:v>43866</c:v>
                </c:pt>
                <c:pt idx="30">
                  <c:v>43867</c:v>
                </c:pt>
                <c:pt idx="31">
                  <c:v>43868</c:v>
                </c:pt>
                <c:pt idx="32">
                  <c:v>43869</c:v>
                </c:pt>
                <c:pt idx="33">
                  <c:v>43870</c:v>
                </c:pt>
                <c:pt idx="34">
                  <c:v>43871</c:v>
                </c:pt>
                <c:pt idx="35">
                  <c:v>43872</c:v>
                </c:pt>
                <c:pt idx="36">
                  <c:v>43873</c:v>
                </c:pt>
                <c:pt idx="37">
                  <c:v>43874</c:v>
                </c:pt>
                <c:pt idx="38">
                  <c:v>43875</c:v>
                </c:pt>
                <c:pt idx="39">
                  <c:v>43876</c:v>
                </c:pt>
                <c:pt idx="40">
                  <c:v>43877</c:v>
                </c:pt>
                <c:pt idx="41">
                  <c:v>43878</c:v>
                </c:pt>
                <c:pt idx="42">
                  <c:v>43879</c:v>
                </c:pt>
                <c:pt idx="43">
                  <c:v>43880</c:v>
                </c:pt>
                <c:pt idx="44">
                  <c:v>43881</c:v>
                </c:pt>
                <c:pt idx="45">
                  <c:v>43882</c:v>
                </c:pt>
                <c:pt idx="46">
                  <c:v>43883</c:v>
                </c:pt>
                <c:pt idx="47">
                  <c:v>43884</c:v>
                </c:pt>
                <c:pt idx="48">
                  <c:v>43885</c:v>
                </c:pt>
                <c:pt idx="49">
                  <c:v>43886</c:v>
                </c:pt>
                <c:pt idx="50">
                  <c:v>43887</c:v>
                </c:pt>
                <c:pt idx="51">
                  <c:v>43888</c:v>
                </c:pt>
                <c:pt idx="52">
                  <c:v>43889</c:v>
                </c:pt>
                <c:pt idx="53">
                  <c:v>43890</c:v>
                </c:pt>
                <c:pt idx="54">
                  <c:v>43891</c:v>
                </c:pt>
                <c:pt idx="55">
                  <c:v>43892</c:v>
                </c:pt>
                <c:pt idx="56">
                  <c:v>43893</c:v>
                </c:pt>
                <c:pt idx="57">
                  <c:v>43894</c:v>
                </c:pt>
                <c:pt idx="58">
                  <c:v>43895</c:v>
                </c:pt>
                <c:pt idx="59">
                  <c:v>43896</c:v>
                </c:pt>
                <c:pt idx="60">
                  <c:v>43897</c:v>
                </c:pt>
                <c:pt idx="61">
                  <c:v>43898</c:v>
                </c:pt>
                <c:pt idx="62">
                  <c:v>43899</c:v>
                </c:pt>
                <c:pt idx="63">
                  <c:v>43900</c:v>
                </c:pt>
                <c:pt idx="64">
                  <c:v>43901</c:v>
                </c:pt>
                <c:pt idx="65">
                  <c:v>43902</c:v>
                </c:pt>
                <c:pt idx="66">
                  <c:v>43903</c:v>
                </c:pt>
                <c:pt idx="67">
                  <c:v>43904</c:v>
                </c:pt>
                <c:pt idx="68">
                  <c:v>43905</c:v>
                </c:pt>
                <c:pt idx="69">
                  <c:v>43906</c:v>
                </c:pt>
                <c:pt idx="70">
                  <c:v>43907</c:v>
                </c:pt>
                <c:pt idx="71">
                  <c:v>43908</c:v>
                </c:pt>
                <c:pt idx="72">
                  <c:v>43909</c:v>
                </c:pt>
                <c:pt idx="73">
                  <c:v>43910</c:v>
                </c:pt>
                <c:pt idx="74">
                  <c:v>43911</c:v>
                </c:pt>
                <c:pt idx="75">
                  <c:v>43912</c:v>
                </c:pt>
                <c:pt idx="76">
                  <c:v>43913</c:v>
                </c:pt>
                <c:pt idx="77">
                  <c:v>43914</c:v>
                </c:pt>
                <c:pt idx="78">
                  <c:v>43915</c:v>
                </c:pt>
                <c:pt idx="79">
                  <c:v>43916</c:v>
                </c:pt>
                <c:pt idx="80">
                  <c:v>43917</c:v>
                </c:pt>
                <c:pt idx="81">
                  <c:v>43918</c:v>
                </c:pt>
                <c:pt idx="82">
                  <c:v>43919</c:v>
                </c:pt>
                <c:pt idx="83">
                  <c:v>43920</c:v>
                </c:pt>
                <c:pt idx="84">
                  <c:v>43921</c:v>
                </c:pt>
                <c:pt idx="85">
                  <c:v>43922</c:v>
                </c:pt>
                <c:pt idx="86">
                  <c:v>43923</c:v>
                </c:pt>
                <c:pt idx="87">
                  <c:v>43924</c:v>
                </c:pt>
                <c:pt idx="88">
                  <c:v>43925</c:v>
                </c:pt>
                <c:pt idx="89">
                  <c:v>43926</c:v>
                </c:pt>
                <c:pt idx="90">
                  <c:v>43927</c:v>
                </c:pt>
                <c:pt idx="91">
                  <c:v>43928</c:v>
                </c:pt>
                <c:pt idx="92">
                  <c:v>43929</c:v>
                </c:pt>
                <c:pt idx="93">
                  <c:v>43930</c:v>
                </c:pt>
                <c:pt idx="94">
                  <c:v>43931</c:v>
                </c:pt>
                <c:pt idx="95">
                  <c:v>43932</c:v>
                </c:pt>
                <c:pt idx="96">
                  <c:v>43933</c:v>
                </c:pt>
                <c:pt idx="97">
                  <c:v>43934</c:v>
                </c:pt>
                <c:pt idx="98">
                  <c:v>43935</c:v>
                </c:pt>
                <c:pt idx="99">
                  <c:v>43936</c:v>
                </c:pt>
                <c:pt idx="100">
                  <c:v>43937</c:v>
                </c:pt>
                <c:pt idx="101">
                  <c:v>43938</c:v>
                </c:pt>
                <c:pt idx="102">
                  <c:v>43939</c:v>
                </c:pt>
                <c:pt idx="103">
                  <c:v>43940</c:v>
                </c:pt>
                <c:pt idx="104">
                  <c:v>43941</c:v>
                </c:pt>
              </c:numCache>
            </c:numRef>
          </c:cat>
          <c:val>
            <c:numRef>
              <c:f>'Chiffres - Monde'!#REF!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'Chiffres - Monde'!#REF!</c15:sqref>
                        </c15:formulaRef>
                      </c:ext>
                    </c:extLst>
                    <c:strCache>
                      <c:ptCount val="1"/>
                      <c:pt idx="0">
                        <c:v>#REF!</c:v>
                      </c:pt>
                    </c:strCache>
                  </c:strRef>
                </c15:tx>
              </c15:filteredSeriesTitle>
            </c:ext>
            <c:ext xmlns:c16="http://schemas.microsoft.com/office/drawing/2014/chart" uri="{C3380CC4-5D6E-409C-BE32-E72D297353CC}">
              <c16:uniqueId val="{00000000-2460-48CC-9A59-9E5795432C18}"/>
            </c:ext>
          </c:extLst>
        </c:ser>
        <c:dLbls>
          <c:showLegendKey val="0"/>
          <c:showVal val="0"/>
          <c:showCatName val="0"/>
          <c:showSerName val="0"/>
          <c:showPercent val="0"/>
          <c:showBubbleSize val="0"/>
        </c:dLbls>
        <c:marker val="1"/>
        <c:smooth val="0"/>
        <c:axId val="794093905"/>
        <c:axId val="232866508"/>
      </c:lineChart>
      <c:dateAx>
        <c:axId val="794093905"/>
        <c:scaling>
          <c:orientation val="minMax"/>
        </c:scaling>
        <c:delete val="0"/>
        <c:axPos val="b"/>
        <c:title>
          <c:tx>
            <c:rich>
              <a:bodyPr/>
              <a:lstStyle/>
              <a:p>
                <a:pPr lvl="0">
                  <a:defRPr b="0">
                    <a:solidFill>
                      <a:srgbClr val="000000"/>
                    </a:solidFill>
                    <a:latin typeface="Roboto"/>
                  </a:defRPr>
                </a:pPr>
                <a:endParaRPr/>
              </a:p>
            </c:rich>
          </c:tx>
          <c:overlay val="0"/>
        </c:title>
        <c:numFmt formatCode="dd\.mm\.yyyy" sourceLinked="1"/>
        <c:majorTickMark val="cross"/>
        <c:minorTickMark val="cross"/>
        <c:tickLblPos val="nextTo"/>
        <c:txPr>
          <a:bodyPr/>
          <a:lstStyle/>
          <a:p>
            <a:pPr lvl="0">
              <a:defRPr b="0">
                <a:solidFill>
                  <a:srgbClr val="000000"/>
                </a:solidFill>
                <a:latin typeface="Roboto"/>
              </a:defRPr>
            </a:pPr>
            <a:endParaRPr lang="fr-FR"/>
          </a:p>
        </c:txPr>
        <c:crossAx val="232866508"/>
        <c:crosses val="autoZero"/>
        <c:auto val="1"/>
        <c:lblOffset val="100"/>
        <c:baseTimeUnit val="days"/>
      </c:dateAx>
      <c:valAx>
        <c:axId val="232866508"/>
        <c:scaling>
          <c:orientation val="minMax"/>
        </c:scaling>
        <c:delete val="0"/>
        <c:axPos val="l"/>
        <c:majorGridlines>
          <c:spPr>
            <a:ln>
              <a:solidFill>
                <a:srgbClr val="B7B7B7"/>
              </a:solidFill>
            </a:ln>
          </c:spPr>
        </c:majorGridlines>
        <c:minorGridlines>
          <c:spPr>
            <a:ln>
              <a:solidFill>
                <a:srgbClr val="EFEFEF"/>
              </a:solidFill>
            </a:ln>
          </c:spPr>
        </c:minorGridlines>
        <c:title>
          <c:tx>
            <c:rich>
              <a:bodyPr/>
              <a:lstStyle/>
              <a:p>
                <a:pPr lvl="0">
                  <a:defRPr b="0">
                    <a:solidFill>
                      <a:srgbClr val="000000"/>
                    </a:solidFill>
                    <a:latin typeface="Roboto"/>
                  </a:defRPr>
                </a:pPr>
                <a:r>
                  <a:t>Taux de létalité (%)</a:t>
                </a:r>
              </a:p>
            </c:rich>
          </c:tx>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fr-FR"/>
          </a:p>
        </c:txPr>
        <c:crossAx val="794093905"/>
        <c:crosses val="autoZero"/>
        <c:crossBetween val="between"/>
      </c:valAx>
    </c:plotArea>
    <c:plotVisOnly val="1"/>
    <c:dispBlanksAs val="zero"/>
    <c:showDLblsOverMax val="1"/>
  </c:chart>
  <c:spPr>
    <a:solidFill>
      <a:schemeClr val="l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chart" Target="../charts/chart3.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s>
</file>

<file path=xl/drawings/_rels/drawing3.xml.rels><?xml version="1.0" encoding="UTF-8" standalone="yes"?>
<Relationships xmlns="http://schemas.openxmlformats.org/package/2006/relationships"><Relationship Id="rId13" Type="http://schemas.openxmlformats.org/officeDocument/2006/relationships/image" Target="../media/image42.png"/><Relationship Id="rId18" Type="http://schemas.openxmlformats.org/officeDocument/2006/relationships/image" Target="../media/image47.png"/><Relationship Id="rId26" Type="http://schemas.openxmlformats.org/officeDocument/2006/relationships/image" Target="../media/image55.png"/><Relationship Id="rId39" Type="http://schemas.openxmlformats.org/officeDocument/2006/relationships/image" Target="../media/image68.png"/><Relationship Id="rId21" Type="http://schemas.openxmlformats.org/officeDocument/2006/relationships/image" Target="../media/image50.png"/><Relationship Id="rId34" Type="http://schemas.openxmlformats.org/officeDocument/2006/relationships/image" Target="../media/image63.png"/><Relationship Id="rId42" Type="http://schemas.openxmlformats.org/officeDocument/2006/relationships/image" Target="../media/image71.png"/><Relationship Id="rId47" Type="http://schemas.openxmlformats.org/officeDocument/2006/relationships/image" Target="../media/image76.png"/><Relationship Id="rId50" Type="http://schemas.openxmlformats.org/officeDocument/2006/relationships/image" Target="../media/image78.png"/><Relationship Id="rId7" Type="http://schemas.openxmlformats.org/officeDocument/2006/relationships/image" Target="../media/image36.png"/><Relationship Id="rId2" Type="http://schemas.openxmlformats.org/officeDocument/2006/relationships/image" Target="../media/image31.png"/><Relationship Id="rId16" Type="http://schemas.openxmlformats.org/officeDocument/2006/relationships/image" Target="../media/image45.png"/><Relationship Id="rId29" Type="http://schemas.openxmlformats.org/officeDocument/2006/relationships/image" Target="../media/image58.png"/><Relationship Id="rId11" Type="http://schemas.openxmlformats.org/officeDocument/2006/relationships/image" Target="../media/image40.png"/><Relationship Id="rId24" Type="http://schemas.openxmlformats.org/officeDocument/2006/relationships/image" Target="../media/image53.png"/><Relationship Id="rId32" Type="http://schemas.openxmlformats.org/officeDocument/2006/relationships/image" Target="../media/image61.png"/><Relationship Id="rId37" Type="http://schemas.openxmlformats.org/officeDocument/2006/relationships/image" Target="../media/image66.png"/><Relationship Id="rId40" Type="http://schemas.openxmlformats.org/officeDocument/2006/relationships/image" Target="../media/image69.png"/><Relationship Id="rId45" Type="http://schemas.openxmlformats.org/officeDocument/2006/relationships/image" Target="../media/image74.png"/><Relationship Id="rId5" Type="http://schemas.openxmlformats.org/officeDocument/2006/relationships/image" Target="../media/image34.png"/><Relationship Id="rId15" Type="http://schemas.openxmlformats.org/officeDocument/2006/relationships/image" Target="../media/image44.png"/><Relationship Id="rId23" Type="http://schemas.openxmlformats.org/officeDocument/2006/relationships/image" Target="../media/image52.png"/><Relationship Id="rId28" Type="http://schemas.openxmlformats.org/officeDocument/2006/relationships/image" Target="../media/image57.png"/><Relationship Id="rId36" Type="http://schemas.openxmlformats.org/officeDocument/2006/relationships/image" Target="../media/image65.png"/><Relationship Id="rId49" Type="http://schemas.openxmlformats.org/officeDocument/2006/relationships/image" Target="../media/image77.png"/><Relationship Id="rId10" Type="http://schemas.openxmlformats.org/officeDocument/2006/relationships/image" Target="../media/image39.png"/><Relationship Id="rId19" Type="http://schemas.openxmlformats.org/officeDocument/2006/relationships/image" Target="../media/image48.png"/><Relationship Id="rId31" Type="http://schemas.openxmlformats.org/officeDocument/2006/relationships/image" Target="../media/image60.png"/><Relationship Id="rId44" Type="http://schemas.openxmlformats.org/officeDocument/2006/relationships/image" Target="../media/image73.png"/><Relationship Id="rId4" Type="http://schemas.openxmlformats.org/officeDocument/2006/relationships/image" Target="../media/image33.png"/><Relationship Id="rId9" Type="http://schemas.openxmlformats.org/officeDocument/2006/relationships/image" Target="../media/image38.png"/><Relationship Id="rId14" Type="http://schemas.openxmlformats.org/officeDocument/2006/relationships/image" Target="../media/image43.png"/><Relationship Id="rId22" Type="http://schemas.openxmlformats.org/officeDocument/2006/relationships/image" Target="../media/image51.png"/><Relationship Id="rId27" Type="http://schemas.openxmlformats.org/officeDocument/2006/relationships/image" Target="../media/image56.png"/><Relationship Id="rId30" Type="http://schemas.openxmlformats.org/officeDocument/2006/relationships/image" Target="../media/image59.png"/><Relationship Id="rId35" Type="http://schemas.openxmlformats.org/officeDocument/2006/relationships/image" Target="../media/image64.png"/><Relationship Id="rId43" Type="http://schemas.openxmlformats.org/officeDocument/2006/relationships/image" Target="../media/image72.png"/><Relationship Id="rId48" Type="http://schemas.openxmlformats.org/officeDocument/2006/relationships/image" Target="../media/image2.png"/><Relationship Id="rId8" Type="http://schemas.openxmlformats.org/officeDocument/2006/relationships/image" Target="../media/image37.png"/><Relationship Id="rId51" Type="http://schemas.openxmlformats.org/officeDocument/2006/relationships/image" Target="../media/image29.png"/><Relationship Id="rId3" Type="http://schemas.openxmlformats.org/officeDocument/2006/relationships/image" Target="../media/image32.png"/><Relationship Id="rId12" Type="http://schemas.openxmlformats.org/officeDocument/2006/relationships/image" Target="../media/image41.png"/><Relationship Id="rId17" Type="http://schemas.openxmlformats.org/officeDocument/2006/relationships/image" Target="../media/image46.png"/><Relationship Id="rId25" Type="http://schemas.openxmlformats.org/officeDocument/2006/relationships/image" Target="../media/image54.png"/><Relationship Id="rId33" Type="http://schemas.openxmlformats.org/officeDocument/2006/relationships/image" Target="../media/image62.png"/><Relationship Id="rId38" Type="http://schemas.openxmlformats.org/officeDocument/2006/relationships/image" Target="../media/image67.png"/><Relationship Id="rId46" Type="http://schemas.openxmlformats.org/officeDocument/2006/relationships/image" Target="../media/image75.png"/><Relationship Id="rId20" Type="http://schemas.openxmlformats.org/officeDocument/2006/relationships/image" Target="../media/image49.png"/><Relationship Id="rId41" Type="http://schemas.openxmlformats.org/officeDocument/2006/relationships/image" Target="../media/image70.png"/><Relationship Id="rId1" Type="http://schemas.openxmlformats.org/officeDocument/2006/relationships/image" Target="../media/image30.png"/><Relationship Id="rId6" Type="http://schemas.openxmlformats.org/officeDocument/2006/relationships/image" Target="../media/image35.png"/></Relationships>
</file>

<file path=xl/drawings/_rels/drawing4.xml.rels><?xml version="1.0" encoding="UTF-8" standalone="yes"?>
<Relationships xmlns="http://schemas.openxmlformats.org/package/2006/relationships"><Relationship Id="rId13" Type="http://schemas.openxmlformats.org/officeDocument/2006/relationships/image" Target="../media/image91.png"/><Relationship Id="rId18" Type="http://schemas.openxmlformats.org/officeDocument/2006/relationships/image" Target="../media/image96.png"/><Relationship Id="rId26" Type="http://schemas.openxmlformats.org/officeDocument/2006/relationships/image" Target="../media/image104.png"/><Relationship Id="rId39" Type="http://schemas.openxmlformats.org/officeDocument/2006/relationships/image" Target="../media/image116.png"/><Relationship Id="rId21" Type="http://schemas.openxmlformats.org/officeDocument/2006/relationships/image" Target="../media/image99.png"/><Relationship Id="rId34" Type="http://schemas.openxmlformats.org/officeDocument/2006/relationships/image" Target="../media/image111.png"/><Relationship Id="rId42" Type="http://schemas.openxmlformats.org/officeDocument/2006/relationships/image" Target="../media/image119.png"/><Relationship Id="rId47" Type="http://schemas.openxmlformats.org/officeDocument/2006/relationships/image" Target="../media/image124.png"/><Relationship Id="rId50" Type="http://schemas.openxmlformats.org/officeDocument/2006/relationships/image" Target="../media/image127.png"/><Relationship Id="rId55" Type="http://schemas.openxmlformats.org/officeDocument/2006/relationships/image" Target="../media/image132.png"/><Relationship Id="rId7" Type="http://schemas.openxmlformats.org/officeDocument/2006/relationships/image" Target="../media/image85.png"/><Relationship Id="rId2" Type="http://schemas.openxmlformats.org/officeDocument/2006/relationships/image" Target="../media/image80.png"/><Relationship Id="rId16" Type="http://schemas.openxmlformats.org/officeDocument/2006/relationships/image" Target="../media/image94.png"/><Relationship Id="rId29" Type="http://schemas.openxmlformats.org/officeDocument/2006/relationships/image" Target="../media/image107.png"/><Relationship Id="rId11" Type="http://schemas.openxmlformats.org/officeDocument/2006/relationships/image" Target="../media/image89.png"/><Relationship Id="rId24" Type="http://schemas.openxmlformats.org/officeDocument/2006/relationships/image" Target="../media/image102.png"/><Relationship Id="rId32" Type="http://schemas.openxmlformats.org/officeDocument/2006/relationships/image" Target="../media/image44.png"/><Relationship Id="rId37" Type="http://schemas.openxmlformats.org/officeDocument/2006/relationships/image" Target="../media/image114.png"/><Relationship Id="rId40" Type="http://schemas.openxmlformats.org/officeDocument/2006/relationships/image" Target="../media/image117.png"/><Relationship Id="rId45" Type="http://schemas.openxmlformats.org/officeDocument/2006/relationships/image" Target="../media/image122.png"/><Relationship Id="rId53" Type="http://schemas.openxmlformats.org/officeDocument/2006/relationships/image" Target="../media/image130.png"/><Relationship Id="rId5" Type="http://schemas.openxmlformats.org/officeDocument/2006/relationships/image" Target="../media/image83.png"/><Relationship Id="rId10" Type="http://schemas.openxmlformats.org/officeDocument/2006/relationships/image" Target="../media/image88.png"/><Relationship Id="rId19" Type="http://schemas.openxmlformats.org/officeDocument/2006/relationships/image" Target="../media/image97.png"/><Relationship Id="rId31" Type="http://schemas.openxmlformats.org/officeDocument/2006/relationships/image" Target="../media/image109.png"/><Relationship Id="rId44" Type="http://schemas.openxmlformats.org/officeDocument/2006/relationships/image" Target="../media/image121.png"/><Relationship Id="rId52" Type="http://schemas.openxmlformats.org/officeDocument/2006/relationships/image" Target="../media/image129.png"/><Relationship Id="rId4" Type="http://schemas.openxmlformats.org/officeDocument/2006/relationships/image" Target="../media/image82.png"/><Relationship Id="rId9" Type="http://schemas.openxmlformats.org/officeDocument/2006/relationships/image" Target="../media/image87.png"/><Relationship Id="rId14" Type="http://schemas.openxmlformats.org/officeDocument/2006/relationships/image" Target="../media/image92.png"/><Relationship Id="rId22" Type="http://schemas.openxmlformats.org/officeDocument/2006/relationships/image" Target="../media/image100.png"/><Relationship Id="rId27" Type="http://schemas.openxmlformats.org/officeDocument/2006/relationships/image" Target="../media/image105.png"/><Relationship Id="rId30" Type="http://schemas.openxmlformats.org/officeDocument/2006/relationships/image" Target="../media/image108.png"/><Relationship Id="rId35" Type="http://schemas.openxmlformats.org/officeDocument/2006/relationships/image" Target="../media/image112.png"/><Relationship Id="rId43" Type="http://schemas.openxmlformats.org/officeDocument/2006/relationships/image" Target="../media/image120.png"/><Relationship Id="rId48" Type="http://schemas.openxmlformats.org/officeDocument/2006/relationships/image" Target="../media/image125.png"/><Relationship Id="rId56" Type="http://schemas.openxmlformats.org/officeDocument/2006/relationships/image" Target="../media/image29.png"/><Relationship Id="rId8" Type="http://schemas.openxmlformats.org/officeDocument/2006/relationships/image" Target="../media/image86.png"/><Relationship Id="rId51" Type="http://schemas.openxmlformats.org/officeDocument/2006/relationships/image" Target="../media/image128.png"/><Relationship Id="rId3" Type="http://schemas.openxmlformats.org/officeDocument/2006/relationships/image" Target="../media/image81.png"/><Relationship Id="rId12" Type="http://schemas.openxmlformats.org/officeDocument/2006/relationships/image" Target="../media/image90.png"/><Relationship Id="rId17" Type="http://schemas.openxmlformats.org/officeDocument/2006/relationships/image" Target="../media/image95.png"/><Relationship Id="rId25" Type="http://schemas.openxmlformats.org/officeDocument/2006/relationships/image" Target="../media/image103.png"/><Relationship Id="rId33" Type="http://schemas.openxmlformats.org/officeDocument/2006/relationships/image" Target="../media/image110.png"/><Relationship Id="rId38" Type="http://schemas.openxmlformats.org/officeDocument/2006/relationships/image" Target="../media/image115.png"/><Relationship Id="rId46" Type="http://schemas.openxmlformats.org/officeDocument/2006/relationships/image" Target="../media/image123.png"/><Relationship Id="rId20" Type="http://schemas.openxmlformats.org/officeDocument/2006/relationships/image" Target="../media/image98.png"/><Relationship Id="rId41" Type="http://schemas.openxmlformats.org/officeDocument/2006/relationships/image" Target="../media/image118.png"/><Relationship Id="rId54" Type="http://schemas.openxmlformats.org/officeDocument/2006/relationships/image" Target="../media/image131.png"/><Relationship Id="rId1" Type="http://schemas.openxmlformats.org/officeDocument/2006/relationships/image" Target="../media/image79.png"/><Relationship Id="rId6" Type="http://schemas.openxmlformats.org/officeDocument/2006/relationships/image" Target="../media/image84.png"/><Relationship Id="rId15" Type="http://schemas.openxmlformats.org/officeDocument/2006/relationships/image" Target="../media/image93.png"/><Relationship Id="rId23" Type="http://schemas.openxmlformats.org/officeDocument/2006/relationships/image" Target="../media/image101.png"/><Relationship Id="rId28" Type="http://schemas.openxmlformats.org/officeDocument/2006/relationships/image" Target="../media/image106.png"/><Relationship Id="rId36" Type="http://schemas.openxmlformats.org/officeDocument/2006/relationships/image" Target="../media/image113.png"/><Relationship Id="rId49" Type="http://schemas.openxmlformats.org/officeDocument/2006/relationships/image" Target="../media/image126.png"/></Relationships>
</file>

<file path=xl/drawings/_rels/drawing5.xml.rels><?xml version="1.0" encoding="UTF-8" standalone="yes"?>
<Relationships xmlns="http://schemas.openxmlformats.org/package/2006/relationships"><Relationship Id="rId13" Type="http://schemas.openxmlformats.org/officeDocument/2006/relationships/image" Target="../media/image144.png"/><Relationship Id="rId18" Type="http://schemas.openxmlformats.org/officeDocument/2006/relationships/image" Target="../media/image149.png"/><Relationship Id="rId26" Type="http://schemas.openxmlformats.org/officeDocument/2006/relationships/image" Target="../media/image157.png"/><Relationship Id="rId39" Type="http://schemas.openxmlformats.org/officeDocument/2006/relationships/image" Target="../media/image170.png"/><Relationship Id="rId21" Type="http://schemas.openxmlformats.org/officeDocument/2006/relationships/image" Target="../media/image152.png"/><Relationship Id="rId34" Type="http://schemas.openxmlformats.org/officeDocument/2006/relationships/image" Target="../media/image165.png"/><Relationship Id="rId42" Type="http://schemas.openxmlformats.org/officeDocument/2006/relationships/image" Target="../media/image173.png"/><Relationship Id="rId7" Type="http://schemas.openxmlformats.org/officeDocument/2006/relationships/image" Target="../media/image138.png"/><Relationship Id="rId2" Type="http://schemas.openxmlformats.org/officeDocument/2006/relationships/image" Target="../media/image44.png"/><Relationship Id="rId16" Type="http://schemas.openxmlformats.org/officeDocument/2006/relationships/image" Target="../media/image147.png"/><Relationship Id="rId29" Type="http://schemas.openxmlformats.org/officeDocument/2006/relationships/image" Target="../media/image160.png"/><Relationship Id="rId1" Type="http://schemas.openxmlformats.org/officeDocument/2006/relationships/image" Target="../media/image133.png"/><Relationship Id="rId6" Type="http://schemas.openxmlformats.org/officeDocument/2006/relationships/image" Target="../media/image137.png"/><Relationship Id="rId11" Type="http://schemas.openxmlformats.org/officeDocument/2006/relationships/image" Target="../media/image142.png"/><Relationship Id="rId24" Type="http://schemas.openxmlformats.org/officeDocument/2006/relationships/image" Target="../media/image155.png"/><Relationship Id="rId32" Type="http://schemas.openxmlformats.org/officeDocument/2006/relationships/image" Target="../media/image163.png"/><Relationship Id="rId37" Type="http://schemas.openxmlformats.org/officeDocument/2006/relationships/image" Target="../media/image168.png"/><Relationship Id="rId40" Type="http://schemas.openxmlformats.org/officeDocument/2006/relationships/image" Target="../media/image171.png"/><Relationship Id="rId45" Type="http://schemas.openxmlformats.org/officeDocument/2006/relationships/image" Target="../media/image29.png"/><Relationship Id="rId5" Type="http://schemas.openxmlformats.org/officeDocument/2006/relationships/image" Target="../media/image136.png"/><Relationship Id="rId15" Type="http://schemas.openxmlformats.org/officeDocument/2006/relationships/image" Target="../media/image146.png"/><Relationship Id="rId23" Type="http://schemas.openxmlformats.org/officeDocument/2006/relationships/image" Target="../media/image154.png"/><Relationship Id="rId28" Type="http://schemas.openxmlformats.org/officeDocument/2006/relationships/image" Target="../media/image159.png"/><Relationship Id="rId36" Type="http://schemas.openxmlformats.org/officeDocument/2006/relationships/image" Target="../media/image167.png"/><Relationship Id="rId10" Type="http://schemas.openxmlformats.org/officeDocument/2006/relationships/image" Target="../media/image141.png"/><Relationship Id="rId19" Type="http://schemas.openxmlformats.org/officeDocument/2006/relationships/image" Target="../media/image150.png"/><Relationship Id="rId31" Type="http://schemas.openxmlformats.org/officeDocument/2006/relationships/image" Target="../media/image162.png"/><Relationship Id="rId44" Type="http://schemas.openxmlformats.org/officeDocument/2006/relationships/image" Target="../media/image175.png"/><Relationship Id="rId4" Type="http://schemas.openxmlformats.org/officeDocument/2006/relationships/image" Target="../media/image135.png"/><Relationship Id="rId9" Type="http://schemas.openxmlformats.org/officeDocument/2006/relationships/image" Target="../media/image140.png"/><Relationship Id="rId14" Type="http://schemas.openxmlformats.org/officeDocument/2006/relationships/image" Target="../media/image145.png"/><Relationship Id="rId22" Type="http://schemas.openxmlformats.org/officeDocument/2006/relationships/image" Target="../media/image153.png"/><Relationship Id="rId27" Type="http://schemas.openxmlformats.org/officeDocument/2006/relationships/image" Target="../media/image158.png"/><Relationship Id="rId30" Type="http://schemas.openxmlformats.org/officeDocument/2006/relationships/image" Target="../media/image161.png"/><Relationship Id="rId35" Type="http://schemas.openxmlformats.org/officeDocument/2006/relationships/image" Target="../media/image166.png"/><Relationship Id="rId43" Type="http://schemas.openxmlformats.org/officeDocument/2006/relationships/image" Target="../media/image174.png"/><Relationship Id="rId8" Type="http://schemas.openxmlformats.org/officeDocument/2006/relationships/image" Target="../media/image139.png"/><Relationship Id="rId3" Type="http://schemas.openxmlformats.org/officeDocument/2006/relationships/image" Target="../media/image134.png"/><Relationship Id="rId12" Type="http://schemas.openxmlformats.org/officeDocument/2006/relationships/image" Target="../media/image143.png"/><Relationship Id="rId17" Type="http://schemas.openxmlformats.org/officeDocument/2006/relationships/image" Target="../media/image148.png"/><Relationship Id="rId25" Type="http://schemas.openxmlformats.org/officeDocument/2006/relationships/image" Target="../media/image156.png"/><Relationship Id="rId33" Type="http://schemas.openxmlformats.org/officeDocument/2006/relationships/image" Target="../media/image164.png"/><Relationship Id="rId38" Type="http://schemas.openxmlformats.org/officeDocument/2006/relationships/image" Target="../media/image169.png"/><Relationship Id="rId20" Type="http://schemas.openxmlformats.org/officeDocument/2006/relationships/image" Target="../media/image151.png"/><Relationship Id="rId41" Type="http://schemas.openxmlformats.org/officeDocument/2006/relationships/image" Target="../media/image172.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88.png"/><Relationship Id="rId18" Type="http://schemas.openxmlformats.org/officeDocument/2006/relationships/image" Target="../media/image193.png"/><Relationship Id="rId26" Type="http://schemas.openxmlformats.org/officeDocument/2006/relationships/image" Target="../media/image201.png"/><Relationship Id="rId39" Type="http://schemas.openxmlformats.org/officeDocument/2006/relationships/image" Target="../media/image214.png"/><Relationship Id="rId21" Type="http://schemas.openxmlformats.org/officeDocument/2006/relationships/image" Target="../media/image196.png"/><Relationship Id="rId34" Type="http://schemas.openxmlformats.org/officeDocument/2006/relationships/image" Target="../media/image209.png"/><Relationship Id="rId42" Type="http://schemas.openxmlformats.org/officeDocument/2006/relationships/image" Target="../media/image217.png"/><Relationship Id="rId47" Type="http://schemas.openxmlformats.org/officeDocument/2006/relationships/image" Target="../media/image222.png"/><Relationship Id="rId7" Type="http://schemas.openxmlformats.org/officeDocument/2006/relationships/image" Target="../media/image182.png"/><Relationship Id="rId2" Type="http://schemas.openxmlformats.org/officeDocument/2006/relationships/image" Target="../media/image177.png"/><Relationship Id="rId16" Type="http://schemas.openxmlformats.org/officeDocument/2006/relationships/image" Target="../media/image191.png"/><Relationship Id="rId29" Type="http://schemas.openxmlformats.org/officeDocument/2006/relationships/image" Target="../media/image204.png"/><Relationship Id="rId1" Type="http://schemas.openxmlformats.org/officeDocument/2006/relationships/image" Target="../media/image176.png"/><Relationship Id="rId6" Type="http://schemas.openxmlformats.org/officeDocument/2006/relationships/image" Target="../media/image181.png"/><Relationship Id="rId11" Type="http://schemas.openxmlformats.org/officeDocument/2006/relationships/image" Target="../media/image186.png"/><Relationship Id="rId24" Type="http://schemas.openxmlformats.org/officeDocument/2006/relationships/image" Target="../media/image199.png"/><Relationship Id="rId32" Type="http://schemas.openxmlformats.org/officeDocument/2006/relationships/image" Target="../media/image207.png"/><Relationship Id="rId37" Type="http://schemas.openxmlformats.org/officeDocument/2006/relationships/image" Target="../media/image212.png"/><Relationship Id="rId40" Type="http://schemas.openxmlformats.org/officeDocument/2006/relationships/image" Target="../media/image215.png"/><Relationship Id="rId45" Type="http://schemas.openxmlformats.org/officeDocument/2006/relationships/image" Target="../media/image220.png"/><Relationship Id="rId5" Type="http://schemas.openxmlformats.org/officeDocument/2006/relationships/image" Target="../media/image180.png"/><Relationship Id="rId15" Type="http://schemas.openxmlformats.org/officeDocument/2006/relationships/image" Target="../media/image190.png"/><Relationship Id="rId23" Type="http://schemas.openxmlformats.org/officeDocument/2006/relationships/image" Target="../media/image198.png"/><Relationship Id="rId28" Type="http://schemas.openxmlformats.org/officeDocument/2006/relationships/image" Target="../media/image203.png"/><Relationship Id="rId36" Type="http://schemas.openxmlformats.org/officeDocument/2006/relationships/image" Target="../media/image211.png"/><Relationship Id="rId10" Type="http://schemas.openxmlformats.org/officeDocument/2006/relationships/image" Target="../media/image185.png"/><Relationship Id="rId19" Type="http://schemas.openxmlformats.org/officeDocument/2006/relationships/image" Target="../media/image194.png"/><Relationship Id="rId31" Type="http://schemas.openxmlformats.org/officeDocument/2006/relationships/image" Target="../media/image206.png"/><Relationship Id="rId44" Type="http://schemas.openxmlformats.org/officeDocument/2006/relationships/image" Target="../media/image219.png"/><Relationship Id="rId4" Type="http://schemas.openxmlformats.org/officeDocument/2006/relationships/image" Target="../media/image179.png"/><Relationship Id="rId9" Type="http://schemas.openxmlformats.org/officeDocument/2006/relationships/image" Target="../media/image184.png"/><Relationship Id="rId14" Type="http://schemas.openxmlformats.org/officeDocument/2006/relationships/image" Target="../media/image189.png"/><Relationship Id="rId22" Type="http://schemas.openxmlformats.org/officeDocument/2006/relationships/image" Target="../media/image197.png"/><Relationship Id="rId27" Type="http://schemas.openxmlformats.org/officeDocument/2006/relationships/image" Target="../media/image202.png"/><Relationship Id="rId30" Type="http://schemas.openxmlformats.org/officeDocument/2006/relationships/image" Target="../media/image205.png"/><Relationship Id="rId35" Type="http://schemas.openxmlformats.org/officeDocument/2006/relationships/image" Target="../media/image210.png"/><Relationship Id="rId43" Type="http://schemas.openxmlformats.org/officeDocument/2006/relationships/image" Target="../media/image218.png"/><Relationship Id="rId48" Type="http://schemas.openxmlformats.org/officeDocument/2006/relationships/image" Target="../media/image29.png"/><Relationship Id="rId8" Type="http://schemas.openxmlformats.org/officeDocument/2006/relationships/image" Target="../media/image183.png"/><Relationship Id="rId3" Type="http://schemas.openxmlformats.org/officeDocument/2006/relationships/image" Target="../media/image178.png"/><Relationship Id="rId12" Type="http://schemas.openxmlformats.org/officeDocument/2006/relationships/image" Target="../media/image187.png"/><Relationship Id="rId17" Type="http://schemas.openxmlformats.org/officeDocument/2006/relationships/image" Target="../media/image192.png"/><Relationship Id="rId25" Type="http://schemas.openxmlformats.org/officeDocument/2006/relationships/image" Target="../media/image200.png"/><Relationship Id="rId33" Type="http://schemas.openxmlformats.org/officeDocument/2006/relationships/image" Target="../media/image208.png"/><Relationship Id="rId38" Type="http://schemas.openxmlformats.org/officeDocument/2006/relationships/image" Target="../media/image213.png"/><Relationship Id="rId46" Type="http://schemas.openxmlformats.org/officeDocument/2006/relationships/image" Target="../media/image221.png"/><Relationship Id="rId20" Type="http://schemas.openxmlformats.org/officeDocument/2006/relationships/image" Target="../media/image195.png"/><Relationship Id="rId41" Type="http://schemas.openxmlformats.org/officeDocument/2006/relationships/image" Target="../media/image216.png"/></Relationships>
</file>

<file path=xl/drawings/_rels/drawing7.xml.rels><?xml version="1.0" encoding="UTF-8" standalone="yes"?>
<Relationships xmlns="http://schemas.openxmlformats.org/package/2006/relationships"><Relationship Id="rId8" Type="http://schemas.openxmlformats.org/officeDocument/2006/relationships/image" Target="../media/image230.jpg"/><Relationship Id="rId3" Type="http://schemas.openxmlformats.org/officeDocument/2006/relationships/image" Target="../media/image225.png"/><Relationship Id="rId7" Type="http://schemas.openxmlformats.org/officeDocument/2006/relationships/image" Target="../media/image229.png"/><Relationship Id="rId2" Type="http://schemas.openxmlformats.org/officeDocument/2006/relationships/image" Target="../media/image224.png"/><Relationship Id="rId1" Type="http://schemas.openxmlformats.org/officeDocument/2006/relationships/image" Target="../media/image223.png"/><Relationship Id="rId6" Type="http://schemas.openxmlformats.org/officeDocument/2006/relationships/image" Target="../media/image228.png"/><Relationship Id="rId5" Type="http://schemas.openxmlformats.org/officeDocument/2006/relationships/image" Target="../media/image227.png"/><Relationship Id="rId10" Type="http://schemas.openxmlformats.org/officeDocument/2006/relationships/image" Target="../media/image29.png"/><Relationship Id="rId4" Type="http://schemas.openxmlformats.org/officeDocument/2006/relationships/image" Target="../media/image226.png"/><Relationship Id="rId9" Type="http://schemas.openxmlformats.org/officeDocument/2006/relationships/image" Target="../media/image231.jp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371475</xdr:colOff>
      <xdr:row>1</xdr:row>
      <xdr:rowOff>19050</xdr:rowOff>
    </xdr:from>
    <xdr:ext cx="7677150" cy="3895725"/>
    <xdr:pic>
      <xdr:nvPicPr>
        <xdr:cNvPr id="2" name="image6.gif"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0</xdr:col>
      <xdr:colOff>447675</xdr:colOff>
      <xdr:row>0</xdr:row>
      <xdr:rowOff>104775</xdr:rowOff>
    </xdr:from>
    <xdr:ext cx="8715375" cy="5381625"/>
    <xdr:graphicFrame macro="">
      <xdr:nvGraphicFramePr>
        <xdr:cNvPr id="2" name="Chart 2" title="Graphique">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35</xdr:row>
      <xdr:rowOff>0</xdr:rowOff>
    </xdr:from>
    <xdr:ext cx="647700" cy="228600"/>
    <xdr:pic>
      <xdr:nvPicPr>
        <xdr:cNvPr id="3" name="image77.png">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oneCellAnchor>
    <xdr:from>
      <xdr:col>0</xdr:col>
      <xdr:colOff>447675</xdr:colOff>
      <xdr:row>0</xdr:row>
      <xdr:rowOff>161925</xdr:rowOff>
    </xdr:from>
    <xdr:ext cx="8724900" cy="5391150"/>
    <xdr:graphicFrame macro="">
      <xdr:nvGraphicFramePr>
        <xdr:cNvPr id="3" name="Chart 3" title="Graphique">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35</xdr:row>
      <xdr:rowOff>0</xdr:rowOff>
    </xdr:from>
    <xdr:ext cx="561975" cy="200025"/>
    <xdr:pic>
      <xdr:nvPicPr>
        <xdr:cNvPr id="2" name="image77.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dr:oneCellAnchor>
    <xdr:from>
      <xdr:col>0</xdr:col>
      <xdr:colOff>447675</xdr:colOff>
      <xdr:row>0</xdr:row>
      <xdr:rowOff>152400</xdr:rowOff>
    </xdr:from>
    <xdr:ext cx="8715375" cy="5391150"/>
    <xdr:graphicFrame macro="">
      <xdr:nvGraphicFramePr>
        <xdr:cNvPr id="4" name="Chart 4" title="Graphique">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35</xdr:row>
      <xdr:rowOff>0</xdr:rowOff>
    </xdr:from>
    <xdr:ext cx="647700" cy="228600"/>
    <xdr:pic>
      <xdr:nvPicPr>
        <xdr:cNvPr id="2" name="image77.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dr:oneCellAnchor>
    <xdr:from>
      <xdr:col>0</xdr:col>
      <xdr:colOff>447675</xdr:colOff>
      <xdr:row>0</xdr:row>
      <xdr:rowOff>123825</xdr:rowOff>
    </xdr:from>
    <xdr:ext cx="8724900" cy="5391150"/>
    <xdr:graphicFrame macro="">
      <xdr:nvGraphicFramePr>
        <xdr:cNvPr id="5" name="Chart 5" title="Graphique">
          <a:extLst>
            <a:ext uri="{FF2B5EF4-FFF2-40B4-BE49-F238E27FC236}">
              <a16:creationId xmlns:a16="http://schemas.microsoft.com/office/drawing/2014/main" id="{00000000-0008-0000-0E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35</xdr:row>
      <xdr:rowOff>0</xdr:rowOff>
    </xdr:from>
    <xdr:ext cx="561975" cy="200025"/>
    <xdr:pic>
      <xdr:nvPicPr>
        <xdr:cNvPr id="2" name="image77.png">
          <a:extLst>
            <a:ext uri="{FF2B5EF4-FFF2-40B4-BE49-F238E27FC236}">
              <a16:creationId xmlns:a16="http://schemas.microsoft.com/office/drawing/2014/main" id="{00000000-0008-0000-0E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dr:oneCellAnchor>
    <xdr:from>
      <xdr:col>0</xdr:col>
      <xdr:colOff>447675</xdr:colOff>
      <xdr:row>0</xdr:row>
      <xdr:rowOff>152400</xdr:rowOff>
    </xdr:from>
    <xdr:ext cx="8724900" cy="5391150"/>
    <xdr:graphicFrame macro="">
      <xdr:nvGraphicFramePr>
        <xdr:cNvPr id="6" name="Chart 6" title="Graphique">
          <a:extLst>
            <a:ext uri="{FF2B5EF4-FFF2-40B4-BE49-F238E27FC236}">
              <a16:creationId xmlns:a16="http://schemas.microsoft.com/office/drawing/2014/main" id="{00000000-0008-0000-0F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32</xdr:row>
      <xdr:rowOff>0</xdr:rowOff>
    </xdr:from>
    <xdr:ext cx="647700" cy="228600"/>
    <xdr:pic>
      <xdr:nvPicPr>
        <xdr:cNvPr id="2" name="image77.png">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32</xdr:row>
      <xdr:rowOff>0</xdr:rowOff>
    </xdr:from>
    <xdr:ext cx="561975" cy="200025"/>
    <xdr:pic>
      <xdr:nvPicPr>
        <xdr:cNvPr id="2" name="image77.png">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dr:oneCellAnchor>
    <xdr:from>
      <xdr:col>0</xdr:col>
      <xdr:colOff>447675</xdr:colOff>
      <xdr:row>0</xdr:row>
      <xdr:rowOff>152400</xdr:rowOff>
    </xdr:from>
    <xdr:ext cx="8715375" cy="5381625"/>
    <xdr:graphicFrame macro="">
      <xdr:nvGraphicFramePr>
        <xdr:cNvPr id="7" name="Chart 7" title="Graphique">
          <a:extLst>
            <a:ext uri="{FF2B5EF4-FFF2-40B4-BE49-F238E27FC236}">
              <a16:creationId xmlns:a16="http://schemas.microsoft.com/office/drawing/2014/main" id="{00000000-0008-0000-1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32</xdr:row>
      <xdr:rowOff>0</xdr:rowOff>
    </xdr:from>
    <xdr:ext cx="561975" cy="200025"/>
    <xdr:pic>
      <xdr:nvPicPr>
        <xdr:cNvPr id="2" name="image77.png">
          <a:extLst>
            <a:ext uri="{FF2B5EF4-FFF2-40B4-BE49-F238E27FC236}">
              <a16:creationId xmlns:a16="http://schemas.microsoft.com/office/drawing/2014/main" id="{00000000-0008-0000-11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0</xdr:rowOff>
    </xdr:from>
    <xdr:ext cx="200025" cy="2000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3</xdr:row>
      <xdr:rowOff>0</xdr:rowOff>
    </xdr:from>
    <xdr:ext cx="161925" cy="200025"/>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0</xdr:colOff>
      <xdr:row>3</xdr:row>
      <xdr:rowOff>0</xdr:rowOff>
    </xdr:from>
    <xdr:ext cx="161925" cy="200025"/>
    <xdr:pic>
      <xdr:nvPicPr>
        <xdr:cNvPr id="4" name="image3.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14</xdr:col>
      <xdr:colOff>0</xdr:colOff>
      <xdr:row>3</xdr:row>
      <xdr:rowOff>0</xdr:rowOff>
    </xdr:from>
    <xdr:ext cx="161925" cy="200025"/>
    <xdr:pic>
      <xdr:nvPicPr>
        <xdr:cNvPr id="5" name="image34.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20</xdr:col>
      <xdr:colOff>0</xdr:colOff>
      <xdr:row>3</xdr:row>
      <xdr:rowOff>0</xdr:rowOff>
    </xdr:from>
    <xdr:ext cx="161925" cy="200025"/>
    <xdr:pic>
      <xdr:nvPicPr>
        <xdr:cNvPr id="6" name="image4.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25</xdr:col>
      <xdr:colOff>0</xdr:colOff>
      <xdr:row>3</xdr:row>
      <xdr:rowOff>0</xdr:rowOff>
    </xdr:from>
    <xdr:ext cx="161925" cy="200025"/>
    <xdr:pic>
      <xdr:nvPicPr>
        <xdr:cNvPr id="7" name="image5.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30</xdr:col>
      <xdr:colOff>0</xdr:colOff>
      <xdr:row>3</xdr:row>
      <xdr:rowOff>0</xdr:rowOff>
    </xdr:from>
    <xdr:ext cx="161925" cy="200025"/>
    <xdr:pic>
      <xdr:nvPicPr>
        <xdr:cNvPr id="8" name="image7.pn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36</xdr:col>
      <xdr:colOff>0</xdr:colOff>
      <xdr:row>3</xdr:row>
      <xdr:rowOff>0</xdr:rowOff>
    </xdr:from>
    <xdr:ext cx="152400" cy="200025"/>
    <xdr:pic>
      <xdr:nvPicPr>
        <xdr:cNvPr id="9" name="image8.pn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41</xdr:col>
      <xdr:colOff>0</xdr:colOff>
      <xdr:row>3</xdr:row>
      <xdr:rowOff>0</xdr:rowOff>
    </xdr:from>
    <xdr:ext cx="161925" cy="200025"/>
    <xdr:pic>
      <xdr:nvPicPr>
        <xdr:cNvPr id="10" name="image10.pn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47</xdr:col>
      <xdr:colOff>0</xdr:colOff>
      <xdr:row>3</xdr:row>
      <xdr:rowOff>0</xdr:rowOff>
    </xdr:from>
    <xdr:ext cx="161925" cy="200025"/>
    <xdr:pic>
      <xdr:nvPicPr>
        <xdr:cNvPr id="11" name="image9.pn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51</xdr:col>
      <xdr:colOff>0</xdr:colOff>
      <xdr:row>3</xdr:row>
      <xdr:rowOff>0</xdr:rowOff>
    </xdr:from>
    <xdr:ext cx="161925" cy="200025"/>
    <xdr:pic>
      <xdr:nvPicPr>
        <xdr:cNvPr id="12" name="image11.png">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55</xdr:col>
      <xdr:colOff>0</xdr:colOff>
      <xdr:row>3</xdr:row>
      <xdr:rowOff>0</xdr:rowOff>
    </xdr:from>
    <xdr:ext cx="161925" cy="200025"/>
    <xdr:pic>
      <xdr:nvPicPr>
        <xdr:cNvPr id="13" name="image12.png">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60</xdr:col>
      <xdr:colOff>0</xdr:colOff>
      <xdr:row>3</xdr:row>
      <xdr:rowOff>0</xdr:rowOff>
    </xdr:from>
    <xdr:ext cx="161925" cy="200025"/>
    <xdr:pic>
      <xdr:nvPicPr>
        <xdr:cNvPr id="14" name="image13.png">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65</xdr:col>
      <xdr:colOff>0</xdr:colOff>
      <xdr:row>3</xdr:row>
      <xdr:rowOff>0</xdr:rowOff>
    </xdr:from>
    <xdr:ext cx="161925" cy="200025"/>
    <xdr:pic>
      <xdr:nvPicPr>
        <xdr:cNvPr id="15" name="image15.png">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71</xdr:col>
      <xdr:colOff>0</xdr:colOff>
      <xdr:row>3</xdr:row>
      <xdr:rowOff>0</xdr:rowOff>
    </xdr:from>
    <xdr:ext cx="161925" cy="200025"/>
    <xdr:pic>
      <xdr:nvPicPr>
        <xdr:cNvPr id="16" name="image14.png">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76</xdr:col>
      <xdr:colOff>0</xdr:colOff>
      <xdr:row>3</xdr:row>
      <xdr:rowOff>0</xdr:rowOff>
    </xdr:from>
    <xdr:ext cx="161925" cy="200025"/>
    <xdr:pic>
      <xdr:nvPicPr>
        <xdr:cNvPr id="17" name="image16.png">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80</xdr:col>
      <xdr:colOff>0</xdr:colOff>
      <xdr:row>3</xdr:row>
      <xdr:rowOff>0</xdr:rowOff>
    </xdr:from>
    <xdr:ext cx="161925" cy="200025"/>
    <xdr:pic>
      <xdr:nvPicPr>
        <xdr:cNvPr id="18" name="image18.png">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85</xdr:col>
      <xdr:colOff>0</xdr:colOff>
      <xdr:row>3</xdr:row>
      <xdr:rowOff>0</xdr:rowOff>
    </xdr:from>
    <xdr:ext cx="161925" cy="200025"/>
    <xdr:pic>
      <xdr:nvPicPr>
        <xdr:cNvPr id="19" name="image17.png">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90</xdr:col>
      <xdr:colOff>0</xdr:colOff>
      <xdr:row>3</xdr:row>
      <xdr:rowOff>0</xdr:rowOff>
    </xdr:from>
    <xdr:ext cx="161925" cy="200025"/>
    <xdr:pic>
      <xdr:nvPicPr>
        <xdr:cNvPr id="20" name="image20.png">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93</xdr:col>
      <xdr:colOff>0</xdr:colOff>
      <xdr:row>3</xdr:row>
      <xdr:rowOff>0</xdr:rowOff>
    </xdr:from>
    <xdr:ext cx="161925" cy="200025"/>
    <xdr:pic>
      <xdr:nvPicPr>
        <xdr:cNvPr id="21" name="image19.png">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97</xdr:col>
      <xdr:colOff>0</xdr:colOff>
      <xdr:row>3</xdr:row>
      <xdr:rowOff>0</xdr:rowOff>
    </xdr:from>
    <xdr:ext cx="161925" cy="200025"/>
    <xdr:pic>
      <xdr:nvPicPr>
        <xdr:cNvPr id="22" name="image22.png">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103</xdr:col>
      <xdr:colOff>0</xdr:colOff>
      <xdr:row>3</xdr:row>
      <xdr:rowOff>0</xdr:rowOff>
    </xdr:from>
    <xdr:ext cx="161925" cy="200025"/>
    <xdr:pic>
      <xdr:nvPicPr>
        <xdr:cNvPr id="23" name="image21.png">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108</xdr:col>
      <xdr:colOff>0</xdr:colOff>
      <xdr:row>3</xdr:row>
      <xdr:rowOff>0</xdr:rowOff>
    </xdr:from>
    <xdr:ext cx="161925" cy="200025"/>
    <xdr:pic>
      <xdr:nvPicPr>
        <xdr:cNvPr id="24" name="image23.png">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112</xdr:col>
      <xdr:colOff>0</xdr:colOff>
      <xdr:row>3</xdr:row>
      <xdr:rowOff>0</xdr:rowOff>
    </xdr:from>
    <xdr:ext cx="161925" cy="200025"/>
    <xdr:pic>
      <xdr:nvPicPr>
        <xdr:cNvPr id="25" name="image35.png">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118</xdr:col>
      <xdr:colOff>0</xdr:colOff>
      <xdr:row>3</xdr:row>
      <xdr:rowOff>0</xdr:rowOff>
    </xdr:from>
    <xdr:ext cx="161925" cy="200025"/>
    <xdr:pic>
      <xdr:nvPicPr>
        <xdr:cNvPr id="26" name="image24.png">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123</xdr:col>
      <xdr:colOff>0</xdr:colOff>
      <xdr:row>3</xdr:row>
      <xdr:rowOff>0</xdr:rowOff>
    </xdr:from>
    <xdr:ext cx="161925" cy="200025"/>
    <xdr:pic>
      <xdr:nvPicPr>
        <xdr:cNvPr id="27" name="image25.png">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128</xdr:col>
      <xdr:colOff>0</xdr:colOff>
      <xdr:row>3</xdr:row>
      <xdr:rowOff>0</xdr:rowOff>
    </xdr:from>
    <xdr:ext cx="161925" cy="200025"/>
    <xdr:pic>
      <xdr:nvPicPr>
        <xdr:cNvPr id="28" name="image26.png">
          <a:extLst>
            <a:ext uri="{FF2B5EF4-FFF2-40B4-BE49-F238E27FC236}">
              <a16:creationId xmlns:a16="http://schemas.microsoft.com/office/drawing/2014/main" id="{00000000-0008-0000-02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0</xdr:col>
      <xdr:colOff>0</xdr:colOff>
      <xdr:row>133</xdr:row>
      <xdr:rowOff>0</xdr:rowOff>
    </xdr:from>
    <xdr:ext cx="619125" cy="219075"/>
    <xdr:pic>
      <xdr:nvPicPr>
        <xdr:cNvPr id="29" name="image77.png">
          <a:extLst>
            <a:ext uri="{FF2B5EF4-FFF2-40B4-BE49-F238E27FC236}">
              <a16:creationId xmlns:a16="http://schemas.microsoft.com/office/drawing/2014/main" id="{00000000-0008-0000-02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41</xdr:col>
      <xdr:colOff>0</xdr:colOff>
      <xdr:row>155</xdr:row>
      <xdr:rowOff>0</xdr:rowOff>
    </xdr:from>
    <xdr:ext cx="161925" cy="200025"/>
    <xdr:pic>
      <xdr:nvPicPr>
        <xdr:cNvPr id="30" name="image10.png">
          <a:extLst>
            <a:ext uri="{FF2B5EF4-FFF2-40B4-BE49-F238E27FC236}">
              <a16:creationId xmlns:a16="http://schemas.microsoft.com/office/drawing/2014/main" id="{00000000-0008-0000-0200-00001E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108</xdr:col>
      <xdr:colOff>0</xdr:colOff>
      <xdr:row>155</xdr:row>
      <xdr:rowOff>0</xdr:rowOff>
    </xdr:from>
    <xdr:ext cx="200025" cy="200025"/>
    <xdr:pic>
      <xdr:nvPicPr>
        <xdr:cNvPr id="31" name="image1.png">
          <a:extLst>
            <a:ext uri="{FF2B5EF4-FFF2-40B4-BE49-F238E27FC236}">
              <a16:creationId xmlns:a16="http://schemas.microsoft.com/office/drawing/2014/main" id="{00000000-0008-0000-02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118</xdr:col>
      <xdr:colOff>0</xdr:colOff>
      <xdr:row>155</xdr:row>
      <xdr:rowOff>0</xdr:rowOff>
    </xdr:from>
    <xdr:ext cx="161925" cy="200025"/>
    <xdr:pic>
      <xdr:nvPicPr>
        <xdr:cNvPr id="32" name="image24.png">
          <a:extLst>
            <a:ext uri="{FF2B5EF4-FFF2-40B4-BE49-F238E27FC236}">
              <a16:creationId xmlns:a16="http://schemas.microsoft.com/office/drawing/2014/main" id="{00000000-0008-0000-0200-000020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0</xdr:colOff>
      <xdr:row>3</xdr:row>
      <xdr:rowOff>0</xdr:rowOff>
    </xdr:from>
    <xdr:ext cx="276225" cy="190500"/>
    <xdr:pic>
      <xdr:nvPicPr>
        <xdr:cNvPr id="2" name="image27.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3</xdr:row>
      <xdr:rowOff>0</xdr:rowOff>
    </xdr:from>
    <xdr:ext cx="266700" cy="200025"/>
    <xdr:pic>
      <xdr:nvPicPr>
        <xdr:cNvPr id="3" name="image28.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0</xdr:colOff>
      <xdr:row>3</xdr:row>
      <xdr:rowOff>0</xdr:rowOff>
    </xdr:from>
    <xdr:ext cx="333375" cy="200025"/>
    <xdr:pic>
      <xdr:nvPicPr>
        <xdr:cNvPr id="4" name="image29.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18</xdr:col>
      <xdr:colOff>0</xdr:colOff>
      <xdr:row>3</xdr:row>
      <xdr:rowOff>0</xdr:rowOff>
    </xdr:from>
    <xdr:ext cx="295275" cy="200025"/>
    <xdr:pic>
      <xdr:nvPicPr>
        <xdr:cNvPr id="5" name="image30.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21</xdr:col>
      <xdr:colOff>0</xdr:colOff>
      <xdr:row>3</xdr:row>
      <xdr:rowOff>0</xdr:rowOff>
    </xdr:from>
    <xdr:ext cx="295275" cy="200025"/>
    <xdr:pic>
      <xdr:nvPicPr>
        <xdr:cNvPr id="6" name="image3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24</xdr:col>
      <xdr:colOff>0</xdr:colOff>
      <xdr:row>3</xdr:row>
      <xdr:rowOff>0</xdr:rowOff>
    </xdr:from>
    <xdr:ext cx="390525" cy="190500"/>
    <xdr:pic>
      <xdr:nvPicPr>
        <xdr:cNvPr id="7" name="image32.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27</xdr:col>
      <xdr:colOff>0</xdr:colOff>
      <xdr:row>3</xdr:row>
      <xdr:rowOff>0</xdr:rowOff>
    </xdr:from>
    <xdr:ext cx="342900" cy="171450"/>
    <xdr:pic>
      <xdr:nvPicPr>
        <xdr:cNvPr id="8" name="image33.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30</xdr:col>
      <xdr:colOff>0</xdr:colOff>
      <xdr:row>3</xdr:row>
      <xdr:rowOff>0</xdr:rowOff>
    </xdr:from>
    <xdr:ext cx="314325" cy="180975"/>
    <xdr:pic>
      <xdr:nvPicPr>
        <xdr:cNvPr id="9" name="image37.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33</xdr:col>
      <xdr:colOff>0</xdr:colOff>
      <xdr:row>3</xdr:row>
      <xdr:rowOff>0</xdr:rowOff>
    </xdr:from>
    <xdr:ext cx="276225" cy="180975"/>
    <xdr:pic>
      <xdr:nvPicPr>
        <xdr:cNvPr id="10" name="image38.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36</xdr:col>
      <xdr:colOff>0</xdr:colOff>
      <xdr:row>3</xdr:row>
      <xdr:rowOff>0</xdr:rowOff>
    </xdr:from>
    <xdr:ext cx="342900" cy="171450"/>
    <xdr:pic>
      <xdr:nvPicPr>
        <xdr:cNvPr id="11" name="image36.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39</xdr:col>
      <xdr:colOff>0</xdr:colOff>
      <xdr:row>3</xdr:row>
      <xdr:rowOff>0</xdr:rowOff>
    </xdr:from>
    <xdr:ext cx="266700" cy="200025"/>
    <xdr:pic>
      <xdr:nvPicPr>
        <xdr:cNvPr id="12" name="image40.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42</xdr:col>
      <xdr:colOff>0</xdr:colOff>
      <xdr:row>3</xdr:row>
      <xdr:rowOff>0</xdr:rowOff>
    </xdr:from>
    <xdr:ext cx="295275" cy="200025"/>
    <xdr:pic>
      <xdr:nvPicPr>
        <xdr:cNvPr id="13" name="image39.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45</xdr:col>
      <xdr:colOff>0</xdr:colOff>
      <xdr:row>3</xdr:row>
      <xdr:rowOff>0</xdr:rowOff>
    </xdr:from>
    <xdr:ext cx="304800" cy="200025"/>
    <xdr:pic>
      <xdr:nvPicPr>
        <xdr:cNvPr id="14" name="image41.png">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48</xdr:col>
      <xdr:colOff>0</xdr:colOff>
      <xdr:row>3</xdr:row>
      <xdr:rowOff>0</xdr:rowOff>
    </xdr:from>
    <xdr:ext cx="323850" cy="190500"/>
    <xdr:pic>
      <xdr:nvPicPr>
        <xdr:cNvPr id="15" name="image42.png">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51</xdr:col>
      <xdr:colOff>0</xdr:colOff>
      <xdr:row>3</xdr:row>
      <xdr:rowOff>0</xdr:rowOff>
    </xdr:from>
    <xdr:ext cx="295275" cy="200025"/>
    <xdr:pic>
      <xdr:nvPicPr>
        <xdr:cNvPr id="16" name="image44.png">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54</xdr:col>
      <xdr:colOff>0</xdr:colOff>
      <xdr:row>3</xdr:row>
      <xdr:rowOff>0</xdr:rowOff>
    </xdr:from>
    <xdr:ext cx="276225" cy="133350"/>
    <xdr:pic>
      <xdr:nvPicPr>
        <xdr:cNvPr id="17" name="image43.png">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57</xdr:col>
      <xdr:colOff>0</xdr:colOff>
      <xdr:row>3</xdr:row>
      <xdr:rowOff>0</xdr:rowOff>
    </xdr:from>
    <xdr:ext cx="295275" cy="200025"/>
    <xdr:pic>
      <xdr:nvPicPr>
        <xdr:cNvPr id="18" name="image45.png">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60</xdr:col>
      <xdr:colOff>0</xdr:colOff>
      <xdr:row>3</xdr:row>
      <xdr:rowOff>0</xdr:rowOff>
    </xdr:from>
    <xdr:ext cx="276225" cy="180975"/>
    <xdr:pic>
      <xdr:nvPicPr>
        <xdr:cNvPr id="19" name="image47.png">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63</xdr:col>
      <xdr:colOff>0</xdr:colOff>
      <xdr:row>3</xdr:row>
      <xdr:rowOff>0</xdr:rowOff>
    </xdr:from>
    <xdr:ext cx="342900" cy="171450"/>
    <xdr:pic>
      <xdr:nvPicPr>
        <xdr:cNvPr id="20" name="image46.png">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66</xdr:col>
      <xdr:colOff>0</xdr:colOff>
      <xdr:row>3</xdr:row>
      <xdr:rowOff>0</xdr:rowOff>
    </xdr:from>
    <xdr:ext cx="266700" cy="200025"/>
    <xdr:pic>
      <xdr:nvPicPr>
        <xdr:cNvPr id="21" name="image48.png">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69</xdr:col>
      <xdr:colOff>0</xdr:colOff>
      <xdr:row>3</xdr:row>
      <xdr:rowOff>0</xdr:rowOff>
    </xdr:from>
    <xdr:ext cx="400050" cy="200025"/>
    <xdr:pic>
      <xdr:nvPicPr>
        <xdr:cNvPr id="22" name="image49.png">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72</xdr:col>
      <xdr:colOff>0</xdr:colOff>
      <xdr:row>3</xdr:row>
      <xdr:rowOff>0</xdr:rowOff>
    </xdr:from>
    <xdr:ext cx="266700" cy="200025"/>
    <xdr:pic>
      <xdr:nvPicPr>
        <xdr:cNvPr id="23" name="image50.png">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75</xdr:col>
      <xdr:colOff>0</xdr:colOff>
      <xdr:row>3</xdr:row>
      <xdr:rowOff>0</xdr:rowOff>
    </xdr:from>
    <xdr:ext cx="295275" cy="200025"/>
    <xdr:pic>
      <xdr:nvPicPr>
        <xdr:cNvPr id="24" name="image51.png">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78</xdr:col>
      <xdr:colOff>0</xdr:colOff>
      <xdr:row>3</xdr:row>
      <xdr:rowOff>0</xdr:rowOff>
    </xdr:from>
    <xdr:ext cx="295275" cy="171450"/>
    <xdr:pic>
      <xdr:nvPicPr>
        <xdr:cNvPr id="25" name="image53.png">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81</xdr:col>
      <xdr:colOff>0</xdr:colOff>
      <xdr:row>3</xdr:row>
      <xdr:rowOff>0</xdr:rowOff>
    </xdr:from>
    <xdr:ext cx="266700" cy="200025"/>
    <xdr:pic>
      <xdr:nvPicPr>
        <xdr:cNvPr id="26" name="image52.png">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84</xdr:col>
      <xdr:colOff>0</xdr:colOff>
      <xdr:row>3</xdr:row>
      <xdr:rowOff>0</xdr:rowOff>
    </xdr:from>
    <xdr:ext cx="295275" cy="142875"/>
    <xdr:pic>
      <xdr:nvPicPr>
        <xdr:cNvPr id="27" name="image55.png">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87</xdr:col>
      <xdr:colOff>0</xdr:colOff>
      <xdr:row>3</xdr:row>
      <xdr:rowOff>0</xdr:rowOff>
    </xdr:from>
    <xdr:ext cx="276225" cy="161925"/>
    <xdr:pic>
      <xdr:nvPicPr>
        <xdr:cNvPr id="28" name="image54.png">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90</xdr:col>
      <xdr:colOff>0</xdr:colOff>
      <xdr:row>3</xdr:row>
      <xdr:rowOff>0</xdr:rowOff>
    </xdr:from>
    <xdr:ext cx="333375" cy="200025"/>
    <xdr:pic>
      <xdr:nvPicPr>
        <xdr:cNvPr id="29" name="image56.png">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93</xdr:col>
      <xdr:colOff>0</xdr:colOff>
      <xdr:row>3</xdr:row>
      <xdr:rowOff>0</xdr:rowOff>
    </xdr:from>
    <xdr:ext cx="333375" cy="200025"/>
    <xdr:pic>
      <xdr:nvPicPr>
        <xdr:cNvPr id="30" name="image58.png">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96</xdr:col>
      <xdr:colOff>0</xdr:colOff>
      <xdr:row>3</xdr:row>
      <xdr:rowOff>0</xdr:rowOff>
    </xdr:from>
    <xdr:ext cx="323850" cy="161925"/>
    <xdr:pic>
      <xdr:nvPicPr>
        <xdr:cNvPr id="31" name="image57.png">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99</xdr:col>
      <xdr:colOff>0</xdr:colOff>
      <xdr:row>3</xdr:row>
      <xdr:rowOff>0</xdr:rowOff>
    </xdr:from>
    <xdr:ext cx="295275" cy="200025"/>
    <xdr:pic>
      <xdr:nvPicPr>
        <xdr:cNvPr id="32" name="image59.png">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102</xdr:col>
      <xdr:colOff>0</xdr:colOff>
      <xdr:row>3</xdr:row>
      <xdr:rowOff>0</xdr:rowOff>
    </xdr:from>
    <xdr:ext cx="342900" cy="171450"/>
    <xdr:pic>
      <xdr:nvPicPr>
        <xdr:cNvPr id="33" name="image60.png">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105</xdr:col>
      <xdr:colOff>0</xdr:colOff>
      <xdr:row>3</xdr:row>
      <xdr:rowOff>0</xdr:rowOff>
    </xdr:from>
    <xdr:ext cx="247650" cy="200025"/>
    <xdr:pic>
      <xdr:nvPicPr>
        <xdr:cNvPr id="34" name="image61.png">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108</xdr:col>
      <xdr:colOff>0</xdr:colOff>
      <xdr:row>3</xdr:row>
      <xdr:rowOff>0</xdr:rowOff>
    </xdr:from>
    <xdr:ext cx="304800" cy="152400"/>
    <xdr:pic>
      <xdr:nvPicPr>
        <xdr:cNvPr id="35" name="image62.png">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111</xdr:col>
      <xdr:colOff>0</xdr:colOff>
      <xdr:row>3</xdr:row>
      <xdr:rowOff>0</xdr:rowOff>
    </xdr:from>
    <xdr:ext cx="266700" cy="200025"/>
    <xdr:pic>
      <xdr:nvPicPr>
        <xdr:cNvPr id="36" name="image63.png">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114</xdr:col>
      <xdr:colOff>0</xdr:colOff>
      <xdr:row>3</xdr:row>
      <xdr:rowOff>0</xdr:rowOff>
    </xdr:from>
    <xdr:ext cx="295275" cy="200025"/>
    <xdr:pic>
      <xdr:nvPicPr>
        <xdr:cNvPr id="37" name="image64.png">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117</xdr:col>
      <xdr:colOff>0</xdr:colOff>
      <xdr:row>3</xdr:row>
      <xdr:rowOff>0</xdr:rowOff>
    </xdr:from>
    <xdr:ext cx="314325" cy="200025"/>
    <xdr:pic>
      <xdr:nvPicPr>
        <xdr:cNvPr id="38" name="image65.png">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120</xdr:col>
      <xdr:colOff>0</xdr:colOff>
      <xdr:row>3</xdr:row>
      <xdr:rowOff>0</xdr:rowOff>
    </xdr:from>
    <xdr:ext cx="295275" cy="200025"/>
    <xdr:pic>
      <xdr:nvPicPr>
        <xdr:cNvPr id="39" name="image66.png">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123</xdr:col>
      <xdr:colOff>0</xdr:colOff>
      <xdr:row>3</xdr:row>
      <xdr:rowOff>0</xdr:rowOff>
    </xdr:from>
    <xdr:ext cx="295275" cy="200025"/>
    <xdr:pic>
      <xdr:nvPicPr>
        <xdr:cNvPr id="40" name="image67.png">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126</xdr:col>
      <xdr:colOff>0</xdr:colOff>
      <xdr:row>3</xdr:row>
      <xdr:rowOff>0</xdr:rowOff>
    </xdr:from>
    <xdr:ext cx="400050" cy="200025"/>
    <xdr:pic>
      <xdr:nvPicPr>
        <xdr:cNvPr id="41" name="image69.png">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129</xdr:col>
      <xdr:colOff>0</xdr:colOff>
      <xdr:row>3</xdr:row>
      <xdr:rowOff>0</xdr:rowOff>
    </xdr:from>
    <xdr:ext cx="304800" cy="200025"/>
    <xdr:pic>
      <xdr:nvPicPr>
        <xdr:cNvPr id="42" name="image68.png">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132</xdr:col>
      <xdr:colOff>0</xdr:colOff>
      <xdr:row>3</xdr:row>
      <xdr:rowOff>0</xdr:rowOff>
    </xdr:from>
    <xdr:ext cx="295275" cy="200025"/>
    <xdr:pic>
      <xdr:nvPicPr>
        <xdr:cNvPr id="43" name="image70.png">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135</xdr:col>
      <xdr:colOff>0</xdr:colOff>
      <xdr:row>3</xdr:row>
      <xdr:rowOff>0</xdr:rowOff>
    </xdr:from>
    <xdr:ext cx="266700" cy="200025"/>
    <xdr:pic>
      <xdr:nvPicPr>
        <xdr:cNvPr id="44" name="image71.png">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138</xdr:col>
      <xdr:colOff>0</xdr:colOff>
      <xdr:row>3</xdr:row>
      <xdr:rowOff>0</xdr:rowOff>
    </xdr:from>
    <xdr:ext cx="295275" cy="200025"/>
    <xdr:pic>
      <xdr:nvPicPr>
        <xdr:cNvPr id="45" name="image72.png">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141</xdr:col>
      <xdr:colOff>0</xdr:colOff>
      <xdr:row>3</xdr:row>
      <xdr:rowOff>0</xdr:rowOff>
    </xdr:from>
    <xdr:ext cx="295275" cy="200025"/>
    <xdr:pic>
      <xdr:nvPicPr>
        <xdr:cNvPr id="46" name="image73.png">
          <a:extLst>
            <a:ext uri="{FF2B5EF4-FFF2-40B4-BE49-F238E27FC236}">
              <a16:creationId xmlns:a16="http://schemas.microsoft.com/office/drawing/2014/main" id="{00000000-0008-0000-0300-00002E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144</xdr:col>
      <xdr:colOff>0</xdr:colOff>
      <xdr:row>3</xdr:row>
      <xdr:rowOff>0</xdr:rowOff>
    </xdr:from>
    <xdr:ext cx="314325" cy="152400"/>
    <xdr:pic>
      <xdr:nvPicPr>
        <xdr:cNvPr id="47" name="image76.png">
          <a:extLst>
            <a:ext uri="{FF2B5EF4-FFF2-40B4-BE49-F238E27FC236}">
              <a16:creationId xmlns:a16="http://schemas.microsoft.com/office/drawing/2014/main" id="{00000000-0008-0000-0300-00002F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147</xdr:col>
      <xdr:colOff>0</xdr:colOff>
      <xdr:row>3</xdr:row>
      <xdr:rowOff>0</xdr:rowOff>
    </xdr:from>
    <xdr:ext cx="314325" cy="200025"/>
    <xdr:pic>
      <xdr:nvPicPr>
        <xdr:cNvPr id="48" name="image74.png">
          <a:extLst>
            <a:ext uri="{FF2B5EF4-FFF2-40B4-BE49-F238E27FC236}">
              <a16:creationId xmlns:a16="http://schemas.microsoft.com/office/drawing/2014/main" id="{00000000-0008-0000-0300-000030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150</xdr:col>
      <xdr:colOff>0</xdr:colOff>
      <xdr:row>3</xdr:row>
      <xdr:rowOff>0</xdr:rowOff>
    </xdr:from>
    <xdr:ext cx="200025" cy="200025"/>
    <xdr:pic>
      <xdr:nvPicPr>
        <xdr:cNvPr id="49" name="image1.png">
          <a:extLst>
            <a:ext uri="{FF2B5EF4-FFF2-40B4-BE49-F238E27FC236}">
              <a16:creationId xmlns:a16="http://schemas.microsoft.com/office/drawing/2014/main" id="{00000000-0008-0000-0300-000031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153</xdr:col>
      <xdr:colOff>0</xdr:colOff>
      <xdr:row>3</xdr:row>
      <xdr:rowOff>0</xdr:rowOff>
    </xdr:from>
    <xdr:ext cx="295275" cy="200025"/>
    <xdr:pic>
      <xdr:nvPicPr>
        <xdr:cNvPr id="50" name="image75.png">
          <a:extLst>
            <a:ext uri="{FF2B5EF4-FFF2-40B4-BE49-F238E27FC236}">
              <a16:creationId xmlns:a16="http://schemas.microsoft.com/office/drawing/2014/main" id="{00000000-0008-0000-0300-000032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156</xdr:col>
      <xdr:colOff>0</xdr:colOff>
      <xdr:row>3</xdr:row>
      <xdr:rowOff>0</xdr:rowOff>
    </xdr:from>
    <xdr:ext cx="171450" cy="200025"/>
    <xdr:pic>
      <xdr:nvPicPr>
        <xdr:cNvPr id="51" name="image78.png">
          <a:extLst>
            <a:ext uri="{FF2B5EF4-FFF2-40B4-BE49-F238E27FC236}">
              <a16:creationId xmlns:a16="http://schemas.microsoft.com/office/drawing/2014/main" id="{00000000-0008-0000-0300-000033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0</xdr:col>
      <xdr:colOff>0</xdr:colOff>
      <xdr:row>133</xdr:row>
      <xdr:rowOff>0</xdr:rowOff>
    </xdr:from>
    <xdr:ext cx="561975" cy="200025"/>
    <xdr:pic>
      <xdr:nvPicPr>
        <xdr:cNvPr id="52" name="image77.png">
          <a:extLst>
            <a:ext uri="{FF2B5EF4-FFF2-40B4-BE49-F238E27FC236}">
              <a16:creationId xmlns:a16="http://schemas.microsoft.com/office/drawing/2014/main" id="{00000000-0008-0000-0300-000034000000}"/>
            </a:ext>
          </a:extLst>
        </xdr:cNvPr>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70</xdr:col>
      <xdr:colOff>0</xdr:colOff>
      <xdr:row>141</xdr:row>
      <xdr:rowOff>0</xdr:rowOff>
    </xdr:from>
    <xdr:ext cx="295275" cy="200025"/>
    <xdr:pic>
      <xdr:nvPicPr>
        <xdr:cNvPr id="53" name="image51.png">
          <a:extLst>
            <a:ext uri="{FF2B5EF4-FFF2-40B4-BE49-F238E27FC236}">
              <a16:creationId xmlns:a16="http://schemas.microsoft.com/office/drawing/2014/main" id="{00000000-0008-0000-0300-000035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0</xdr:colOff>
      <xdr:row>3</xdr:row>
      <xdr:rowOff>0</xdr:rowOff>
    </xdr:from>
    <xdr:ext cx="295275" cy="200025"/>
    <xdr:pic>
      <xdr:nvPicPr>
        <xdr:cNvPr id="2" name="image79.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3</xdr:row>
      <xdr:rowOff>0</xdr:rowOff>
    </xdr:from>
    <xdr:ext cx="304800" cy="200025"/>
    <xdr:pic>
      <xdr:nvPicPr>
        <xdr:cNvPr id="3" name="image80.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0</xdr:colOff>
      <xdr:row>3</xdr:row>
      <xdr:rowOff>0</xdr:rowOff>
    </xdr:from>
    <xdr:ext cx="276225" cy="180975"/>
    <xdr:pic>
      <xdr:nvPicPr>
        <xdr:cNvPr id="4" name="image81.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14</xdr:col>
      <xdr:colOff>0</xdr:colOff>
      <xdr:row>3</xdr:row>
      <xdr:rowOff>0</xdr:rowOff>
    </xdr:from>
    <xdr:ext cx="276225" cy="180975"/>
    <xdr:pic>
      <xdr:nvPicPr>
        <xdr:cNvPr id="5" name="image83.pn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17</xdr:col>
      <xdr:colOff>0</xdr:colOff>
      <xdr:row>3</xdr:row>
      <xdr:rowOff>0</xdr:rowOff>
    </xdr:from>
    <xdr:ext cx="276225" cy="180975"/>
    <xdr:pic>
      <xdr:nvPicPr>
        <xdr:cNvPr id="6" name="image82.png">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20</xdr:col>
      <xdr:colOff>0</xdr:colOff>
      <xdr:row>3</xdr:row>
      <xdr:rowOff>0</xdr:rowOff>
    </xdr:from>
    <xdr:ext cx="276225" cy="180975"/>
    <xdr:pic>
      <xdr:nvPicPr>
        <xdr:cNvPr id="7" name="image84.png">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23</xdr:col>
      <xdr:colOff>0</xdr:colOff>
      <xdr:row>3</xdr:row>
      <xdr:rowOff>0</xdr:rowOff>
    </xdr:from>
    <xdr:ext cx="276225" cy="161925"/>
    <xdr:pic>
      <xdr:nvPicPr>
        <xdr:cNvPr id="8" name="image86.png">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26</xdr:col>
      <xdr:colOff>0</xdr:colOff>
      <xdr:row>3</xdr:row>
      <xdr:rowOff>0</xdr:rowOff>
    </xdr:from>
    <xdr:ext cx="295275" cy="200025"/>
    <xdr:pic>
      <xdr:nvPicPr>
        <xdr:cNvPr id="9" name="image85.png">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29</xdr:col>
      <xdr:colOff>0</xdr:colOff>
      <xdr:row>3</xdr:row>
      <xdr:rowOff>0</xdr:rowOff>
    </xdr:from>
    <xdr:ext cx="276225" cy="161925"/>
    <xdr:pic>
      <xdr:nvPicPr>
        <xdr:cNvPr id="10" name="image87.png">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32</xdr:col>
      <xdr:colOff>0</xdr:colOff>
      <xdr:row>3</xdr:row>
      <xdr:rowOff>0</xdr:rowOff>
    </xdr:from>
    <xdr:ext cx="295275" cy="200025"/>
    <xdr:pic>
      <xdr:nvPicPr>
        <xdr:cNvPr id="11" name="image88.png">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35</xdr:col>
      <xdr:colOff>0</xdr:colOff>
      <xdr:row>3</xdr:row>
      <xdr:rowOff>0</xdr:rowOff>
    </xdr:from>
    <xdr:ext cx="276225" cy="180975"/>
    <xdr:pic>
      <xdr:nvPicPr>
        <xdr:cNvPr id="12" name="image89.png">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38</xdr:col>
      <xdr:colOff>0</xdr:colOff>
      <xdr:row>3</xdr:row>
      <xdr:rowOff>0</xdr:rowOff>
    </xdr:from>
    <xdr:ext cx="295275" cy="200025"/>
    <xdr:pic>
      <xdr:nvPicPr>
        <xdr:cNvPr id="13" name="image90.png">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41</xdr:col>
      <xdr:colOff>0</xdr:colOff>
      <xdr:row>3</xdr:row>
      <xdr:rowOff>0</xdr:rowOff>
    </xdr:from>
    <xdr:ext cx="276225" cy="133350"/>
    <xdr:pic>
      <xdr:nvPicPr>
        <xdr:cNvPr id="14" name="image91.png">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44</xdr:col>
      <xdr:colOff>0</xdr:colOff>
      <xdr:row>3</xdr:row>
      <xdr:rowOff>0</xdr:rowOff>
    </xdr:from>
    <xdr:ext cx="276225" cy="180975"/>
    <xdr:pic>
      <xdr:nvPicPr>
        <xdr:cNvPr id="15" name="image92.png">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47</xdr:col>
      <xdr:colOff>0</xdr:colOff>
      <xdr:row>3</xdr:row>
      <xdr:rowOff>0</xdr:rowOff>
    </xdr:from>
    <xdr:ext cx="276225" cy="133350"/>
    <xdr:pic>
      <xdr:nvPicPr>
        <xdr:cNvPr id="16" name="image93.png">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50</xdr:col>
      <xdr:colOff>0</xdr:colOff>
      <xdr:row>3</xdr:row>
      <xdr:rowOff>0</xdr:rowOff>
    </xdr:from>
    <xdr:ext cx="266700" cy="200025"/>
    <xdr:pic>
      <xdr:nvPicPr>
        <xdr:cNvPr id="17" name="image94.png">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53</xdr:col>
      <xdr:colOff>0</xdr:colOff>
      <xdr:row>3</xdr:row>
      <xdr:rowOff>0</xdr:rowOff>
    </xdr:from>
    <xdr:ext cx="276225" cy="180975"/>
    <xdr:pic>
      <xdr:nvPicPr>
        <xdr:cNvPr id="18" name="image95.png">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56</xdr:col>
      <xdr:colOff>0</xdr:colOff>
      <xdr:row>3</xdr:row>
      <xdr:rowOff>0</xdr:rowOff>
    </xdr:from>
    <xdr:ext cx="295275" cy="200025"/>
    <xdr:pic>
      <xdr:nvPicPr>
        <xdr:cNvPr id="19" name="image97.png">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59</xdr:col>
      <xdr:colOff>0</xdr:colOff>
      <xdr:row>3</xdr:row>
      <xdr:rowOff>0</xdr:rowOff>
    </xdr:from>
    <xdr:ext cx="276225" cy="180975"/>
    <xdr:pic>
      <xdr:nvPicPr>
        <xdr:cNvPr id="20" name="image96.png">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62</xdr:col>
      <xdr:colOff>0</xdr:colOff>
      <xdr:row>3</xdr:row>
      <xdr:rowOff>0</xdr:rowOff>
    </xdr:from>
    <xdr:ext cx="276225" cy="133350"/>
    <xdr:pic>
      <xdr:nvPicPr>
        <xdr:cNvPr id="21" name="image98.png">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65</xdr:col>
      <xdr:colOff>0</xdr:colOff>
      <xdr:row>3</xdr:row>
      <xdr:rowOff>0</xdr:rowOff>
    </xdr:from>
    <xdr:ext cx="276225" cy="180975"/>
    <xdr:pic>
      <xdr:nvPicPr>
        <xdr:cNvPr id="22" name="image100.png">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68</xdr:col>
      <xdr:colOff>0</xdr:colOff>
      <xdr:row>3</xdr:row>
      <xdr:rowOff>0</xdr:rowOff>
    </xdr:from>
    <xdr:ext cx="276225" cy="180975"/>
    <xdr:pic>
      <xdr:nvPicPr>
        <xdr:cNvPr id="23" name="image99.png">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71</xdr:col>
      <xdr:colOff>0</xdr:colOff>
      <xdr:row>3</xdr:row>
      <xdr:rowOff>0</xdr:rowOff>
    </xdr:from>
    <xdr:ext cx="276225" cy="180975"/>
    <xdr:pic>
      <xdr:nvPicPr>
        <xdr:cNvPr id="24" name="image101.png">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74</xdr:col>
      <xdr:colOff>0</xdr:colOff>
      <xdr:row>3</xdr:row>
      <xdr:rowOff>0</xdr:rowOff>
    </xdr:from>
    <xdr:ext cx="276225" cy="142875"/>
    <xdr:pic>
      <xdr:nvPicPr>
        <xdr:cNvPr id="25" name="image102.png">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77</xdr:col>
      <xdr:colOff>0</xdr:colOff>
      <xdr:row>3</xdr:row>
      <xdr:rowOff>0</xdr:rowOff>
    </xdr:from>
    <xdr:ext cx="276225" cy="133350"/>
    <xdr:pic>
      <xdr:nvPicPr>
        <xdr:cNvPr id="26" name="image103.png">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80</xdr:col>
      <xdr:colOff>0</xdr:colOff>
      <xdr:row>3</xdr:row>
      <xdr:rowOff>0</xdr:rowOff>
    </xdr:from>
    <xdr:ext cx="276225" cy="180975"/>
    <xdr:pic>
      <xdr:nvPicPr>
        <xdr:cNvPr id="27" name="image106.png">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83</xdr:col>
      <xdr:colOff>0</xdr:colOff>
      <xdr:row>3</xdr:row>
      <xdr:rowOff>0</xdr:rowOff>
    </xdr:from>
    <xdr:ext cx="276225" cy="180975"/>
    <xdr:pic>
      <xdr:nvPicPr>
        <xdr:cNvPr id="28" name="image105.png">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86</xdr:col>
      <xdr:colOff>0</xdr:colOff>
      <xdr:row>3</xdr:row>
      <xdr:rowOff>0</xdr:rowOff>
    </xdr:from>
    <xdr:ext cx="276225" cy="180975"/>
    <xdr:pic>
      <xdr:nvPicPr>
        <xdr:cNvPr id="29" name="image104.png">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89</xdr:col>
      <xdr:colOff>0</xdr:colOff>
      <xdr:row>3</xdr:row>
      <xdr:rowOff>0</xdr:rowOff>
    </xdr:from>
    <xdr:ext cx="304800" cy="200025"/>
    <xdr:pic>
      <xdr:nvPicPr>
        <xdr:cNvPr id="30" name="image108.png">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92</xdr:col>
      <xdr:colOff>0</xdr:colOff>
      <xdr:row>3</xdr:row>
      <xdr:rowOff>0</xdr:rowOff>
    </xdr:from>
    <xdr:ext cx="276225" cy="180975"/>
    <xdr:pic>
      <xdr:nvPicPr>
        <xdr:cNvPr id="31" name="image107.png">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95</xdr:col>
      <xdr:colOff>0</xdr:colOff>
      <xdr:row>3</xdr:row>
      <xdr:rowOff>0</xdr:rowOff>
    </xdr:from>
    <xdr:ext cx="276225" cy="180975"/>
    <xdr:pic>
      <xdr:nvPicPr>
        <xdr:cNvPr id="32" name="image109.png">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98</xdr:col>
      <xdr:colOff>0</xdr:colOff>
      <xdr:row>3</xdr:row>
      <xdr:rowOff>0</xdr:rowOff>
    </xdr:from>
    <xdr:ext cx="276225" cy="180975"/>
    <xdr:pic>
      <xdr:nvPicPr>
        <xdr:cNvPr id="33" name="image111.png">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101</xdr:col>
      <xdr:colOff>0</xdr:colOff>
      <xdr:row>3</xdr:row>
      <xdr:rowOff>0</xdr:rowOff>
    </xdr:from>
    <xdr:ext cx="276225" cy="180975"/>
    <xdr:pic>
      <xdr:nvPicPr>
        <xdr:cNvPr id="34" name="image116.png">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104</xdr:col>
      <xdr:colOff>0</xdr:colOff>
      <xdr:row>3</xdr:row>
      <xdr:rowOff>0</xdr:rowOff>
    </xdr:from>
    <xdr:ext cx="276225" cy="180975"/>
    <xdr:pic>
      <xdr:nvPicPr>
        <xdr:cNvPr id="35" name="image110.png">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107</xdr:col>
      <xdr:colOff>0</xdr:colOff>
      <xdr:row>3</xdr:row>
      <xdr:rowOff>0</xdr:rowOff>
    </xdr:from>
    <xdr:ext cx="228600" cy="200025"/>
    <xdr:pic>
      <xdr:nvPicPr>
        <xdr:cNvPr id="36" name="image112.png">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110</xdr:col>
      <xdr:colOff>0</xdr:colOff>
      <xdr:row>3</xdr:row>
      <xdr:rowOff>0</xdr:rowOff>
    </xdr:from>
    <xdr:ext cx="276225" cy="133350"/>
    <xdr:pic>
      <xdr:nvPicPr>
        <xdr:cNvPr id="37" name="image113.png">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113</xdr:col>
      <xdr:colOff>0</xdr:colOff>
      <xdr:row>3</xdr:row>
      <xdr:rowOff>0</xdr:rowOff>
    </xdr:from>
    <xdr:ext cx="276225" cy="180975"/>
    <xdr:pic>
      <xdr:nvPicPr>
        <xdr:cNvPr id="38" name="image114.png">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116</xdr:col>
      <xdr:colOff>0</xdr:colOff>
      <xdr:row>3</xdr:row>
      <xdr:rowOff>0</xdr:rowOff>
    </xdr:from>
    <xdr:ext cx="276225" cy="180975"/>
    <xdr:pic>
      <xdr:nvPicPr>
        <xdr:cNvPr id="39" name="image115.png">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119</xdr:col>
      <xdr:colOff>0</xdr:colOff>
      <xdr:row>3</xdr:row>
      <xdr:rowOff>0</xdr:rowOff>
    </xdr:from>
    <xdr:ext cx="266700" cy="200025"/>
    <xdr:pic>
      <xdr:nvPicPr>
        <xdr:cNvPr id="40" name="image117.png">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122</xdr:col>
      <xdr:colOff>0</xdr:colOff>
      <xdr:row>3</xdr:row>
      <xdr:rowOff>0</xdr:rowOff>
    </xdr:from>
    <xdr:ext cx="276225" cy="180975"/>
    <xdr:pic>
      <xdr:nvPicPr>
        <xdr:cNvPr id="41" name="image119.png">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125</xdr:col>
      <xdr:colOff>0</xdr:colOff>
      <xdr:row>3</xdr:row>
      <xdr:rowOff>0</xdr:rowOff>
    </xdr:from>
    <xdr:ext cx="276225" cy="180975"/>
    <xdr:pic>
      <xdr:nvPicPr>
        <xdr:cNvPr id="42" name="image118.png">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128</xdr:col>
      <xdr:colOff>0</xdr:colOff>
      <xdr:row>3</xdr:row>
      <xdr:rowOff>0</xdr:rowOff>
    </xdr:from>
    <xdr:ext cx="276225" cy="133350"/>
    <xdr:pic>
      <xdr:nvPicPr>
        <xdr:cNvPr id="43" name="image120.png">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131</xdr:col>
      <xdr:colOff>0</xdr:colOff>
      <xdr:row>3</xdr:row>
      <xdr:rowOff>0</xdr:rowOff>
    </xdr:from>
    <xdr:ext cx="276225" cy="133350"/>
    <xdr:pic>
      <xdr:nvPicPr>
        <xdr:cNvPr id="44" name="image121.png">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134</xdr:col>
      <xdr:colOff>0</xdr:colOff>
      <xdr:row>3</xdr:row>
      <xdr:rowOff>0</xdr:rowOff>
    </xdr:from>
    <xdr:ext cx="276225" cy="180975"/>
    <xdr:pic>
      <xdr:nvPicPr>
        <xdr:cNvPr id="45" name="image122.png">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137</xdr:col>
      <xdr:colOff>0</xdr:colOff>
      <xdr:row>3</xdr:row>
      <xdr:rowOff>0</xdr:rowOff>
    </xdr:from>
    <xdr:ext cx="276225" cy="133350"/>
    <xdr:pic>
      <xdr:nvPicPr>
        <xdr:cNvPr id="46" name="image123.png">
          <a:extLst>
            <a:ext uri="{FF2B5EF4-FFF2-40B4-BE49-F238E27FC236}">
              <a16:creationId xmlns:a16="http://schemas.microsoft.com/office/drawing/2014/main" id="{00000000-0008-0000-0400-00002E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140</xdr:col>
      <xdr:colOff>0</xdr:colOff>
      <xdr:row>3</xdr:row>
      <xdr:rowOff>0</xdr:rowOff>
    </xdr:from>
    <xdr:ext cx="276225" cy="180975"/>
    <xdr:pic>
      <xdr:nvPicPr>
        <xdr:cNvPr id="47" name="image124.png">
          <a:extLst>
            <a:ext uri="{FF2B5EF4-FFF2-40B4-BE49-F238E27FC236}">
              <a16:creationId xmlns:a16="http://schemas.microsoft.com/office/drawing/2014/main" id="{00000000-0008-0000-0400-00002F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143</xdr:col>
      <xdr:colOff>0</xdr:colOff>
      <xdr:row>3</xdr:row>
      <xdr:rowOff>0</xdr:rowOff>
    </xdr:from>
    <xdr:ext cx="276225" cy="180975"/>
    <xdr:pic>
      <xdr:nvPicPr>
        <xdr:cNvPr id="48" name="image125.png">
          <a:extLst>
            <a:ext uri="{FF2B5EF4-FFF2-40B4-BE49-F238E27FC236}">
              <a16:creationId xmlns:a16="http://schemas.microsoft.com/office/drawing/2014/main" id="{00000000-0008-0000-0400-000030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146</xdr:col>
      <xdr:colOff>0</xdr:colOff>
      <xdr:row>3</xdr:row>
      <xdr:rowOff>0</xdr:rowOff>
    </xdr:from>
    <xdr:ext cx="276225" cy="133350"/>
    <xdr:pic>
      <xdr:nvPicPr>
        <xdr:cNvPr id="49" name="image126.png">
          <a:extLst>
            <a:ext uri="{FF2B5EF4-FFF2-40B4-BE49-F238E27FC236}">
              <a16:creationId xmlns:a16="http://schemas.microsoft.com/office/drawing/2014/main" id="{00000000-0008-0000-0400-000031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149</xdr:col>
      <xdr:colOff>0</xdr:colOff>
      <xdr:row>3</xdr:row>
      <xdr:rowOff>0</xdr:rowOff>
    </xdr:from>
    <xdr:ext cx="276225" cy="133350"/>
    <xdr:pic>
      <xdr:nvPicPr>
        <xdr:cNvPr id="50" name="image128.png">
          <a:extLst>
            <a:ext uri="{FF2B5EF4-FFF2-40B4-BE49-F238E27FC236}">
              <a16:creationId xmlns:a16="http://schemas.microsoft.com/office/drawing/2014/main" id="{00000000-0008-0000-0400-000032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152</xdr:col>
      <xdr:colOff>0</xdr:colOff>
      <xdr:row>3</xdr:row>
      <xdr:rowOff>0</xdr:rowOff>
    </xdr:from>
    <xdr:ext cx="276225" cy="180975"/>
    <xdr:pic>
      <xdr:nvPicPr>
        <xdr:cNvPr id="51" name="image127.png">
          <a:extLst>
            <a:ext uri="{FF2B5EF4-FFF2-40B4-BE49-F238E27FC236}">
              <a16:creationId xmlns:a16="http://schemas.microsoft.com/office/drawing/2014/main" id="{00000000-0008-0000-0400-000033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155</xdr:col>
      <xdr:colOff>0</xdr:colOff>
      <xdr:row>3</xdr:row>
      <xdr:rowOff>0</xdr:rowOff>
    </xdr:from>
    <xdr:ext cx="276225" cy="180975"/>
    <xdr:pic>
      <xdr:nvPicPr>
        <xdr:cNvPr id="52" name="image129.png">
          <a:extLst>
            <a:ext uri="{FF2B5EF4-FFF2-40B4-BE49-F238E27FC236}">
              <a16:creationId xmlns:a16="http://schemas.microsoft.com/office/drawing/2014/main" id="{00000000-0008-0000-0400-000034000000}"/>
            </a:ext>
          </a:extLst>
        </xdr:cNvPr>
        <xdr:cNvPicPr preferRelativeResize="0"/>
      </xdr:nvPicPr>
      <xdr:blipFill>
        <a:blip xmlns:r="http://schemas.openxmlformats.org/officeDocument/2006/relationships" r:embed="rId51" cstate="print"/>
        <a:stretch>
          <a:fillRect/>
        </a:stretch>
      </xdr:blipFill>
      <xdr:spPr>
        <a:prstGeom prst="rect">
          <a:avLst/>
        </a:prstGeom>
        <a:noFill/>
      </xdr:spPr>
    </xdr:pic>
    <xdr:clientData fLocksWithSheet="0"/>
  </xdr:oneCellAnchor>
  <xdr:oneCellAnchor>
    <xdr:from>
      <xdr:col>158</xdr:col>
      <xdr:colOff>0</xdr:colOff>
      <xdr:row>3</xdr:row>
      <xdr:rowOff>0</xdr:rowOff>
    </xdr:from>
    <xdr:ext cx="276225" cy="171450"/>
    <xdr:pic>
      <xdr:nvPicPr>
        <xdr:cNvPr id="53" name="image131.png">
          <a:extLst>
            <a:ext uri="{FF2B5EF4-FFF2-40B4-BE49-F238E27FC236}">
              <a16:creationId xmlns:a16="http://schemas.microsoft.com/office/drawing/2014/main" id="{00000000-0008-0000-0400-000035000000}"/>
            </a:ext>
          </a:extLst>
        </xdr:cNvPr>
        <xdr:cNvPicPr preferRelativeResize="0"/>
      </xdr:nvPicPr>
      <xdr:blipFill>
        <a:blip xmlns:r="http://schemas.openxmlformats.org/officeDocument/2006/relationships" r:embed="rId52" cstate="print"/>
        <a:stretch>
          <a:fillRect/>
        </a:stretch>
      </xdr:blipFill>
      <xdr:spPr>
        <a:prstGeom prst="rect">
          <a:avLst/>
        </a:prstGeom>
        <a:noFill/>
      </xdr:spPr>
    </xdr:pic>
    <xdr:clientData fLocksWithSheet="0"/>
  </xdr:oneCellAnchor>
  <xdr:oneCellAnchor>
    <xdr:from>
      <xdr:col>161</xdr:col>
      <xdr:colOff>0</xdr:colOff>
      <xdr:row>3</xdr:row>
      <xdr:rowOff>0</xdr:rowOff>
    </xdr:from>
    <xdr:ext cx="276225" cy="171450"/>
    <xdr:pic>
      <xdr:nvPicPr>
        <xdr:cNvPr id="54" name="image130.png">
          <a:extLst>
            <a:ext uri="{FF2B5EF4-FFF2-40B4-BE49-F238E27FC236}">
              <a16:creationId xmlns:a16="http://schemas.microsoft.com/office/drawing/2014/main" id="{00000000-0008-0000-0400-000036000000}"/>
            </a:ext>
          </a:extLst>
        </xdr:cNvPr>
        <xdr:cNvPicPr preferRelativeResize="0"/>
      </xdr:nvPicPr>
      <xdr:blipFill>
        <a:blip xmlns:r="http://schemas.openxmlformats.org/officeDocument/2006/relationships" r:embed="rId53" cstate="print"/>
        <a:stretch>
          <a:fillRect/>
        </a:stretch>
      </xdr:blipFill>
      <xdr:spPr>
        <a:prstGeom prst="rect">
          <a:avLst/>
        </a:prstGeom>
        <a:noFill/>
      </xdr:spPr>
    </xdr:pic>
    <xdr:clientData fLocksWithSheet="0"/>
  </xdr:oneCellAnchor>
  <xdr:oneCellAnchor>
    <xdr:from>
      <xdr:col>164</xdr:col>
      <xdr:colOff>0</xdr:colOff>
      <xdr:row>3</xdr:row>
      <xdr:rowOff>0</xdr:rowOff>
    </xdr:from>
    <xdr:ext cx="276225" cy="180975"/>
    <xdr:pic>
      <xdr:nvPicPr>
        <xdr:cNvPr id="55" name="image132.png">
          <a:extLst>
            <a:ext uri="{FF2B5EF4-FFF2-40B4-BE49-F238E27FC236}">
              <a16:creationId xmlns:a16="http://schemas.microsoft.com/office/drawing/2014/main" id="{00000000-0008-0000-0400-000037000000}"/>
            </a:ext>
          </a:extLst>
        </xdr:cNvPr>
        <xdr:cNvPicPr preferRelativeResize="0"/>
      </xdr:nvPicPr>
      <xdr:blipFill>
        <a:blip xmlns:r="http://schemas.openxmlformats.org/officeDocument/2006/relationships" r:embed="rId54" cstate="print"/>
        <a:stretch>
          <a:fillRect/>
        </a:stretch>
      </xdr:blipFill>
      <xdr:spPr>
        <a:prstGeom prst="rect">
          <a:avLst/>
        </a:prstGeom>
        <a:noFill/>
      </xdr:spPr>
    </xdr:pic>
    <xdr:clientData fLocksWithSheet="0"/>
  </xdr:oneCellAnchor>
  <xdr:oneCellAnchor>
    <xdr:from>
      <xdr:col>167</xdr:col>
      <xdr:colOff>0</xdr:colOff>
      <xdr:row>3</xdr:row>
      <xdr:rowOff>0</xdr:rowOff>
    </xdr:from>
    <xdr:ext cx="276225" cy="133350"/>
    <xdr:pic>
      <xdr:nvPicPr>
        <xdr:cNvPr id="56" name="image133.png">
          <a:extLst>
            <a:ext uri="{FF2B5EF4-FFF2-40B4-BE49-F238E27FC236}">
              <a16:creationId xmlns:a16="http://schemas.microsoft.com/office/drawing/2014/main" id="{00000000-0008-0000-0400-000038000000}"/>
            </a:ext>
          </a:extLst>
        </xdr:cNvPr>
        <xdr:cNvPicPr preferRelativeResize="0"/>
      </xdr:nvPicPr>
      <xdr:blipFill>
        <a:blip xmlns:r="http://schemas.openxmlformats.org/officeDocument/2006/relationships" r:embed="rId55" cstate="print"/>
        <a:stretch>
          <a:fillRect/>
        </a:stretch>
      </xdr:blipFill>
      <xdr:spPr>
        <a:prstGeom prst="rect">
          <a:avLst/>
        </a:prstGeom>
        <a:noFill/>
      </xdr:spPr>
    </xdr:pic>
    <xdr:clientData fLocksWithSheet="0"/>
  </xdr:oneCellAnchor>
  <xdr:oneCellAnchor>
    <xdr:from>
      <xdr:col>0</xdr:col>
      <xdr:colOff>0</xdr:colOff>
      <xdr:row>131</xdr:row>
      <xdr:rowOff>0</xdr:rowOff>
    </xdr:from>
    <xdr:ext cx="561975" cy="200025"/>
    <xdr:pic>
      <xdr:nvPicPr>
        <xdr:cNvPr id="57" name="image77.png">
          <a:extLst>
            <a:ext uri="{FF2B5EF4-FFF2-40B4-BE49-F238E27FC236}">
              <a16:creationId xmlns:a16="http://schemas.microsoft.com/office/drawing/2014/main" id="{00000000-0008-0000-0400-000039000000}"/>
            </a:ext>
          </a:extLst>
        </xdr:cNvPr>
        <xdr:cNvPicPr preferRelativeResize="0"/>
      </xdr:nvPicPr>
      <xdr:blipFill>
        <a:blip xmlns:r="http://schemas.openxmlformats.org/officeDocument/2006/relationships" r:embed="rId56"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123</xdr:col>
      <xdr:colOff>180975</xdr:colOff>
      <xdr:row>3</xdr:row>
      <xdr:rowOff>0</xdr:rowOff>
    </xdr:from>
    <xdr:ext cx="276225" cy="180975"/>
    <xdr:pic>
      <xdr:nvPicPr>
        <xdr:cNvPr id="2" name="image134.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122</xdr:col>
      <xdr:colOff>85725</xdr:colOff>
      <xdr:row>3</xdr:row>
      <xdr:rowOff>0</xdr:rowOff>
    </xdr:from>
    <xdr:ext cx="276225" cy="180975"/>
    <xdr:pic>
      <xdr:nvPicPr>
        <xdr:cNvPr id="3" name="image135.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125</xdr:col>
      <xdr:colOff>85725</xdr:colOff>
      <xdr:row>3</xdr:row>
      <xdr:rowOff>0</xdr:rowOff>
    </xdr:from>
    <xdr:ext cx="276225" cy="180975"/>
    <xdr:pic>
      <xdr:nvPicPr>
        <xdr:cNvPr id="4" name="image135.png" title="Image">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126</xdr:col>
      <xdr:colOff>171450</xdr:colOff>
      <xdr:row>3</xdr:row>
      <xdr:rowOff>0</xdr:rowOff>
    </xdr:from>
    <xdr:ext cx="276225" cy="180975"/>
    <xdr:pic>
      <xdr:nvPicPr>
        <xdr:cNvPr id="5" name="image136.png" title="Image">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3</xdr:row>
      <xdr:rowOff>0</xdr:rowOff>
    </xdr:from>
    <xdr:ext cx="276225" cy="180975"/>
    <xdr:pic>
      <xdr:nvPicPr>
        <xdr:cNvPr id="6" name="image137.png">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0</xdr:colOff>
      <xdr:row>3</xdr:row>
      <xdr:rowOff>0</xdr:rowOff>
    </xdr:from>
    <xdr:ext cx="314325" cy="200025"/>
    <xdr:pic>
      <xdr:nvPicPr>
        <xdr:cNvPr id="7" name="image139.png">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11</xdr:col>
      <xdr:colOff>0</xdr:colOff>
      <xdr:row>3</xdr:row>
      <xdr:rowOff>0</xdr:rowOff>
    </xdr:from>
    <xdr:ext cx="276225" cy="180975"/>
    <xdr:pic>
      <xdr:nvPicPr>
        <xdr:cNvPr id="8" name="image138.png">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14</xdr:col>
      <xdr:colOff>0</xdr:colOff>
      <xdr:row>3</xdr:row>
      <xdr:rowOff>0</xdr:rowOff>
    </xdr:from>
    <xdr:ext cx="276225" cy="180975"/>
    <xdr:pic>
      <xdr:nvPicPr>
        <xdr:cNvPr id="9" name="image142.png">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17</xdr:col>
      <xdr:colOff>0</xdr:colOff>
      <xdr:row>3</xdr:row>
      <xdr:rowOff>0</xdr:rowOff>
    </xdr:from>
    <xdr:ext cx="276225" cy="180975"/>
    <xdr:pic>
      <xdr:nvPicPr>
        <xdr:cNvPr id="10" name="image141.png">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20</xdr:col>
      <xdr:colOff>0</xdr:colOff>
      <xdr:row>3</xdr:row>
      <xdr:rowOff>0</xdr:rowOff>
    </xdr:from>
    <xdr:ext cx="276225" cy="161925"/>
    <xdr:pic>
      <xdr:nvPicPr>
        <xdr:cNvPr id="11" name="image140.png">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23</xdr:col>
      <xdr:colOff>0</xdr:colOff>
      <xdr:row>3</xdr:row>
      <xdr:rowOff>0</xdr:rowOff>
    </xdr:from>
    <xdr:ext cx="276225" cy="180975"/>
    <xdr:pic>
      <xdr:nvPicPr>
        <xdr:cNvPr id="12" name="image143.png">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26</xdr:col>
      <xdr:colOff>0</xdr:colOff>
      <xdr:row>3</xdr:row>
      <xdr:rowOff>0</xdr:rowOff>
    </xdr:from>
    <xdr:ext cx="285750" cy="200025"/>
    <xdr:pic>
      <xdr:nvPicPr>
        <xdr:cNvPr id="13" name="image147.png">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29</xdr:col>
      <xdr:colOff>0</xdr:colOff>
      <xdr:row>3</xdr:row>
      <xdr:rowOff>0</xdr:rowOff>
    </xdr:from>
    <xdr:ext cx="400050" cy="200025"/>
    <xdr:pic>
      <xdr:nvPicPr>
        <xdr:cNvPr id="14" name="image144.png">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32</xdr:col>
      <xdr:colOff>0</xdr:colOff>
      <xdr:row>3</xdr:row>
      <xdr:rowOff>0</xdr:rowOff>
    </xdr:from>
    <xdr:ext cx="295275" cy="200025"/>
    <xdr:pic>
      <xdr:nvPicPr>
        <xdr:cNvPr id="15" name="image145.png">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35</xdr:col>
      <xdr:colOff>0</xdr:colOff>
      <xdr:row>3</xdr:row>
      <xdr:rowOff>0</xdr:rowOff>
    </xdr:from>
    <xdr:ext cx="295275" cy="200025"/>
    <xdr:pic>
      <xdr:nvPicPr>
        <xdr:cNvPr id="16" name="image146.png">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38</xdr:col>
      <xdr:colOff>0</xdr:colOff>
      <xdr:row>3</xdr:row>
      <xdr:rowOff>0</xdr:rowOff>
    </xdr:from>
    <xdr:ext cx="276225" cy="161925"/>
    <xdr:pic>
      <xdr:nvPicPr>
        <xdr:cNvPr id="17" name="image148.png">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41</xdr:col>
      <xdr:colOff>0</xdr:colOff>
      <xdr:row>3</xdr:row>
      <xdr:rowOff>0</xdr:rowOff>
    </xdr:from>
    <xdr:ext cx="333375" cy="161925"/>
    <xdr:pic>
      <xdr:nvPicPr>
        <xdr:cNvPr id="18" name="image150.png">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44</xdr:col>
      <xdr:colOff>0</xdr:colOff>
      <xdr:row>3</xdr:row>
      <xdr:rowOff>0</xdr:rowOff>
    </xdr:from>
    <xdr:ext cx="276225" cy="180975"/>
    <xdr:pic>
      <xdr:nvPicPr>
        <xdr:cNvPr id="19" name="image149.png">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47</xdr:col>
      <xdr:colOff>0</xdr:colOff>
      <xdr:row>3</xdr:row>
      <xdr:rowOff>0</xdr:rowOff>
    </xdr:from>
    <xdr:ext cx="276225" cy="133350"/>
    <xdr:pic>
      <xdr:nvPicPr>
        <xdr:cNvPr id="20" name="image221.png">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50</xdr:col>
      <xdr:colOff>0</xdr:colOff>
      <xdr:row>3</xdr:row>
      <xdr:rowOff>0</xdr:rowOff>
    </xdr:from>
    <xdr:ext cx="276225" cy="152400"/>
    <xdr:pic>
      <xdr:nvPicPr>
        <xdr:cNvPr id="21" name="image151.png">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53</xdr:col>
      <xdr:colOff>0</xdr:colOff>
      <xdr:row>3</xdr:row>
      <xdr:rowOff>0</xdr:rowOff>
    </xdr:from>
    <xdr:ext cx="295275" cy="200025"/>
    <xdr:pic>
      <xdr:nvPicPr>
        <xdr:cNvPr id="22" name="image152.png">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56</xdr:col>
      <xdr:colOff>0</xdr:colOff>
      <xdr:row>3</xdr:row>
      <xdr:rowOff>0</xdr:rowOff>
    </xdr:from>
    <xdr:ext cx="381000" cy="200025"/>
    <xdr:pic>
      <xdr:nvPicPr>
        <xdr:cNvPr id="23" name="image153.png">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59</xdr:col>
      <xdr:colOff>0</xdr:colOff>
      <xdr:row>3</xdr:row>
      <xdr:rowOff>0</xdr:rowOff>
    </xdr:from>
    <xdr:ext cx="276225" cy="161925"/>
    <xdr:pic>
      <xdr:nvPicPr>
        <xdr:cNvPr id="24" name="image154.png">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62</xdr:col>
      <xdr:colOff>0</xdr:colOff>
      <xdr:row>3</xdr:row>
      <xdr:rowOff>0</xdr:rowOff>
    </xdr:from>
    <xdr:ext cx="276225" cy="180975"/>
    <xdr:pic>
      <xdr:nvPicPr>
        <xdr:cNvPr id="25" name="image155.png">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65</xdr:col>
      <xdr:colOff>0</xdr:colOff>
      <xdr:row>3</xdr:row>
      <xdr:rowOff>0</xdr:rowOff>
    </xdr:from>
    <xdr:ext cx="276225" cy="180975"/>
    <xdr:pic>
      <xdr:nvPicPr>
        <xdr:cNvPr id="26" name="image156.png">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68</xdr:col>
      <xdr:colOff>0</xdr:colOff>
      <xdr:row>3</xdr:row>
      <xdr:rowOff>0</xdr:rowOff>
    </xdr:from>
    <xdr:ext cx="276225" cy="171450"/>
    <xdr:pic>
      <xdr:nvPicPr>
        <xdr:cNvPr id="27" name="image172.png">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71</xdr:col>
      <xdr:colOff>0</xdr:colOff>
      <xdr:row>3</xdr:row>
      <xdr:rowOff>0</xdr:rowOff>
    </xdr:from>
    <xdr:ext cx="276225" cy="161925"/>
    <xdr:pic>
      <xdr:nvPicPr>
        <xdr:cNvPr id="28" name="image157.png">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74</xdr:col>
      <xdr:colOff>0</xdr:colOff>
      <xdr:row>3</xdr:row>
      <xdr:rowOff>0</xdr:rowOff>
    </xdr:from>
    <xdr:ext cx="276225" cy="180975"/>
    <xdr:pic>
      <xdr:nvPicPr>
        <xdr:cNvPr id="29" name="image156.png">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77</xdr:col>
      <xdr:colOff>0</xdr:colOff>
      <xdr:row>3</xdr:row>
      <xdr:rowOff>0</xdr:rowOff>
    </xdr:from>
    <xdr:ext cx="276225" cy="161925"/>
    <xdr:pic>
      <xdr:nvPicPr>
        <xdr:cNvPr id="30" name="image158.png">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80</xdr:col>
      <xdr:colOff>0</xdr:colOff>
      <xdr:row>3</xdr:row>
      <xdr:rowOff>0</xdr:rowOff>
    </xdr:from>
    <xdr:ext cx="276225" cy="133350"/>
    <xdr:pic>
      <xdr:nvPicPr>
        <xdr:cNvPr id="31" name="image159.png">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83</xdr:col>
      <xdr:colOff>0</xdr:colOff>
      <xdr:row>3</xdr:row>
      <xdr:rowOff>0</xdr:rowOff>
    </xdr:from>
    <xdr:ext cx="276225" cy="133350"/>
    <xdr:pic>
      <xdr:nvPicPr>
        <xdr:cNvPr id="32" name="image160.png">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86</xdr:col>
      <xdr:colOff>0</xdr:colOff>
      <xdr:row>3</xdr:row>
      <xdr:rowOff>0</xdr:rowOff>
    </xdr:from>
    <xdr:ext cx="276225" cy="133350"/>
    <xdr:pic>
      <xdr:nvPicPr>
        <xdr:cNvPr id="33" name="image161.png">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89</xdr:col>
      <xdr:colOff>0</xdr:colOff>
      <xdr:row>3</xdr:row>
      <xdr:rowOff>0</xdr:rowOff>
    </xdr:from>
    <xdr:ext cx="276225" cy="180975"/>
    <xdr:pic>
      <xdr:nvPicPr>
        <xdr:cNvPr id="34" name="image156.png">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92</xdr:col>
      <xdr:colOff>0</xdr:colOff>
      <xdr:row>3</xdr:row>
      <xdr:rowOff>0</xdr:rowOff>
    </xdr:from>
    <xdr:ext cx="342900" cy="200025"/>
    <xdr:pic>
      <xdr:nvPicPr>
        <xdr:cNvPr id="35" name="image162.png">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95</xdr:col>
      <xdr:colOff>0</xdr:colOff>
      <xdr:row>3</xdr:row>
      <xdr:rowOff>0</xdr:rowOff>
    </xdr:from>
    <xdr:ext cx="276225" cy="161925"/>
    <xdr:pic>
      <xdr:nvPicPr>
        <xdr:cNvPr id="36" name="image163.png">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98</xdr:col>
      <xdr:colOff>0</xdr:colOff>
      <xdr:row>3</xdr:row>
      <xdr:rowOff>0</xdr:rowOff>
    </xdr:from>
    <xdr:ext cx="295275" cy="200025"/>
    <xdr:pic>
      <xdr:nvPicPr>
        <xdr:cNvPr id="37" name="image164.png">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101</xdr:col>
      <xdr:colOff>0</xdr:colOff>
      <xdr:row>3</xdr:row>
      <xdr:rowOff>0</xdr:rowOff>
    </xdr:from>
    <xdr:ext cx="276225" cy="142875"/>
    <xdr:pic>
      <xdr:nvPicPr>
        <xdr:cNvPr id="38" name="image165.png">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104</xdr:col>
      <xdr:colOff>0</xdr:colOff>
      <xdr:row>3</xdr:row>
      <xdr:rowOff>0</xdr:rowOff>
    </xdr:from>
    <xdr:ext cx="295275" cy="200025"/>
    <xdr:pic>
      <xdr:nvPicPr>
        <xdr:cNvPr id="39" name="image166.png">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107</xdr:col>
      <xdr:colOff>0</xdr:colOff>
      <xdr:row>3</xdr:row>
      <xdr:rowOff>0</xdr:rowOff>
    </xdr:from>
    <xdr:ext cx="276225" cy="180975"/>
    <xdr:pic>
      <xdr:nvPicPr>
        <xdr:cNvPr id="40" name="image167.png">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110</xdr:col>
      <xdr:colOff>0</xdr:colOff>
      <xdr:row>3</xdr:row>
      <xdr:rowOff>0</xdr:rowOff>
    </xdr:from>
    <xdr:ext cx="295275" cy="200025"/>
    <xdr:pic>
      <xdr:nvPicPr>
        <xdr:cNvPr id="41" name="image168.png">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113</xdr:col>
      <xdr:colOff>0</xdr:colOff>
      <xdr:row>3</xdr:row>
      <xdr:rowOff>0</xdr:rowOff>
    </xdr:from>
    <xdr:ext cx="276225" cy="180975"/>
    <xdr:pic>
      <xdr:nvPicPr>
        <xdr:cNvPr id="42" name="image169.png">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116</xdr:col>
      <xdr:colOff>0</xdr:colOff>
      <xdr:row>3</xdr:row>
      <xdr:rowOff>0</xdr:rowOff>
    </xdr:from>
    <xdr:ext cx="276225" cy="180975"/>
    <xdr:pic>
      <xdr:nvPicPr>
        <xdr:cNvPr id="43" name="image170.png">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119</xdr:col>
      <xdr:colOff>0</xdr:colOff>
      <xdr:row>3</xdr:row>
      <xdr:rowOff>0</xdr:rowOff>
    </xdr:from>
    <xdr:ext cx="276225" cy="133350"/>
    <xdr:pic>
      <xdr:nvPicPr>
        <xdr:cNvPr id="44" name="image171.png">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128</xdr:col>
      <xdr:colOff>0</xdr:colOff>
      <xdr:row>3</xdr:row>
      <xdr:rowOff>0</xdr:rowOff>
    </xdr:from>
    <xdr:ext cx="276225" cy="180975"/>
    <xdr:pic>
      <xdr:nvPicPr>
        <xdr:cNvPr id="45" name="image176.png">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131</xdr:col>
      <xdr:colOff>0</xdr:colOff>
      <xdr:row>3</xdr:row>
      <xdr:rowOff>0</xdr:rowOff>
    </xdr:from>
    <xdr:ext cx="276225" cy="180975"/>
    <xdr:pic>
      <xdr:nvPicPr>
        <xdr:cNvPr id="46" name="image173.png">
          <a:extLst>
            <a:ext uri="{FF2B5EF4-FFF2-40B4-BE49-F238E27FC236}">
              <a16:creationId xmlns:a16="http://schemas.microsoft.com/office/drawing/2014/main" id="{00000000-0008-0000-0500-00002E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134</xdr:col>
      <xdr:colOff>0</xdr:colOff>
      <xdr:row>3</xdr:row>
      <xdr:rowOff>0</xdr:rowOff>
    </xdr:from>
    <xdr:ext cx="276225" cy="161925"/>
    <xdr:pic>
      <xdr:nvPicPr>
        <xdr:cNvPr id="47" name="image174.png">
          <a:extLst>
            <a:ext uri="{FF2B5EF4-FFF2-40B4-BE49-F238E27FC236}">
              <a16:creationId xmlns:a16="http://schemas.microsoft.com/office/drawing/2014/main" id="{00000000-0008-0000-0500-00002F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137</xdr:col>
      <xdr:colOff>0</xdr:colOff>
      <xdr:row>3</xdr:row>
      <xdr:rowOff>0</xdr:rowOff>
    </xdr:from>
    <xdr:ext cx="276225" cy="180975"/>
    <xdr:pic>
      <xdr:nvPicPr>
        <xdr:cNvPr id="48" name="image175.png">
          <a:extLst>
            <a:ext uri="{FF2B5EF4-FFF2-40B4-BE49-F238E27FC236}">
              <a16:creationId xmlns:a16="http://schemas.microsoft.com/office/drawing/2014/main" id="{00000000-0008-0000-0500-000030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140</xdr:col>
      <xdr:colOff>0</xdr:colOff>
      <xdr:row>3</xdr:row>
      <xdr:rowOff>0</xdr:rowOff>
    </xdr:from>
    <xdr:ext cx="276225" cy="180975"/>
    <xdr:pic>
      <xdr:nvPicPr>
        <xdr:cNvPr id="49" name="image177.png">
          <a:extLst>
            <a:ext uri="{FF2B5EF4-FFF2-40B4-BE49-F238E27FC236}">
              <a16:creationId xmlns:a16="http://schemas.microsoft.com/office/drawing/2014/main" id="{00000000-0008-0000-0500-000031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0</xdr:col>
      <xdr:colOff>0</xdr:colOff>
      <xdr:row>133</xdr:row>
      <xdr:rowOff>0</xdr:rowOff>
    </xdr:from>
    <xdr:ext cx="561975" cy="200025"/>
    <xdr:pic>
      <xdr:nvPicPr>
        <xdr:cNvPr id="50" name="image77.png">
          <a:extLst>
            <a:ext uri="{FF2B5EF4-FFF2-40B4-BE49-F238E27FC236}">
              <a16:creationId xmlns:a16="http://schemas.microsoft.com/office/drawing/2014/main" id="{00000000-0008-0000-0500-000032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148</xdr:col>
      <xdr:colOff>95250</xdr:colOff>
      <xdr:row>2</xdr:row>
      <xdr:rowOff>180975</xdr:rowOff>
    </xdr:from>
    <xdr:ext cx="257175" cy="190500"/>
    <xdr:pic>
      <xdr:nvPicPr>
        <xdr:cNvPr id="2" name="image178.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149</xdr:col>
      <xdr:colOff>133350</xdr:colOff>
      <xdr:row>2</xdr:row>
      <xdr:rowOff>180975</xdr:rowOff>
    </xdr:from>
    <xdr:ext cx="381000" cy="190500"/>
    <xdr:pic>
      <xdr:nvPicPr>
        <xdr:cNvPr id="3" name="image179.png" title="Image">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3</xdr:row>
      <xdr:rowOff>0</xdr:rowOff>
    </xdr:from>
    <xdr:ext cx="304800" cy="200025"/>
    <xdr:pic>
      <xdr:nvPicPr>
        <xdr:cNvPr id="4" name="image180.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0</xdr:colOff>
      <xdr:row>3</xdr:row>
      <xdr:rowOff>0</xdr:rowOff>
    </xdr:from>
    <xdr:ext cx="323850" cy="161925"/>
    <xdr:pic>
      <xdr:nvPicPr>
        <xdr:cNvPr id="5" name="image181.png">
          <a:extLst>
            <a:ext uri="{FF2B5EF4-FFF2-40B4-BE49-F238E27FC236}">
              <a16:creationId xmlns:a16="http://schemas.microsoft.com/office/drawing/2014/main" id="{00000000-0008-0000-06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11</xdr:col>
      <xdr:colOff>0</xdr:colOff>
      <xdr:row>3</xdr:row>
      <xdr:rowOff>0</xdr:rowOff>
    </xdr:from>
    <xdr:ext cx="295275" cy="200025"/>
    <xdr:pic>
      <xdr:nvPicPr>
        <xdr:cNvPr id="6" name="image182.png">
          <a:extLst>
            <a:ext uri="{FF2B5EF4-FFF2-40B4-BE49-F238E27FC236}">
              <a16:creationId xmlns:a16="http://schemas.microsoft.com/office/drawing/2014/main" id="{00000000-0008-0000-06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14</xdr:col>
      <xdr:colOff>0</xdr:colOff>
      <xdr:row>3</xdr:row>
      <xdr:rowOff>0</xdr:rowOff>
    </xdr:from>
    <xdr:ext cx="323850" cy="161925"/>
    <xdr:pic>
      <xdr:nvPicPr>
        <xdr:cNvPr id="7" name="image183.png">
          <a:extLst>
            <a:ext uri="{FF2B5EF4-FFF2-40B4-BE49-F238E27FC236}">
              <a16:creationId xmlns:a16="http://schemas.microsoft.com/office/drawing/2014/main" id="{00000000-0008-0000-06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17</xdr:col>
      <xdr:colOff>0</xdr:colOff>
      <xdr:row>3</xdr:row>
      <xdr:rowOff>0</xdr:rowOff>
    </xdr:from>
    <xdr:ext cx="323850" cy="190500"/>
    <xdr:pic>
      <xdr:nvPicPr>
        <xdr:cNvPr id="8" name="image184.png">
          <a:extLst>
            <a:ext uri="{FF2B5EF4-FFF2-40B4-BE49-F238E27FC236}">
              <a16:creationId xmlns:a16="http://schemas.microsoft.com/office/drawing/2014/main" id="{00000000-0008-0000-06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20</xdr:col>
      <xdr:colOff>0</xdr:colOff>
      <xdr:row>3</xdr:row>
      <xdr:rowOff>0</xdr:rowOff>
    </xdr:from>
    <xdr:ext cx="323850" cy="190500"/>
    <xdr:pic>
      <xdr:nvPicPr>
        <xdr:cNvPr id="9" name="image185.png">
          <a:extLst>
            <a:ext uri="{FF2B5EF4-FFF2-40B4-BE49-F238E27FC236}">
              <a16:creationId xmlns:a16="http://schemas.microsoft.com/office/drawing/2014/main" id="{00000000-0008-0000-06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23</xdr:col>
      <xdr:colOff>0</xdr:colOff>
      <xdr:row>3</xdr:row>
      <xdr:rowOff>0</xdr:rowOff>
    </xdr:from>
    <xdr:ext cx="276225" cy="180975"/>
    <xdr:pic>
      <xdr:nvPicPr>
        <xdr:cNvPr id="10" name="image186.png">
          <a:extLst>
            <a:ext uri="{FF2B5EF4-FFF2-40B4-BE49-F238E27FC236}">
              <a16:creationId xmlns:a16="http://schemas.microsoft.com/office/drawing/2014/main" id="{00000000-0008-0000-06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26</xdr:col>
      <xdr:colOff>0</xdr:colOff>
      <xdr:row>3</xdr:row>
      <xdr:rowOff>0</xdr:rowOff>
    </xdr:from>
    <xdr:ext cx="276225" cy="180975"/>
    <xdr:pic>
      <xdr:nvPicPr>
        <xdr:cNvPr id="11" name="image187.png">
          <a:extLst>
            <a:ext uri="{FF2B5EF4-FFF2-40B4-BE49-F238E27FC236}">
              <a16:creationId xmlns:a16="http://schemas.microsoft.com/office/drawing/2014/main" id="{00000000-0008-0000-06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29</xdr:col>
      <xdr:colOff>0</xdr:colOff>
      <xdr:row>3</xdr:row>
      <xdr:rowOff>0</xdr:rowOff>
    </xdr:from>
    <xdr:ext cx="276225" cy="133350"/>
    <xdr:pic>
      <xdr:nvPicPr>
        <xdr:cNvPr id="12" name="image188.png">
          <a:extLst>
            <a:ext uri="{FF2B5EF4-FFF2-40B4-BE49-F238E27FC236}">
              <a16:creationId xmlns:a16="http://schemas.microsoft.com/office/drawing/2014/main" id="{00000000-0008-0000-06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32</xdr:col>
      <xdr:colOff>0</xdr:colOff>
      <xdr:row>3</xdr:row>
      <xdr:rowOff>0</xdr:rowOff>
    </xdr:from>
    <xdr:ext cx="276225" cy="171450"/>
    <xdr:pic>
      <xdr:nvPicPr>
        <xdr:cNvPr id="13" name="image189.png">
          <a:extLst>
            <a:ext uri="{FF2B5EF4-FFF2-40B4-BE49-F238E27FC236}">
              <a16:creationId xmlns:a16="http://schemas.microsoft.com/office/drawing/2014/main" id="{00000000-0008-0000-06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35</xdr:col>
      <xdr:colOff>0</xdr:colOff>
      <xdr:row>3</xdr:row>
      <xdr:rowOff>0</xdr:rowOff>
    </xdr:from>
    <xdr:ext cx="295275" cy="200025"/>
    <xdr:pic>
      <xdr:nvPicPr>
        <xdr:cNvPr id="14" name="image190.png">
          <a:extLst>
            <a:ext uri="{FF2B5EF4-FFF2-40B4-BE49-F238E27FC236}">
              <a16:creationId xmlns:a16="http://schemas.microsoft.com/office/drawing/2014/main" id="{00000000-0008-0000-06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39</xdr:col>
      <xdr:colOff>0</xdr:colOff>
      <xdr:row>3</xdr:row>
      <xdr:rowOff>0</xdr:rowOff>
    </xdr:from>
    <xdr:ext cx="295275" cy="200025"/>
    <xdr:pic>
      <xdr:nvPicPr>
        <xdr:cNvPr id="15" name="image191.png">
          <a:extLst>
            <a:ext uri="{FF2B5EF4-FFF2-40B4-BE49-F238E27FC236}">
              <a16:creationId xmlns:a16="http://schemas.microsoft.com/office/drawing/2014/main" id="{00000000-0008-0000-06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42</xdr:col>
      <xdr:colOff>0</xdr:colOff>
      <xdr:row>3</xdr:row>
      <xdr:rowOff>0</xdr:rowOff>
    </xdr:from>
    <xdr:ext cx="381000" cy="190500"/>
    <xdr:pic>
      <xdr:nvPicPr>
        <xdr:cNvPr id="16" name="image193.png">
          <a:extLst>
            <a:ext uri="{FF2B5EF4-FFF2-40B4-BE49-F238E27FC236}">
              <a16:creationId xmlns:a16="http://schemas.microsoft.com/office/drawing/2014/main" id="{00000000-0008-0000-06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45</xdr:col>
      <xdr:colOff>0</xdr:colOff>
      <xdr:row>3</xdr:row>
      <xdr:rowOff>0</xdr:rowOff>
    </xdr:from>
    <xdr:ext cx="295275" cy="200025"/>
    <xdr:pic>
      <xdr:nvPicPr>
        <xdr:cNvPr id="17" name="image192.png">
          <a:extLst>
            <a:ext uri="{FF2B5EF4-FFF2-40B4-BE49-F238E27FC236}">
              <a16:creationId xmlns:a16="http://schemas.microsoft.com/office/drawing/2014/main" id="{00000000-0008-0000-06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48</xdr:col>
      <xdr:colOff>0</xdr:colOff>
      <xdr:row>3</xdr:row>
      <xdr:rowOff>0</xdr:rowOff>
    </xdr:from>
    <xdr:ext cx="295275" cy="200025"/>
    <xdr:pic>
      <xdr:nvPicPr>
        <xdr:cNvPr id="18" name="image194.png">
          <a:extLst>
            <a:ext uri="{FF2B5EF4-FFF2-40B4-BE49-F238E27FC236}">
              <a16:creationId xmlns:a16="http://schemas.microsoft.com/office/drawing/2014/main" id="{00000000-0008-0000-06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51</xdr:col>
      <xdr:colOff>0</xdr:colOff>
      <xdr:row>3</xdr:row>
      <xdr:rowOff>0</xdr:rowOff>
    </xdr:from>
    <xdr:ext cx="295275" cy="200025"/>
    <xdr:pic>
      <xdr:nvPicPr>
        <xdr:cNvPr id="19" name="image195.png">
          <a:extLst>
            <a:ext uri="{FF2B5EF4-FFF2-40B4-BE49-F238E27FC236}">
              <a16:creationId xmlns:a16="http://schemas.microsoft.com/office/drawing/2014/main" id="{00000000-0008-0000-06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54</xdr:col>
      <xdr:colOff>0</xdr:colOff>
      <xdr:row>3</xdr:row>
      <xdr:rowOff>0</xdr:rowOff>
    </xdr:from>
    <xdr:ext cx="304800" cy="200025"/>
    <xdr:pic>
      <xdr:nvPicPr>
        <xdr:cNvPr id="20" name="image196.png">
          <a:extLst>
            <a:ext uri="{FF2B5EF4-FFF2-40B4-BE49-F238E27FC236}">
              <a16:creationId xmlns:a16="http://schemas.microsoft.com/office/drawing/2014/main" id="{00000000-0008-0000-06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57</xdr:col>
      <xdr:colOff>0</xdr:colOff>
      <xdr:row>3</xdr:row>
      <xdr:rowOff>0</xdr:rowOff>
    </xdr:from>
    <xdr:ext cx="295275" cy="200025"/>
    <xdr:pic>
      <xdr:nvPicPr>
        <xdr:cNvPr id="21" name="image197.png">
          <a:extLst>
            <a:ext uri="{FF2B5EF4-FFF2-40B4-BE49-F238E27FC236}">
              <a16:creationId xmlns:a16="http://schemas.microsoft.com/office/drawing/2014/main" id="{00000000-0008-0000-06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60</xdr:col>
      <xdr:colOff>0</xdr:colOff>
      <xdr:row>3</xdr:row>
      <xdr:rowOff>0</xdr:rowOff>
    </xdr:from>
    <xdr:ext cx="342900" cy="200025"/>
    <xdr:pic>
      <xdr:nvPicPr>
        <xdr:cNvPr id="22" name="image198.png">
          <a:extLst>
            <a:ext uri="{FF2B5EF4-FFF2-40B4-BE49-F238E27FC236}">
              <a16:creationId xmlns:a16="http://schemas.microsoft.com/office/drawing/2014/main" id="{00000000-0008-0000-06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63</xdr:col>
      <xdr:colOff>0</xdr:colOff>
      <xdr:row>3</xdr:row>
      <xdr:rowOff>0</xdr:rowOff>
    </xdr:from>
    <xdr:ext cx="266700" cy="200025"/>
    <xdr:pic>
      <xdr:nvPicPr>
        <xdr:cNvPr id="23" name="image199.png">
          <a:extLst>
            <a:ext uri="{FF2B5EF4-FFF2-40B4-BE49-F238E27FC236}">
              <a16:creationId xmlns:a16="http://schemas.microsoft.com/office/drawing/2014/main" id="{00000000-0008-0000-06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66</xdr:col>
      <xdr:colOff>0</xdr:colOff>
      <xdr:row>3</xdr:row>
      <xdr:rowOff>0</xdr:rowOff>
    </xdr:from>
    <xdr:ext cx="295275" cy="200025"/>
    <xdr:pic>
      <xdr:nvPicPr>
        <xdr:cNvPr id="24" name="image200.png">
          <a:extLst>
            <a:ext uri="{FF2B5EF4-FFF2-40B4-BE49-F238E27FC236}">
              <a16:creationId xmlns:a16="http://schemas.microsoft.com/office/drawing/2014/main" id="{00000000-0008-0000-0600-000018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69</xdr:col>
      <xdr:colOff>0</xdr:colOff>
      <xdr:row>3</xdr:row>
      <xdr:rowOff>0</xdr:rowOff>
    </xdr:from>
    <xdr:ext cx="304800" cy="152400"/>
    <xdr:pic>
      <xdr:nvPicPr>
        <xdr:cNvPr id="25" name="image201.png">
          <a:extLst>
            <a:ext uri="{FF2B5EF4-FFF2-40B4-BE49-F238E27FC236}">
              <a16:creationId xmlns:a16="http://schemas.microsoft.com/office/drawing/2014/main" id="{00000000-0008-0000-0600-000019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72</xdr:col>
      <xdr:colOff>0</xdr:colOff>
      <xdr:row>3</xdr:row>
      <xdr:rowOff>0</xdr:rowOff>
    </xdr:from>
    <xdr:ext cx="352425" cy="171450"/>
    <xdr:pic>
      <xdr:nvPicPr>
        <xdr:cNvPr id="26" name="image202.png">
          <a:extLst>
            <a:ext uri="{FF2B5EF4-FFF2-40B4-BE49-F238E27FC236}">
              <a16:creationId xmlns:a16="http://schemas.microsoft.com/office/drawing/2014/main" id="{00000000-0008-0000-0600-00001A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75</xdr:col>
      <xdr:colOff>0</xdr:colOff>
      <xdr:row>3</xdr:row>
      <xdr:rowOff>0</xdr:rowOff>
    </xdr:from>
    <xdr:ext cx="304800" cy="180975"/>
    <xdr:pic>
      <xdr:nvPicPr>
        <xdr:cNvPr id="27" name="image203.png">
          <a:extLst>
            <a:ext uri="{FF2B5EF4-FFF2-40B4-BE49-F238E27FC236}">
              <a16:creationId xmlns:a16="http://schemas.microsoft.com/office/drawing/2014/main" id="{00000000-0008-0000-0600-00001B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78</xdr:col>
      <xdr:colOff>0</xdr:colOff>
      <xdr:row>3</xdr:row>
      <xdr:rowOff>0</xdr:rowOff>
    </xdr:from>
    <xdr:ext cx="342900" cy="171450"/>
    <xdr:pic>
      <xdr:nvPicPr>
        <xdr:cNvPr id="28" name="image204.png">
          <a:extLst>
            <a:ext uri="{FF2B5EF4-FFF2-40B4-BE49-F238E27FC236}">
              <a16:creationId xmlns:a16="http://schemas.microsoft.com/office/drawing/2014/main" id="{00000000-0008-0000-0600-00001C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81</xdr:col>
      <xdr:colOff>0</xdr:colOff>
      <xdr:row>3</xdr:row>
      <xdr:rowOff>0</xdr:rowOff>
    </xdr:from>
    <xdr:ext cx="295275" cy="200025"/>
    <xdr:pic>
      <xdr:nvPicPr>
        <xdr:cNvPr id="29" name="image205.png">
          <a:extLst>
            <a:ext uri="{FF2B5EF4-FFF2-40B4-BE49-F238E27FC236}">
              <a16:creationId xmlns:a16="http://schemas.microsoft.com/office/drawing/2014/main" id="{00000000-0008-0000-0600-00001D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84</xdr:col>
      <xdr:colOff>0</xdr:colOff>
      <xdr:row>3</xdr:row>
      <xdr:rowOff>0</xdr:rowOff>
    </xdr:from>
    <xdr:ext cx="295275" cy="200025"/>
    <xdr:pic>
      <xdr:nvPicPr>
        <xdr:cNvPr id="30" name="image206.png">
          <a:extLst>
            <a:ext uri="{FF2B5EF4-FFF2-40B4-BE49-F238E27FC236}">
              <a16:creationId xmlns:a16="http://schemas.microsoft.com/office/drawing/2014/main" id="{00000000-0008-0000-0600-00001E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87</xdr:col>
      <xdr:colOff>0</xdr:colOff>
      <xdr:row>3</xdr:row>
      <xdr:rowOff>0</xdr:rowOff>
    </xdr:from>
    <xdr:ext cx="295275" cy="200025"/>
    <xdr:pic>
      <xdr:nvPicPr>
        <xdr:cNvPr id="31" name="image207.png">
          <a:extLst>
            <a:ext uri="{FF2B5EF4-FFF2-40B4-BE49-F238E27FC236}">
              <a16:creationId xmlns:a16="http://schemas.microsoft.com/office/drawing/2014/main" id="{00000000-0008-0000-0600-00001F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90</xdr:col>
      <xdr:colOff>0</xdr:colOff>
      <xdr:row>3</xdr:row>
      <xdr:rowOff>0</xdr:rowOff>
    </xdr:from>
    <xdr:ext cx="390525" cy="190500"/>
    <xdr:pic>
      <xdr:nvPicPr>
        <xdr:cNvPr id="32" name="image208.png">
          <a:extLst>
            <a:ext uri="{FF2B5EF4-FFF2-40B4-BE49-F238E27FC236}">
              <a16:creationId xmlns:a16="http://schemas.microsoft.com/office/drawing/2014/main" id="{00000000-0008-0000-0600-000020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93</xdr:col>
      <xdr:colOff>0</xdr:colOff>
      <xdr:row>3</xdr:row>
      <xdr:rowOff>0</xdr:rowOff>
    </xdr:from>
    <xdr:ext cx="295275" cy="200025"/>
    <xdr:pic>
      <xdr:nvPicPr>
        <xdr:cNvPr id="33" name="image210.png">
          <a:extLst>
            <a:ext uri="{FF2B5EF4-FFF2-40B4-BE49-F238E27FC236}">
              <a16:creationId xmlns:a16="http://schemas.microsoft.com/office/drawing/2014/main" id="{00000000-0008-0000-0600-000021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96</xdr:col>
      <xdr:colOff>0</xdr:colOff>
      <xdr:row>3</xdr:row>
      <xdr:rowOff>0</xdr:rowOff>
    </xdr:from>
    <xdr:ext cx="304800" cy="152400"/>
    <xdr:pic>
      <xdr:nvPicPr>
        <xdr:cNvPr id="34" name="image209.png">
          <a:extLst>
            <a:ext uri="{FF2B5EF4-FFF2-40B4-BE49-F238E27FC236}">
              <a16:creationId xmlns:a16="http://schemas.microsoft.com/office/drawing/2014/main" id="{00000000-0008-0000-0600-000022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99</xdr:col>
      <xdr:colOff>0</xdr:colOff>
      <xdr:row>3</xdr:row>
      <xdr:rowOff>0</xdr:rowOff>
    </xdr:from>
    <xdr:ext cx="161925" cy="200025"/>
    <xdr:pic>
      <xdr:nvPicPr>
        <xdr:cNvPr id="35" name="image211.png">
          <a:extLst>
            <a:ext uri="{FF2B5EF4-FFF2-40B4-BE49-F238E27FC236}">
              <a16:creationId xmlns:a16="http://schemas.microsoft.com/office/drawing/2014/main" id="{00000000-0008-0000-0600-000023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102</xdr:col>
      <xdr:colOff>0</xdr:colOff>
      <xdr:row>3</xdr:row>
      <xdr:rowOff>0</xdr:rowOff>
    </xdr:from>
    <xdr:ext cx="304800" cy="152400"/>
    <xdr:pic>
      <xdr:nvPicPr>
        <xdr:cNvPr id="36" name="image212.png">
          <a:extLst>
            <a:ext uri="{FF2B5EF4-FFF2-40B4-BE49-F238E27FC236}">
              <a16:creationId xmlns:a16="http://schemas.microsoft.com/office/drawing/2014/main" id="{00000000-0008-0000-0600-000024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105</xdr:col>
      <xdr:colOff>0</xdr:colOff>
      <xdr:row>3</xdr:row>
      <xdr:rowOff>0</xdr:rowOff>
    </xdr:from>
    <xdr:ext cx="304800" cy="152400"/>
    <xdr:pic>
      <xdr:nvPicPr>
        <xdr:cNvPr id="37" name="image213.png">
          <a:extLst>
            <a:ext uri="{FF2B5EF4-FFF2-40B4-BE49-F238E27FC236}">
              <a16:creationId xmlns:a16="http://schemas.microsoft.com/office/drawing/2014/main" id="{00000000-0008-0000-0600-000025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108</xdr:col>
      <xdr:colOff>0</xdr:colOff>
      <xdr:row>3</xdr:row>
      <xdr:rowOff>0</xdr:rowOff>
    </xdr:from>
    <xdr:ext cx="295275" cy="200025"/>
    <xdr:pic>
      <xdr:nvPicPr>
        <xdr:cNvPr id="38" name="image214.png">
          <a:extLst>
            <a:ext uri="{FF2B5EF4-FFF2-40B4-BE49-F238E27FC236}">
              <a16:creationId xmlns:a16="http://schemas.microsoft.com/office/drawing/2014/main" id="{00000000-0008-0000-0600-000026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111</xdr:col>
      <xdr:colOff>0</xdr:colOff>
      <xdr:row>3</xdr:row>
      <xdr:rowOff>0</xdr:rowOff>
    </xdr:from>
    <xdr:ext cx="304800" cy="152400"/>
    <xdr:pic>
      <xdr:nvPicPr>
        <xdr:cNvPr id="39" name="image216.png">
          <a:extLst>
            <a:ext uri="{FF2B5EF4-FFF2-40B4-BE49-F238E27FC236}">
              <a16:creationId xmlns:a16="http://schemas.microsoft.com/office/drawing/2014/main" id="{00000000-0008-0000-0600-00002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114</xdr:col>
      <xdr:colOff>0</xdr:colOff>
      <xdr:row>3</xdr:row>
      <xdr:rowOff>0</xdr:rowOff>
    </xdr:from>
    <xdr:ext cx="342900" cy="171450"/>
    <xdr:pic>
      <xdr:nvPicPr>
        <xdr:cNvPr id="40" name="image215.png">
          <a:extLst>
            <a:ext uri="{FF2B5EF4-FFF2-40B4-BE49-F238E27FC236}">
              <a16:creationId xmlns:a16="http://schemas.microsoft.com/office/drawing/2014/main" id="{00000000-0008-0000-0600-000028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117</xdr:col>
      <xdr:colOff>0</xdr:colOff>
      <xdr:row>3</xdr:row>
      <xdr:rowOff>0</xdr:rowOff>
    </xdr:from>
    <xdr:ext cx="361950" cy="142875"/>
    <xdr:pic>
      <xdr:nvPicPr>
        <xdr:cNvPr id="41" name="image218.png">
          <a:extLst>
            <a:ext uri="{FF2B5EF4-FFF2-40B4-BE49-F238E27FC236}">
              <a16:creationId xmlns:a16="http://schemas.microsoft.com/office/drawing/2014/main" id="{00000000-0008-0000-0600-000029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120</xdr:col>
      <xdr:colOff>0</xdr:colOff>
      <xdr:row>3</xdr:row>
      <xdr:rowOff>0</xdr:rowOff>
    </xdr:from>
    <xdr:ext cx="295275" cy="200025"/>
    <xdr:pic>
      <xdr:nvPicPr>
        <xdr:cNvPr id="42" name="image217.png">
          <a:extLst>
            <a:ext uri="{FF2B5EF4-FFF2-40B4-BE49-F238E27FC236}">
              <a16:creationId xmlns:a16="http://schemas.microsoft.com/office/drawing/2014/main" id="{00000000-0008-0000-0600-00002A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123</xdr:col>
      <xdr:colOff>0</xdr:colOff>
      <xdr:row>3</xdr:row>
      <xdr:rowOff>0</xdr:rowOff>
    </xdr:from>
    <xdr:ext cx="304800" cy="152400"/>
    <xdr:pic>
      <xdr:nvPicPr>
        <xdr:cNvPr id="43" name="image219.png">
          <a:extLst>
            <a:ext uri="{FF2B5EF4-FFF2-40B4-BE49-F238E27FC236}">
              <a16:creationId xmlns:a16="http://schemas.microsoft.com/office/drawing/2014/main" id="{00000000-0008-0000-0600-00002B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126</xdr:col>
      <xdr:colOff>0</xdr:colOff>
      <xdr:row>3</xdr:row>
      <xdr:rowOff>0</xdr:rowOff>
    </xdr:from>
    <xdr:ext cx="295275" cy="200025"/>
    <xdr:pic>
      <xdr:nvPicPr>
        <xdr:cNvPr id="44" name="image220.png">
          <a:extLst>
            <a:ext uri="{FF2B5EF4-FFF2-40B4-BE49-F238E27FC236}">
              <a16:creationId xmlns:a16="http://schemas.microsoft.com/office/drawing/2014/main" id="{00000000-0008-0000-0600-00002C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129</xdr:col>
      <xdr:colOff>0</xdr:colOff>
      <xdr:row>3</xdr:row>
      <xdr:rowOff>0</xdr:rowOff>
    </xdr:from>
    <xdr:ext cx="295275" cy="200025"/>
    <xdr:pic>
      <xdr:nvPicPr>
        <xdr:cNvPr id="45" name="image222.png">
          <a:extLst>
            <a:ext uri="{FF2B5EF4-FFF2-40B4-BE49-F238E27FC236}">
              <a16:creationId xmlns:a16="http://schemas.microsoft.com/office/drawing/2014/main" id="{00000000-0008-0000-0600-00002D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132</xdr:col>
      <xdr:colOff>0</xdr:colOff>
      <xdr:row>3</xdr:row>
      <xdr:rowOff>0</xdr:rowOff>
    </xdr:from>
    <xdr:ext cx="295275" cy="200025"/>
    <xdr:pic>
      <xdr:nvPicPr>
        <xdr:cNvPr id="46" name="image223.png">
          <a:extLst>
            <a:ext uri="{FF2B5EF4-FFF2-40B4-BE49-F238E27FC236}">
              <a16:creationId xmlns:a16="http://schemas.microsoft.com/office/drawing/2014/main" id="{00000000-0008-0000-0600-00002E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135</xdr:col>
      <xdr:colOff>0</xdr:colOff>
      <xdr:row>3</xdr:row>
      <xdr:rowOff>0</xdr:rowOff>
    </xdr:from>
    <xdr:ext cx="304800" cy="152400"/>
    <xdr:pic>
      <xdr:nvPicPr>
        <xdr:cNvPr id="47" name="image224.png">
          <a:extLst>
            <a:ext uri="{FF2B5EF4-FFF2-40B4-BE49-F238E27FC236}">
              <a16:creationId xmlns:a16="http://schemas.microsoft.com/office/drawing/2014/main" id="{00000000-0008-0000-0600-00002F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138</xdr:col>
      <xdr:colOff>0</xdr:colOff>
      <xdr:row>3</xdr:row>
      <xdr:rowOff>0</xdr:rowOff>
    </xdr:from>
    <xdr:ext cx="295275" cy="200025"/>
    <xdr:pic>
      <xdr:nvPicPr>
        <xdr:cNvPr id="48" name="image225.png">
          <a:extLst>
            <a:ext uri="{FF2B5EF4-FFF2-40B4-BE49-F238E27FC236}">
              <a16:creationId xmlns:a16="http://schemas.microsoft.com/office/drawing/2014/main" id="{00000000-0008-0000-0600-000030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141</xdr:col>
      <xdr:colOff>0</xdr:colOff>
      <xdr:row>3</xdr:row>
      <xdr:rowOff>0</xdr:rowOff>
    </xdr:from>
    <xdr:ext cx="295275" cy="200025"/>
    <xdr:pic>
      <xdr:nvPicPr>
        <xdr:cNvPr id="49" name="image227.png">
          <a:extLst>
            <a:ext uri="{FF2B5EF4-FFF2-40B4-BE49-F238E27FC236}">
              <a16:creationId xmlns:a16="http://schemas.microsoft.com/office/drawing/2014/main" id="{00000000-0008-0000-0600-000031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144</xdr:col>
      <xdr:colOff>0</xdr:colOff>
      <xdr:row>3</xdr:row>
      <xdr:rowOff>0</xdr:rowOff>
    </xdr:from>
    <xdr:ext cx="295275" cy="200025"/>
    <xdr:pic>
      <xdr:nvPicPr>
        <xdr:cNvPr id="50" name="image226.png">
          <a:extLst>
            <a:ext uri="{FF2B5EF4-FFF2-40B4-BE49-F238E27FC236}">
              <a16:creationId xmlns:a16="http://schemas.microsoft.com/office/drawing/2014/main" id="{00000000-0008-0000-0600-000032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0</xdr:col>
      <xdr:colOff>0</xdr:colOff>
      <xdr:row>131</xdr:row>
      <xdr:rowOff>0</xdr:rowOff>
    </xdr:from>
    <xdr:ext cx="561975" cy="200025"/>
    <xdr:pic>
      <xdr:nvPicPr>
        <xdr:cNvPr id="51" name="image77.png">
          <a:extLst>
            <a:ext uri="{FF2B5EF4-FFF2-40B4-BE49-F238E27FC236}">
              <a16:creationId xmlns:a16="http://schemas.microsoft.com/office/drawing/2014/main" id="{00000000-0008-0000-0600-000033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0</xdr:colOff>
      <xdr:row>3</xdr:row>
      <xdr:rowOff>0</xdr:rowOff>
    </xdr:from>
    <xdr:ext cx="390525" cy="190500"/>
    <xdr:pic>
      <xdr:nvPicPr>
        <xdr:cNvPr id="2" name="image228.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3</xdr:row>
      <xdr:rowOff>0</xdr:rowOff>
    </xdr:from>
    <xdr:ext cx="276225" cy="133350"/>
    <xdr:pic>
      <xdr:nvPicPr>
        <xdr:cNvPr id="3" name="image229.pn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0</xdr:colOff>
      <xdr:row>3</xdr:row>
      <xdr:rowOff>0</xdr:rowOff>
    </xdr:from>
    <xdr:ext cx="276225" cy="142875"/>
    <xdr:pic>
      <xdr:nvPicPr>
        <xdr:cNvPr id="4" name="image230.png">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14</xdr:col>
      <xdr:colOff>0</xdr:colOff>
      <xdr:row>3</xdr:row>
      <xdr:rowOff>0</xdr:rowOff>
    </xdr:from>
    <xdr:ext cx="333375" cy="95250"/>
    <xdr:pic>
      <xdr:nvPicPr>
        <xdr:cNvPr id="5" name="image231.png">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17</xdr:col>
      <xdr:colOff>0</xdr:colOff>
      <xdr:row>3</xdr:row>
      <xdr:rowOff>0</xdr:rowOff>
    </xdr:from>
    <xdr:ext cx="333375" cy="161925"/>
    <xdr:pic>
      <xdr:nvPicPr>
        <xdr:cNvPr id="6" name="image234.png">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20</xdr:col>
      <xdr:colOff>0</xdr:colOff>
      <xdr:row>3</xdr:row>
      <xdr:rowOff>0</xdr:rowOff>
    </xdr:from>
    <xdr:ext cx="266700" cy="200025"/>
    <xdr:pic>
      <xdr:nvPicPr>
        <xdr:cNvPr id="7" name="image232.png">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23</xdr:col>
      <xdr:colOff>0</xdr:colOff>
      <xdr:row>3</xdr:row>
      <xdr:rowOff>0</xdr:rowOff>
    </xdr:from>
    <xdr:ext cx="276225" cy="180975"/>
    <xdr:pic>
      <xdr:nvPicPr>
        <xdr:cNvPr id="8" name="image233.png">
          <a:extLst>
            <a:ext uri="{FF2B5EF4-FFF2-40B4-BE49-F238E27FC236}">
              <a16:creationId xmlns:a16="http://schemas.microsoft.com/office/drawing/2014/main" id="{00000000-0008-0000-07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27</xdr:col>
      <xdr:colOff>0</xdr:colOff>
      <xdr:row>3</xdr:row>
      <xdr:rowOff>0</xdr:rowOff>
    </xdr:from>
    <xdr:ext cx="276225" cy="152400"/>
    <xdr:pic>
      <xdr:nvPicPr>
        <xdr:cNvPr id="9" name="image236.jpg">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30</xdr:col>
      <xdr:colOff>0</xdr:colOff>
      <xdr:row>3</xdr:row>
      <xdr:rowOff>0</xdr:rowOff>
    </xdr:from>
    <xdr:ext cx="276225" cy="180975"/>
    <xdr:pic>
      <xdr:nvPicPr>
        <xdr:cNvPr id="10" name="image235.jpg">
          <a:extLst>
            <a:ext uri="{FF2B5EF4-FFF2-40B4-BE49-F238E27FC236}">
              <a16:creationId xmlns:a16="http://schemas.microsoft.com/office/drawing/2014/main" id="{00000000-0008-0000-07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131</xdr:row>
      <xdr:rowOff>0</xdr:rowOff>
    </xdr:from>
    <xdr:ext cx="561975" cy="200025"/>
    <xdr:pic>
      <xdr:nvPicPr>
        <xdr:cNvPr id="11" name="image77.png">
          <a:extLst>
            <a:ext uri="{FF2B5EF4-FFF2-40B4-BE49-F238E27FC236}">
              <a16:creationId xmlns:a16="http://schemas.microsoft.com/office/drawing/2014/main" id="{00000000-0008-0000-07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35</xdr:row>
      <xdr:rowOff>0</xdr:rowOff>
    </xdr:from>
    <xdr:ext cx="647700" cy="228600"/>
    <xdr:pic>
      <xdr:nvPicPr>
        <xdr:cNvPr id="2" name="image77.png">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447675</xdr:colOff>
      <xdr:row>0</xdr:row>
      <xdr:rowOff>219075</xdr:rowOff>
    </xdr:from>
    <xdr:ext cx="8715375" cy="5381625"/>
    <xdr:graphicFrame macro="">
      <xdr:nvGraphicFramePr>
        <xdr:cNvPr id="2" name="Chart 1" title="Chart">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35</xdr:row>
      <xdr:rowOff>0</xdr:rowOff>
    </xdr:from>
    <xdr:ext cx="647700" cy="228600"/>
    <xdr:pic>
      <xdr:nvPicPr>
        <xdr:cNvPr id="3" name="image77.png">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fr.wikipedia.org/wiki/Liste_des_%C3%89tats_du_monde_par_continent" TargetMode="External"/><Relationship Id="rId2" Type="http://schemas.openxmlformats.org/officeDocument/2006/relationships/hyperlink" Target="http://who.maps.arcgis.com/apps/opsdashboard/index.html" TargetMode="External"/><Relationship Id="rId1" Type="http://schemas.openxmlformats.org/officeDocument/2006/relationships/hyperlink" Target="https://coronavirus.jhu.edu/map.html" TargetMode="External"/><Relationship Id="rId4"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hyperlink" Target="https://fr.wikipedia.org/wiki/Liste_des_%C3%89tats_du_monde_par_continent" TargetMode="External"/><Relationship Id="rId2" Type="http://schemas.openxmlformats.org/officeDocument/2006/relationships/hyperlink" Target="http://who.maps.arcgis.com/apps/opsdashboard/index.html" TargetMode="External"/><Relationship Id="rId1" Type="http://schemas.openxmlformats.org/officeDocument/2006/relationships/hyperlink" Target="https://coronavirus.jhu.edu/map.html"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hyperlink" Target="https://fr.wikipedia.org/wiki/Liste_des_%C3%89tats_du_monde_par_continent" TargetMode="External"/><Relationship Id="rId2" Type="http://schemas.openxmlformats.org/officeDocument/2006/relationships/hyperlink" Target="http://who.maps.arcgis.com/apps/opsdashboard/index.html" TargetMode="External"/><Relationship Id="rId1" Type="http://schemas.openxmlformats.org/officeDocument/2006/relationships/hyperlink" Target="https://coronavirus.jhu.edu/map.html" TargetMode="External"/><Relationship Id="rId4"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hyperlink" Target="https://fr.wikipedia.org/wiki/Liste_des_%C3%89tats_du_monde_par_continent" TargetMode="External"/><Relationship Id="rId2" Type="http://schemas.openxmlformats.org/officeDocument/2006/relationships/hyperlink" Target="http://who.maps.arcgis.com/apps/opsdashboard/index.html" TargetMode="External"/><Relationship Id="rId1" Type="http://schemas.openxmlformats.org/officeDocument/2006/relationships/hyperlink" Target="https://coronavirus.jhu.edu/map.html" TargetMode="External"/><Relationship Id="rId4"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hyperlink" Target="https://fr.wikipedia.org/wiki/Liste_des_%C3%89tats_du_monde_par_continent" TargetMode="External"/><Relationship Id="rId2" Type="http://schemas.openxmlformats.org/officeDocument/2006/relationships/hyperlink" Target="http://who.maps.arcgis.com/apps/opsdashboard/index.html" TargetMode="External"/><Relationship Id="rId1" Type="http://schemas.openxmlformats.org/officeDocument/2006/relationships/hyperlink" Target="https://coronavirus.jhu.edu/map.html" TargetMode="External"/><Relationship Id="rId4"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hyperlink" Target="https://fr.wikipedia.org/wiki/Liste_des_%C3%89tats_du_monde_par_continent" TargetMode="External"/><Relationship Id="rId2" Type="http://schemas.openxmlformats.org/officeDocument/2006/relationships/hyperlink" Target="http://who.maps.arcgis.com/apps/opsdashboard/index.html" TargetMode="External"/><Relationship Id="rId1" Type="http://schemas.openxmlformats.org/officeDocument/2006/relationships/hyperlink" Target="https://coronavirus.jhu.edu/map.html" TargetMode="External"/><Relationship Id="rId4"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hyperlink" Target="https://fr.wikipedia.org/wiki/Liste_des_%C3%89tats_du_monde_par_continent" TargetMode="External"/><Relationship Id="rId2" Type="http://schemas.openxmlformats.org/officeDocument/2006/relationships/hyperlink" Target="http://who.maps.arcgis.com/apps/opsdashboard/index.html" TargetMode="External"/><Relationship Id="rId1" Type="http://schemas.openxmlformats.org/officeDocument/2006/relationships/hyperlink" Target="https://coronavirus.jhu.edu/map.html" TargetMode="External"/><Relationship Id="rId4"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hyperlink" Target="https://fr.wikipedia.org/wiki/Liste_des_%C3%89tats_du_monde_par_continent" TargetMode="External"/><Relationship Id="rId2" Type="http://schemas.openxmlformats.org/officeDocument/2006/relationships/hyperlink" Target="http://who.maps.arcgis.com/apps/opsdashboard/index.html" TargetMode="External"/><Relationship Id="rId1" Type="http://schemas.openxmlformats.org/officeDocument/2006/relationships/hyperlink" Target="https://coronavirus.jhu.edu/map.html" TargetMode="External"/><Relationship Id="rId4"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3" Type="http://schemas.openxmlformats.org/officeDocument/2006/relationships/hyperlink" Target="https://fr.wikipedia.org/wiki/Liste_des_%C3%89tats_du_monde_par_continent" TargetMode="External"/><Relationship Id="rId2" Type="http://schemas.openxmlformats.org/officeDocument/2006/relationships/hyperlink" Target="http://who.maps.arcgis.com/apps/opsdashboard/index.html" TargetMode="External"/><Relationship Id="rId1" Type="http://schemas.openxmlformats.org/officeDocument/2006/relationships/hyperlink" Target="https://coronavirus.jhu.edu/map.html" TargetMode="External"/><Relationship Id="rId4"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labs.letemps.ch/interactive/2020/carte-coronavirus-monde/" TargetMode="External"/><Relationship Id="rId1" Type="http://schemas.openxmlformats.org/officeDocument/2006/relationships/hyperlink" Target="https://coronavirus.jhu.edu/map.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4.ti.ch/area-media/comunicati/dettaglio-comunicato/?NEWS_ID=187601&amp;cHash=957507c2688219fc7b91d4201c060edf" TargetMode="External"/><Relationship Id="rId18" Type="http://schemas.openxmlformats.org/officeDocument/2006/relationships/hyperlink" Target="https://www.ar.ch/verwaltung/departement-gesundheit-und-soziales/amt-fuer-gesundheit/informationsseite-coronavirus/" TargetMode="External"/><Relationship Id="rId26" Type="http://schemas.openxmlformats.org/officeDocument/2006/relationships/hyperlink" Target="https://www.gl.ch/verwaltung/finanzen-und-gesundheit/gesundheit/coronavirus.html/4817" TargetMode="External"/><Relationship Id="rId39" Type="http://schemas.openxmlformats.org/officeDocument/2006/relationships/hyperlink" Target="https://www.ur.ch/themen/2920" TargetMode="External"/><Relationship Id="rId21" Type="http://schemas.openxmlformats.org/officeDocument/2006/relationships/hyperlink" Target="https://www.baselland.ch/politik-und-behorden/direktionen/volkswirtschafts-und-gesundheitsdirektion/amt-fur-gesundheit/medizinische-dienste/kantonsarztlicher-dienst/aktuelles/covid-19-faelle-kanton-basel-landschaft" TargetMode="External"/><Relationship Id="rId34" Type="http://schemas.openxmlformats.org/officeDocument/2006/relationships/hyperlink" Target="https://sh.ch/CMS/Webseite/Kanton-Schaffhausen/Beh-rde/Verwaltung/Departement-des-Innern/Gesundheitsamt-3209198-DE.html" TargetMode="External"/><Relationship Id="rId42" Type="http://schemas.openxmlformats.org/officeDocument/2006/relationships/hyperlink" Target="https://www.zg.ch/behoerden/gesundheitsdirektion/amt-fuer-gesundheit/corona" TargetMode="External"/><Relationship Id="rId7" Type="http://schemas.openxmlformats.org/officeDocument/2006/relationships/hyperlink" Target="https://www4.ti.ch/area-media/comunicati/dettaglio-comunicato/?NEWS_ID=187422&amp;tx_tichareamedia_comunicazioni%5Baction%5D=show&amp;tx_tichareamedia_comunicazioni%5Bcontroller%5D=Comunicazioni&amp;cHash=24aa247e65de88fdd1551a61fcc407d9" TargetMode="External"/><Relationship Id="rId2" Type="http://schemas.openxmlformats.org/officeDocument/2006/relationships/hyperlink" Target="https://www4.ti.ch/area-media/comunicati/dettaglio-comunicato/?NEWS_ID=187352&amp;tx_tichareamedia_comunicazioni%5Baction%5D=show&amp;tx_tichareamedia_comunicazioni%5Bcontroller%5D=Comunicazioni&amp;cHash=ea65dbcabb28d4711459f3b613bbc1b7" TargetMode="External"/><Relationship Id="rId16" Type="http://schemas.openxmlformats.org/officeDocument/2006/relationships/hyperlink" Target="https://www4.ti.ch/area-media/comunicati/dettaglio-comunicato/?NEWS_ID=187639&amp;cHash=9066deb81d7f63f4d355d6acae0214ae" TargetMode="External"/><Relationship Id="rId29" Type="http://schemas.openxmlformats.org/officeDocument/2006/relationships/hyperlink" Target="https://gesundheit.lu.ch/themen/Humanmedizin/Infektionskrankheiten/Coronavirus" TargetMode="External"/><Relationship Id="rId1" Type="http://schemas.openxmlformats.org/officeDocument/2006/relationships/hyperlink" Target="https://www.illustre.ch/magazine/suisse-une-semaine-face-coronavirus" TargetMode="External"/><Relationship Id="rId6" Type="http://schemas.openxmlformats.org/officeDocument/2006/relationships/hyperlink" Target="https://www4.ti.ch/area-media/comunicati/dettaglio-comunicato/?NEWS_ID=187417&amp;tx_tichareamedia_comunicazioni%5Baction%5D=show&amp;tx_tichareamedia_comunicazioni%5Bcontroller%5D=Comunicazioni&amp;cHash=20e9b76118246e98781581881b459523" TargetMode="External"/><Relationship Id="rId11" Type="http://schemas.openxmlformats.org/officeDocument/2006/relationships/hyperlink" Target="https://www4.ti.ch/area-media/comunicati/dettaglio-comunicato/?NEWS_ID=187570&amp;cHash=ed89a6d06a9181c74233ea5eb6cb855d" TargetMode="External"/><Relationship Id="rId24" Type="http://schemas.openxmlformats.org/officeDocument/2006/relationships/hyperlink" Target="https://www.fr.ch/covid19/sante/covid-19/coronavirus-statistiques-evolution-de-la-situation-dans-le-canton" TargetMode="External"/><Relationship Id="rId32" Type="http://schemas.openxmlformats.org/officeDocument/2006/relationships/hyperlink" Target="https://www.ow.ch/de/verwaltung/dienstleistungen/?dienst_id=5962" TargetMode="External"/><Relationship Id="rId37" Type="http://schemas.openxmlformats.org/officeDocument/2006/relationships/hyperlink" Target="https://www4.ti.ch/area-media/comunicati/dettaglio-comunicato/?NEWS_ID=187648&amp;cHash=a51740236e5eadec83ea8015802cbddd" TargetMode="External"/><Relationship Id="rId40" Type="http://schemas.openxmlformats.org/officeDocument/2006/relationships/hyperlink" Target="https://www.vs.ch/de/web/coronavirus" TargetMode="External"/><Relationship Id="rId45" Type="http://schemas.openxmlformats.org/officeDocument/2006/relationships/hyperlink" Target="https://drive.google.com/open?id=1PtnQtYZxOQrryxkIt3ep26131Zdyc218" TargetMode="External"/><Relationship Id="rId5" Type="http://schemas.openxmlformats.org/officeDocument/2006/relationships/hyperlink" Target="https://www4.ti.ch/area-media/comunicati/dettaglio-comunicato/?NEWS_ID=187406&amp;tx_tichareamedia_comunicazioni%5Baction%5D=show&amp;tx_tichareamedia_comunicazioni%5Bcontroller%5D=Comunicazioni&amp;cHash=e553d0b42db2ead87a7d05e499fac4db" TargetMode="External"/><Relationship Id="rId15" Type="http://schemas.openxmlformats.org/officeDocument/2006/relationships/hyperlink" Target="https://www4.ti.ch/area-media/comunicati/dettaglio-comunicato/?NEWS_ID=187617&amp;cHash=0cb24c83cde4ac5acf7ae77d2d6e953e" TargetMode="External"/><Relationship Id="rId23" Type="http://schemas.openxmlformats.org/officeDocument/2006/relationships/hyperlink" Target="https://www.besondere-lage.sites.be.ch/besondere-lage_sites/de/index/corona/index.html" TargetMode="External"/><Relationship Id="rId28" Type="http://schemas.openxmlformats.org/officeDocument/2006/relationships/hyperlink" Target="https://www.jura.ch/fr/Autorites/Coronavirus/Accueil/Coronavirus-Informations-officielles-a-la-population-jurassienne.html" TargetMode="External"/><Relationship Id="rId36" Type="http://schemas.openxmlformats.org/officeDocument/2006/relationships/hyperlink" Target="https://corona.so.ch/" TargetMode="External"/><Relationship Id="rId10" Type="http://schemas.openxmlformats.org/officeDocument/2006/relationships/hyperlink" Target="https://www4.ti.ch/area-media/comunicati/dettaglio-comunicato/?NEWS_ID=187493&amp;tx_tichareamedia_comunicazioni%5Baction%5D=show&amp;tx_tichareamedia_comunicazioni%5Bcontroller%5D=Comunicazioni&amp;cHash=7803bbc03dd49ef2e421dfd6b12dd239" TargetMode="External"/><Relationship Id="rId19" Type="http://schemas.openxmlformats.org/officeDocument/2006/relationships/hyperlink" Target="https://www.ai.ch/themen/gesundheit-alter-und-soziales/gesundheitsfoerderung-und-praevention/uebertragbare-krankheiten/coronavirus" TargetMode="External"/><Relationship Id="rId31" Type="http://schemas.openxmlformats.org/officeDocument/2006/relationships/hyperlink" Target="https://www.nw.ch/gesundheitsamtdienste/6044" TargetMode="External"/><Relationship Id="rId44" Type="http://schemas.openxmlformats.org/officeDocument/2006/relationships/hyperlink" Target="https://www.bag.admin.ch/bag/fr/home/krankheiten/ausbrueche-epidemien-pandemien/aktuelle-ausbrueche-epidemien/novel-cov.html" TargetMode="External"/><Relationship Id="rId4" Type="http://schemas.openxmlformats.org/officeDocument/2006/relationships/hyperlink" Target="https://www.letemps.ch/monde/continu-19-cantons-touches-lepidemie-coronavirus" TargetMode="External"/><Relationship Id="rId9" Type="http://schemas.openxmlformats.org/officeDocument/2006/relationships/hyperlink" Target="https://www4.ti.ch/area-media/comunicati/dettaglio-comunicato/?NEWS_ID=187467&amp;tx_tichareamedia_comunicazioni%5Baction%5D=show&amp;tx_tichareamedia_comunicazioni%5Bcontroller%5D=Comunicazioni&amp;cHash=af5473066754ef4d1272e156056acc07" TargetMode="External"/><Relationship Id="rId14" Type="http://schemas.openxmlformats.org/officeDocument/2006/relationships/hyperlink" Target="https://www4.ti.ch/area-media/comunicati/dettaglio-comunicato/?NEWS_ID=187612&amp;cHash=b83676622988bf3edc1dea5cc87d4dde" TargetMode="External"/><Relationship Id="rId22" Type="http://schemas.openxmlformats.org/officeDocument/2006/relationships/hyperlink" Target="https://www.coronavirus.bs.ch/" TargetMode="External"/><Relationship Id="rId27" Type="http://schemas.openxmlformats.org/officeDocument/2006/relationships/hyperlink" Target="https://www.gr.ch/DE/institutionen/verwaltung/djsg/ga/coronavirus/info/Seiten/Start.aspx" TargetMode="External"/><Relationship Id="rId30" Type="http://schemas.openxmlformats.org/officeDocument/2006/relationships/hyperlink" Target="https://www.ne.ch/autorites/DFS/SCSP/medecin-cantonal/maladies-vaccinations/Pages/Coronavirus.aspx" TargetMode="External"/><Relationship Id="rId35" Type="http://schemas.openxmlformats.org/officeDocument/2006/relationships/hyperlink" Target="https://www.sz.ch/behoerden/information-medien/medienmitteilungen/coronavirus.html/72-416-412-1379-6948" TargetMode="External"/><Relationship Id="rId43" Type="http://schemas.openxmlformats.org/officeDocument/2006/relationships/hyperlink" Target="https://gd.zh.ch/internet/gesundheitsdirektion/de/themen/coronavirus.html" TargetMode="External"/><Relationship Id="rId8" Type="http://schemas.openxmlformats.org/officeDocument/2006/relationships/hyperlink" Target="https://www4.ti.ch/area-media/comunicati/dettaglio-comunicato/?NEWS_ID=187466&amp;tx_tichareamedia_comunicazioni%5Baction%5D=show&amp;tx_tichareamedia_comunicazioni%5Bcontroller%5D=Comunicazioni&amp;cHash=1b10e6e8117296766155edcf9c317a4c" TargetMode="External"/><Relationship Id="rId3" Type="http://schemas.openxmlformats.org/officeDocument/2006/relationships/hyperlink" Target="https://www.24heures.ch/vaud-regions/plusieurs-nouveaux-cas-infection-canton/story/21654898" TargetMode="External"/><Relationship Id="rId12" Type="http://schemas.openxmlformats.org/officeDocument/2006/relationships/hyperlink" Target="https://www4.ti.ch/area-media/comunicati/dettaglio-comunicato/?NEWS_ID=187585&amp;cHash=71dae3c15afd6b09d15f28f43d415af1" TargetMode="External"/><Relationship Id="rId17" Type="http://schemas.openxmlformats.org/officeDocument/2006/relationships/hyperlink" Target="https://www4.ti.ch/area-media/comunicati/dettaglio-comunicato/?NEWS_ID=187645&amp;cHash=7b087e8c9cf96255581da0c1e9421650" TargetMode="External"/><Relationship Id="rId25" Type="http://schemas.openxmlformats.org/officeDocument/2006/relationships/hyperlink" Target="https://www.ge.ch/document/covid-19-situation-epidemiologique-geneve" TargetMode="External"/><Relationship Id="rId33" Type="http://schemas.openxmlformats.org/officeDocument/2006/relationships/hyperlink" Target="https://www.sg.ch/tools/informationen-coronavirus.html" TargetMode="External"/><Relationship Id="rId38" Type="http://schemas.openxmlformats.org/officeDocument/2006/relationships/hyperlink" Target="https://www.tg.ch/news/fachdossier-coronavirus.html/10552" TargetMode="External"/><Relationship Id="rId46" Type="http://schemas.openxmlformats.org/officeDocument/2006/relationships/drawing" Target="../drawings/drawing2.xml"/><Relationship Id="rId20" Type="http://schemas.openxmlformats.org/officeDocument/2006/relationships/hyperlink" Target="https://www.ag.ch/de/themen_1/coronavirus_2/lagebulletins/lagebulletins_1.jsp" TargetMode="External"/><Relationship Id="rId41" Type="http://schemas.openxmlformats.org/officeDocument/2006/relationships/hyperlink" Target="https://www.vd.ch/toutes-les-actualites/hotline-et-informations-sur-le-coronavirus/point-de-situation-statistique-dans-le-canton-de-vaud/"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who.int/docs/default-source/coronaviruse/situation-reports/20200216-sitrep-27-covid-19.pdf?sfvrsn=78c0eb78_4" TargetMode="External"/><Relationship Id="rId18" Type="http://schemas.openxmlformats.org/officeDocument/2006/relationships/hyperlink" Target="https://www.who.int/docs/default-source/coronaviruse/situation-reports/20200226-sitrep-37-covid-19.pdf?sfvrsn=2146841e_2" TargetMode="External"/><Relationship Id="rId26" Type="http://schemas.openxmlformats.org/officeDocument/2006/relationships/hyperlink" Target="https://www.who.int/docs/default-source/coronaviruse/situation-reports/20200308-sitrep-48-covid-19.pdf?sfvrsn=16f7ccef_4" TargetMode="External"/><Relationship Id="rId39" Type="http://schemas.openxmlformats.org/officeDocument/2006/relationships/hyperlink" Target="https://www.mairie.mc/annonces/info-covid19/communiques-presse-gouvernement" TargetMode="External"/><Relationship Id="rId21" Type="http://schemas.openxmlformats.org/officeDocument/2006/relationships/hyperlink" Target="https://youtu.be/K7ZFQhaK7LQ?t=2839" TargetMode="External"/><Relationship Id="rId34" Type="http://schemas.openxmlformats.org/officeDocument/2006/relationships/hyperlink" Target="https://www.reuters.com/article/health-coronavirus-slovakia-death/slovakia-registers-first-coronavirus-death-idUSL8N2BN7MD" TargetMode="External"/><Relationship Id="rId42" Type="http://schemas.openxmlformats.org/officeDocument/2006/relationships/hyperlink" Target="http://who.maps.arcgis.com/apps/opsdashboard/index.html" TargetMode="External"/><Relationship Id="rId7" Type="http://schemas.openxmlformats.org/officeDocument/2006/relationships/hyperlink" Target="https://www.who.int/docs/default-source/coronaviruse/situation-reports/20200207-sitrep-18-ncov.pdf?sfvrsn=fa644293_2" TargetMode="External"/><Relationship Id="rId2" Type="http://schemas.openxmlformats.org/officeDocument/2006/relationships/hyperlink" Target="https://www.who.int/docs/default-source/coronaviruse/situation-reports/20200128-sitrep-8-ncov-cleared.pdf?sfvrsn=8b671ce5_2" TargetMode="External"/><Relationship Id="rId16" Type="http://schemas.openxmlformats.org/officeDocument/2006/relationships/hyperlink" Target="https://www.who.int/docs/default-source/coronaviruse/situation-reports/20200224-sitrep-35-covid-19.pdf?sfvrsn=1ac4218d_2" TargetMode="External"/><Relationship Id="rId29" Type="http://schemas.openxmlformats.org/officeDocument/2006/relationships/hyperlink" Target="https://www.lalibre.be/dernieres-depeches/belga/coronavirus-le-danemark-annonce-son-premier-mort-du-coronavirus-5e6d1cdaf20d5a29c6654bb0" TargetMode="External"/><Relationship Id="rId1" Type="http://schemas.openxmlformats.org/officeDocument/2006/relationships/hyperlink" Target="https://www.who.int/docs/default-source/coronaviruse/situation-reports/20200125-sitrep-5-2019-ncov.pdf?sfvrsn=429b143d_8" TargetMode="External"/><Relationship Id="rId6" Type="http://schemas.openxmlformats.org/officeDocument/2006/relationships/hyperlink" Target="https://www.who.int/docs/default-source/coronaviruse/situation-reports/20200205-sitrep-16-ncov.pdf?sfvrsn=23af287f_4" TargetMode="External"/><Relationship Id="rId11" Type="http://schemas.openxmlformats.org/officeDocument/2006/relationships/hyperlink" Target="https://www.who.int/docs/default-source/coronaviruse/situation-reports/20200211-sitrep-22-ncov.pdf?sfvrsn=fb6d49b1_2" TargetMode="External"/><Relationship Id="rId24" Type="http://schemas.openxmlformats.org/officeDocument/2006/relationships/hyperlink" Target="https://www.laliberte.ch/info-regionale/sante/coronavirus-premier-deces-en-suisse-a-lausanne-556299" TargetMode="External"/><Relationship Id="rId32" Type="http://schemas.openxmlformats.org/officeDocument/2006/relationships/hyperlink" Target="https://www.who.int/docs/default-source/coronaviruse/situation-reports/20200327-sitrep-67-covid-19.pdf?sfvrsn=b65f68eb_4" TargetMode="External"/><Relationship Id="rId37" Type="http://schemas.openxmlformats.org/officeDocument/2006/relationships/hyperlink" Target="https://www.ouest-france.fr/sante/virus/coronavirus/coronavirus-pres-de-19-500-morts-en-espagne-la-confusion-regne-sur-les-chiffres-6811078" TargetMode="External"/><Relationship Id="rId40" Type="http://schemas.openxmlformats.org/officeDocument/2006/relationships/hyperlink" Target="https://www.gouvernement.fr/info-coronavirus/carte-et-donnees" TargetMode="External"/><Relationship Id="rId45" Type="http://schemas.openxmlformats.org/officeDocument/2006/relationships/drawing" Target="../drawings/drawing3.xml"/><Relationship Id="rId5" Type="http://schemas.openxmlformats.org/officeDocument/2006/relationships/hyperlink" Target="https://www.who.int/docs/default-source/coronaviruse/situation-reports/20200201-sitrep-12-ncov.pdf?sfvrsn=273c5d35_2" TargetMode="External"/><Relationship Id="rId15" Type="http://schemas.openxmlformats.org/officeDocument/2006/relationships/hyperlink" Target="https://www.who.int/docs/default-source/coronaviruse/situation-reports/20200223-sitrep-34-covid-19.pdf?sfvrsn=44ff8fd3_2" TargetMode="External"/><Relationship Id="rId23" Type="http://schemas.openxmlformats.org/officeDocument/2006/relationships/hyperlink" Target="https://www.laliberte.ch/news-agence/detail/coronavirus-mesures-pour-soutenir-l-economie-ruee-sur-les-masques/555971" TargetMode="External"/><Relationship Id="rId28" Type="http://schemas.openxmlformats.org/officeDocument/2006/relationships/hyperlink" Target="https://www.lefigaro.fr/sciences/coronavirus-premier-mort-en-norvege-20200312" TargetMode="External"/><Relationship Id="rId36" Type="http://schemas.openxmlformats.org/officeDocument/2006/relationships/hyperlink" Target="https://medicalxpress.com/news/2020-04-malta-coronavirus-death.html" TargetMode="External"/><Relationship Id="rId10" Type="http://schemas.openxmlformats.org/officeDocument/2006/relationships/hyperlink" Target="https://www.who.int/docs/default-source/coronaviruse/situation-reports/20200210-sitrep-21-ncov.pdf?sfvrsn=947679ef_2" TargetMode="External"/><Relationship Id="rId19" Type="http://schemas.openxmlformats.org/officeDocument/2006/relationships/hyperlink" Target="https://www.who.int/docs/default-source/coronaviruse/situation-reports/20200227-sitrep-38-covid-19.pdf?sfvrsn=9f98940c_2" TargetMode="External"/><Relationship Id="rId31" Type="http://schemas.openxmlformats.org/officeDocument/2006/relationships/hyperlink" Target="https://fr.sputniknews.com/international/202003251043384652-covid-19-en-continu-la-france-se-prepare-a-la-prolongation-du-confinement-les-restrictions-levees/" TargetMode="External"/><Relationship Id="rId44" Type="http://schemas.openxmlformats.org/officeDocument/2006/relationships/hyperlink" Target="https://countrymeters.info/fr/Iceland" TargetMode="External"/><Relationship Id="rId4" Type="http://schemas.openxmlformats.org/officeDocument/2006/relationships/hyperlink" Target="https://www.who.int/docs/default-source/coronaviruse/situation-reports/20200131-sitrep-11-ncov.pdf?sfvrsn=de7c0f7_4" TargetMode="External"/><Relationship Id="rId9" Type="http://schemas.openxmlformats.org/officeDocument/2006/relationships/hyperlink" Target="https://www.who.int/docs/default-source/coronaviruse/situation-reports/20200209-sitrep-20-ncov.pdf?sfvrsn=6f80d1b9_4" TargetMode="External"/><Relationship Id="rId14" Type="http://schemas.openxmlformats.org/officeDocument/2006/relationships/hyperlink" Target="https://www.who.int/docs/default-source/coronaviruse/situation-reports/20200222-sitrep-33-covid-19.pdf?sfvrsn=c9585c8f_4" TargetMode="External"/><Relationship Id="rId22" Type="http://schemas.openxmlformats.org/officeDocument/2006/relationships/hyperlink" Target="https://www.lesoir.be/284350/article/2020-03-03/premier-cas-de-coronavirus-confirme-en-ukraine" TargetMode="External"/><Relationship Id="rId27" Type="http://schemas.openxmlformats.org/officeDocument/2006/relationships/hyperlink" Target="http://www.leparisien.fr/societe/sante/coronavirus-25-deces-et-1412-cas-confirmes-en-france-09-03-2020-8276211.php" TargetMode="External"/><Relationship Id="rId30" Type="http://schemas.openxmlformats.org/officeDocument/2006/relationships/hyperlink" Target="https://www.lalibre.be/planete/sante/plus-de-7-800-morts-de-nombreux-pays-passent-en-confinement-et-ferment-leurs-frontieres-le-point-sur-l-epidemie-de-coronavirus-dans-le-monde-5e71d0c3d8ad582f31a33501" TargetMode="External"/><Relationship Id="rId35" Type="http://schemas.openxmlformats.org/officeDocument/2006/relationships/hyperlink" Target="https://www.regierung.li/media/attachments/168-corona-person-verstorben-0404.pdf?t=637216416685069383" TargetMode="External"/><Relationship Id="rId43" Type="http://schemas.openxmlformats.org/officeDocument/2006/relationships/hyperlink" Target="https://fr.wikipedia.org/wiki/Liste_des_%C3%89tats_du_monde_par_continent" TargetMode="External"/><Relationship Id="rId8" Type="http://schemas.openxmlformats.org/officeDocument/2006/relationships/hyperlink" Target="https://www.who.int/docs/default-source/coronaviruse/situation-reports/20200208-sitrep-19-ncov.pdf?sfvrsn=6e091ce6_4" TargetMode="External"/><Relationship Id="rId3" Type="http://schemas.openxmlformats.org/officeDocument/2006/relationships/hyperlink" Target="https://www.who.int/docs/default-source/coronaviruse/situation-reports/20200130-sitrep-10-ncov.pdf?sfvrsn=d0b2e480_2" TargetMode="External"/><Relationship Id="rId12" Type="http://schemas.openxmlformats.org/officeDocument/2006/relationships/hyperlink" Target="https://www.who.int/docs/default-source/coronaviruse/situation-reports/20200213-sitrep-24-covid-19.pdf?sfvrsn=9a7406a4_4" TargetMode="External"/><Relationship Id="rId17" Type="http://schemas.openxmlformats.org/officeDocument/2006/relationships/hyperlink" Target="https://www.who.int/docs/default-source/coronaviruse/situation-reports/20200225-sitrep-36-covid-19.pdf?sfvrsn=2791b4e0_2" TargetMode="External"/><Relationship Id="rId25" Type="http://schemas.openxmlformats.org/officeDocument/2006/relationships/hyperlink" Target="https://www.letemps.ch/monde/continu-19-cantons-touches-lepidemie-coronavirus" TargetMode="External"/><Relationship Id="rId33" Type="http://schemas.openxmlformats.org/officeDocument/2006/relationships/hyperlink" Target="https://www.nicematin.com/sante/coronavirus-un-premier-deces-enregistre-ce-samedi-a-monaco-487637" TargetMode="External"/><Relationship Id="rId38" Type="http://schemas.openxmlformats.org/officeDocument/2006/relationships/hyperlink" Target="https://www.regierung.li/coronavirus" TargetMode="External"/><Relationship Id="rId20" Type="http://schemas.openxmlformats.org/officeDocument/2006/relationships/hyperlink" Target="https://www.who.int/docs/default-source/coronaviruse/situation-reports/20200228-sitrep-39-covid-19.pdf?sfvrsn=5bbf3e7d_2" TargetMode="External"/><Relationship Id="rId41" Type="http://schemas.openxmlformats.org/officeDocument/2006/relationships/hyperlink" Target="https://coronavirus.jhu.edu/map.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lanationbenin.info/1er-cas-de-coronavirus-au-benin-le-ministre-de-la-sante-rassure-ses-concitoyens/" TargetMode="External"/><Relationship Id="rId13" Type="http://schemas.openxmlformats.org/officeDocument/2006/relationships/hyperlink" Target="https://www.banouto.info/article/bien-etre/20200406-coronavirus-au-bnin-un-premier-cas-de-dcs-officiel/" TargetMode="External"/><Relationship Id="rId18" Type="http://schemas.openxmlformats.org/officeDocument/2006/relationships/hyperlink" Target="https://www.lefigaro.fr/flash-actu/la-guinee-declare-son-premier-deces-du-coronavirus-20200414" TargetMode="External"/><Relationship Id="rId3" Type="http://schemas.openxmlformats.org/officeDocument/2006/relationships/hyperlink" Target="https://www.letemps.ch/monde/continu-19-cantons-touches-lepidemie-coronavirus" TargetMode="External"/><Relationship Id="rId21" Type="http://schemas.openxmlformats.org/officeDocument/2006/relationships/hyperlink" Target="http://who.maps.arcgis.com/apps/opsdashboard/index.html" TargetMode="External"/><Relationship Id="rId7" Type="http://schemas.openxmlformats.org/officeDocument/2006/relationships/hyperlink" Target="https://www.lexpress.mu/article/372422/covid-19-deux-cas-detectes-aux-seychelles" TargetMode="External"/><Relationship Id="rId12" Type="http://schemas.openxmlformats.org/officeDocument/2006/relationships/hyperlink" Target="https://www.africaradio.com/news/coronavirus-le-liberia-annonce-son-1er-deces-166216" TargetMode="External"/><Relationship Id="rId17" Type="http://schemas.openxmlformats.org/officeDocument/2006/relationships/hyperlink" Target="https://www.senenews.com/actualites/societe/1er-deces-au-burundi-masque-obligatoire-a-niamey-le-point-coronavirus-en-afrique-ce-dimanche_305540.html" TargetMode="External"/><Relationship Id="rId2" Type="http://schemas.openxmlformats.org/officeDocument/2006/relationships/hyperlink" Target="https://www.voaafrique.com/a/coronavirus-premier-cas-confirm%C3%A9-au-maroc/5312650.html" TargetMode="External"/><Relationship Id="rId16" Type="http://schemas.openxmlformats.org/officeDocument/2006/relationships/hyperlink" Target="https://fr.africanews.com/2020/04/09/coronavirus-djibouti-mise-a-jour-covid-19-09-avril-2020/" TargetMode="External"/><Relationship Id="rId20" Type="http://schemas.openxmlformats.org/officeDocument/2006/relationships/hyperlink" Target="https://coronavirus.jhu.edu/map.html" TargetMode="External"/><Relationship Id="rId1" Type="http://schemas.openxmlformats.org/officeDocument/2006/relationships/hyperlink" Target="http://www.leparisien.fr/societe/coronavirus-bilan-en-france-ecoles-fermees-mesure-de-precaution-suivez-en-direct-l-evolution-de-l-epidemie-02-03-2020-8270472.php" TargetMode="External"/><Relationship Id="rId6" Type="http://schemas.openxmlformats.org/officeDocument/2006/relationships/hyperlink" Target="https://fr.hespress.com/131867-coronavirus-1er-deces-au-maroc-lie-au-virus.html" TargetMode="External"/><Relationship Id="rId11" Type="http://schemas.openxmlformats.org/officeDocument/2006/relationships/hyperlink" Target="https://beninwebtv.com/2020/03/coronavirus-3-nouveaux-cas-confirmes-ce-samedi-au-togo/" TargetMode="External"/><Relationship Id="rId5" Type="http://schemas.openxmlformats.org/officeDocument/2006/relationships/hyperlink" Target="https://www.letemps.ch/monde/continu-19-cantons-touches-lepidemie-coronavirus" TargetMode="External"/><Relationship Id="rId15" Type="http://schemas.openxmlformats.org/officeDocument/2006/relationships/hyperlink" Target="https://www.africaradio.com/news/somalie-premier-deces-du-au-coronavirus-166390" TargetMode="External"/><Relationship Id="rId23" Type="http://schemas.openxmlformats.org/officeDocument/2006/relationships/drawing" Target="../drawings/drawing4.xml"/><Relationship Id="rId10" Type="http://schemas.openxmlformats.org/officeDocument/2006/relationships/hyperlink" Target="https://www.aa.com.tr/fr/afrique/lafrique-du-sud-annonce-les-deux-premiers-d%C3%A9c%C3%A8s-dus-au-coronavirus/1781805" TargetMode="External"/><Relationship Id="rId19" Type="http://schemas.openxmlformats.org/officeDocument/2006/relationships/hyperlink" Target="https://www.ouest-france.fr/sante/virus/coronavirus/coronavirus-plus-de-140-000-morts-dans-le-monde-depuis-le-debut-de-l-epidemie-6810264" TargetMode="External"/><Relationship Id="rId4" Type="http://schemas.openxmlformats.org/officeDocument/2006/relationships/hyperlink" Target="https://www.letemps.ch/monde/continu-19-cantons-touches-lepidemie-coronavirus" TargetMode="External"/><Relationship Id="rId9" Type="http://schemas.openxmlformats.org/officeDocument/2006/relationships/hyperlink" Target="https://www.panapress.com/Le-Kenya-enregistre-son-premier--a_630634410-lang1.html" TargetMode="External"/><Relationship Id="rId14" Type="http://schemas.openxmlformats.org/officeDocument/2006/relationships/hyperlink" Target="https://www.nyasatimes.com/first-coronavirus-death-confirmed-in-malawi/" TargetMode="External"/><Relationship Id="rId22" Type="http://schemas.openxmlformats.org/officeDocument/2006/relationships/hyperlink" Target="https://fr.wikipedia.org/wiki/Liste_des_%C3%89tats_du_monde_par_continent"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who.int/docs/default-source/coronaviruse/situation-reports/20200214-sitrep-25-covid-19.pdf?sfvrsn=61dda7d_2" TargetMode="External"/><Relationship Id="rId18" Type="http://schemas.openxmlformats.org/officeDocument/2006/relationships/hyperlink" Target="https://www.who.int/docs/default-source/coronaviruse/situation-reports/20200229-sitrep-40-covid-19.pdf?sfvrsn=849d0665_2" TargetMode="External"/><Relationship Id="rId26" Type="http://schemas.openxmlformats.org/officeDocument/2006/relationships/hyperlink" Target="https://www.franceguyane.fr/actualite/sante/coronavirus/covid-19-premier-mort-au-suriname-467132.php" TargetMode="External"/><Relationship Id="rId3" Type="http://schemas.openxmlformats.org/officeDocument/2006/relationships/hyperlink" Target="https://www.who.int/docs/default-source/coronaviruse/situation-reports/20200128-sitrep-8-ncov-cleared.pdf?sfvrsn=8b671ce5_2" TargetMode="External"/><Relationship Id="rId21" Type="http://schemas.openxmlformats.org/officeDocument/2006/relationships/hyperlink" Target="https://www.lalibre.be/dernieres-depeches/belga/coronavirus-premier-deces-du-au-covid-19-en-equateur-le-5e-en-amerique-latine-5e6c06d6d8ad582f31776d11" TargetMode="External"/><Relationship Id="rId34" Type="http://schemas.openxmlformats.org/officeDocument/2006/relationships/hyperlink" Target="https://countrymeters.info/fr/Iceland" TargetMode="External"/><Relationship Id="rId7" Type="http://schemas.openxmlformats.org/officeDocument/2006/relationships/hyperlink" Target="https://www.who.int/docs/default-source/coronaviruse/situation-reports/20200203-sitrep-14-ncov.pdf?sfvrsn=f7347413_4" TargetMode="External"/><Relationship Id="rId12" Type="http://schemas.openxmlformats.org/officeDocument/2006/relationships/hyperlink" Target="https://www.who.int/docs/default-source/coronaviruse/situation-reports/20200213-sitrep-24-covid-19.pdf?sfvrsn=9a7406a4_4" TargetMode="External"/><Relationship Id="rId17" Type="http://schemas.openxmlformats.org/officeDocument/2006/relationships/hyperlink" Target="https://www.who.int/docs/default-source/coronaviruse/situation-reports/20200225-sitrep-36-covid-19.pdf?sfvrsn=2791b4e0_2" TargetMode="External"/><Relationship Id="rId25" Type="http://schemas.openxmlformats.org/officeDocument/2006/relationships/hyperlink" Target="https://www.swissinfo.ch/eng/reuters/nicaragua-reports-first-death-from-coronavirus/45647004" TargetMode="External"/><Relationship Id="rId33" Type="http://schemas.openxmlformats.org/officeDocument/2006/relationships/hyperlink" Target="https://fr.wikipedia.org/wiki/Liste_des_%C3%89tats_du_monde_par_continent" TargetMode="External"/><Relationship Id="rId2" Type="http://schemas.openxmlformats.org/officeDocument/2006/relationships/hyperlink" Target="https://www.who.int/docs/default-source/coronaviruse/situation-reports/20200127-sitrep-7-2019--ncov.pdf?sfvrsn=98ef79f5_2" TargetMode="External"/><Relationship Id="rId16" Type="http://schemas.openxmlformats.org/officeDocument/2006/relationships/hyperlink" Target="https://www.who.int/docs/default-source/coronaviruse/situation-reports/20200223-sitrep-34-covid-19.pdf?sfvrsn=44ff8fd3_2" TargetMode="External"/><Relationship Id="rId20" Type="http://schemas.openxmlformats.org/officeDocument/2006/relationships/hyperlink" Target="https://www.usnews.com/news/world/articles/2020-03-09/panamas-health-ministry-confirms-first-coronavirus-case" TargetMode="External"/><Relationship Id="rId29" Type="http://schemas.openxmlformats.org/officeDocument/2006/relationships/hyperlink" Target="https://www.lapresse.ca/international/202004/08/01-5268502-le-bilan-de-la-covid-19-grimpe-a-86-200-morts.php" TargetMode="External"/><Relationship Id="rId1" Type="http://schemas.openxmlformats.org/officeDocument/2006/relationships/hyperlink" Target="https://www.francetvinfo.fr/sante/maladie/coronavirus/coronavirus-un-cas-confirme-pres-de-seattle-aux-etats-unis_3794647.html" TargetMode="External"/><Relationship Id="rId6" Type="http://schemas.openxmlformats.org/officeDocument/2006/relationships/hyperlink" Target="https://www.who.int/docs/default-source/coronaviruse/situation-reports/20200201-sitrep-12-ncov.pdf?sfvrsn=273c5d35_2" TargetMode="External"/><Relationship Id="rId11" Type="http://schemas.openxmlformats.org/officeDocument/2006/relationships/hyperlink" Target="https://www.who.int/docs/default-source/coronaviruse/situation-reports/20200211-sitrep-22-ncov.pdf?sfvrsn=fb6d49b1_2" TargetMode="External"/><Relationship Id="rId24" Type="http://schemas.openxmlformats.org/officeDocument/2006/relationships/hyperlink" Target="https://www.caracaschronicles.com/2020/03/27/first-coronavirus-death-in-venezuela/" TargetMode="External"/><Relationship Id="rId32" Type="http://schemas.openxmlformats.org/officeDocument/2006/relationships/hyperlink" Target="http://who.maps.arcgis.com/apps/opsdashboard/index.html" TargetMode="External"/><Relationship Id="rId5" Type="http://schemas.openxmlformats.org/officeDocument/2006/relationships/hyperlink" Target="https://www.who.int/docs/default-source/coronaviruse/situation-reports/20200131-sitrep-11-ncov.pdf?sfvrsn=de7c0f7_4" TargetMode="External"/><Relationship Id="rId15" Type="http://schemas.openxmlformats.org/officeDocument/2006/relationships/hyperlink" Target="https://www.who.int/docs/default-source/coronaviruse/situation-reports/20200222-sitrep-33-covid-19.pdf?sfvrsn=c9585c8f_4" TargetMode="External"/><Relationship Id="rId23" Type="http://schemas.openxmlformats.org/officeDocument/2006/relationships/hyperlink" Target="https://www.lefigaro.fr/flash-actu/coronavirus-premier-deces-lie-a-saint-martin-en-outre-mer-20200330" TargetMode="External"/><Relationship Id="rId28" Type="http://schemas.openxmlformats.org/officeDocument/2006/relationships/hyperlink" Target="http://www.hpnhaiti.com/nouvelles/index.php/societe/53-sante/7226-haiti-covid-19-1-premier-deces-du-au-coronavirus-en-haiti-21-cas-positifs" TargetMode="External"/><Relationship Id="rId10" Type="http://schemas.openxmlformats.org/officeDocument/2006/relationships/hyperlink" Target="https://www.who.int/docs/default-source/coronaviruse/situation-reports/20200207-sitrep-18-ncov.pdf?sfvrsn=fa644293_2" TargetMode="External"/><Relationship Id="rId19" Type="http://schemas.openxmlformats.org/officeDocument/2006/relationships/hyperlink" Target="https://www.rtbf.be/info/societe/detail_l-equateur-annonce-son-premier-cas-de-covid-19?id=10444504" TargetMode="External"/><Relationship Id="rId31" Type="http://schemas.openxmlformats.org/officeDocument/2006/relationships/hyperlink" Target="https://coronavirus.jhu.edu/map.html" TargetMode="External"/><Relationship Id="rId4" Type="http://schemas.openxmlformats.org/officeDocument/2006/relationships/hyperlink" Target="https://www.who.int/docs/default-source/coronaviruse/situation-reports/20200129-sitrep-9-ncov-v2.pdf?sfvrsn=e2c8915_2" TargetMode="External"/><Relationship Id="rId9" Type="http://schemas.openxmlformats.org/officeDocument/2006/relationships/hyperlink" Target="https://www.who.int/docs/default-source/coronaviruse/situation-reports/20200206-sitrep-17-ncov.pdf?sfvrsn=17f0dca_4" TargetMode="External"/><Relationship Id="rId14" Type="http://schemas.openxmlformats.org/officeDocument/2006/relationships/hyperlink" Target="https://www.who.int/docs/default-source/coronaviruse/situation-reports/20200218-sitrep-29-covid-19.pdf?sfvrsn=6262de9e_2" TargetMode="External"/><Relationship Id="rId22" Type="http://schemas.openxmlformats.org/officeDocument/2006/relationships/hyperlink" Target="https://www.breakingbelizenews.com/2020/03/23/belize-confirms-first-case-of-coronavirus-cuban-doctors-arriving-to-help/" TargetMode="External"/><Relationship Id="rId27" Type="http://schemas.openxmlformats.org/officeDocument/2006/relationships/hyperlink" Target="https://la1ere.francetvinfo.fr/polynesie/coronavirus-1er-cas-a-saint-pierre-et-miquelon-819942.html" TargetMode="External"/><Relationship Id="rId30" Type="http://schemas.openxmlformats.org/officeDocument/2006/relationships/hyperlink" Target="https://www.swissinfo.ch/eng/reuters/el-salvador-registers-country-s-first-coronavirus-death/45658360" TargetMode="External"/><Relationship Id="rId35" Type="http://schemas.openxmlformats.org/officeDocument/2006/relationships/drawing" Target="../drawings/drawing5.xml"/><Relationship Id="rId8" Type="http://schemas.openxmlformats.org/officeDocument/2006/relationships/hyperlink" Target="https://www.who.int/docs/default-source/coronaviruse/situation-reports/20200205-sitrep-16-ncov.pdf?sfvrsn=23af287f_4"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www.letemps.ch/monde/jour-lurgence-sanitaire-internationale-declaree-suivi-jeudi-30-janvier" TargetMode="External"/><Relationship Id="rId18" Type="http://schemas.openxmlformats.org/officeDocument/2006/relationships/hyperlink" Target="https://www.who.int/docs/default-source/coronaviruse/situation-reports/20200205-sitrep-16-ncov.pdf?sfvrsn=23af287f_4" TargetMode="External"/><Relationship Id="rId26" Type="http://schemas.openxmlformats.org/officeDocument/2006/relationships/hyperlink" Target="https://www.who.int/docs/default-source/coronaviruse/situation-reports/20200214-sitrep-25-covid-19.pdf?sfvrsn=61dda7d_2" TargetMode="External"/><Relationship Id="rId39" Type="http://schemas.openxmlformats.org/officeDocument/2006/relationships/hyperlink" Target="https://www.who.int/docs/default-source/coronaviruse/situation-reports/20200229-sitrep-40-covid-19.pdf?sfvrsn=849d0665_2" TargetMode="External"/><Relationship Id="rId21" Type="http://schemas.openxmlformats.org/officeDocument/2006/relationships/hyperlink" Target="https://www.who.int/docs/default-source/coronaviruse/situation-reports/20200208-sitrep-19-ncov.pdf?sfvrsn=6e091ce6_4" TargetMode="External"/><Relationship Id="rId34" Type="http://schemas.openxmlformats.org/officeDocument/2006/relationships/hyperlink" Target="https://www.who.int/docs/default-source/coronaviruse/situation-reports/20200224-sitrep-35-covid-19.pdf?sfvrsn=1ac4218d_2" TargetMode="External"/><Relationship Id="rId42" Type="http://schemas.openxmlformats.org/officeDocument/2006/relationships/hyperlink" Target="https://www.letemps.ch/monde/continu-19-cantons-touches-lepidemie-coronavirus" TargetMode="External"/><Relationship Id="rId47" Type="http://schemas.openxmlformats.org/officeDocument/2006/relationships/hyperlink" Target="https://www.who.int/docs/default-source/coronaviruse/situation-reports/20200324-sitrep-64-covid-19.pdf?sfvrsn=723b221e_2" TargetMode="External"/><Relationship Id="rId50" Type="http://schemas.openxmlformats.org/officeDocument/2006/relationships/hyperlink" Target="https://www.bfmtv.com/sante/en-direct-coronavirus-le-bilan-francais-passe-a-2314-morts-les-seniors-en-isolement-individuel-en-ephad/" TargetMode="External"/><Relationship Id="rId55" Type="http://schemas.openxmlformats.org/officeDocument/2006/relationships/hyperlink" Target="http://who.maps.arcgis.com/apps/opsdashboard/index.html" TargetMode="External"/><Relationship Id="rId7" Type="http://schemas.openxmlformats.org/officeDocument/2006/relationships/hyperlink" Target="https://www.who.int/docs/default-source/coronaviruse/situation-reports/20200125-sitrep-5-2019-ncov.pdf?sfvrsn=429b143d_8" TargetMode="External"/><Relationship Id="rId2" Type="http://schemas.openxmlformats.org/officeDocument/2006/relationships/hyperlink" Target="https://www.who.int/csr/don/14-january-2020-novel-coronavirus-thailand-ex-china/fr/" TargetMode="External"/><Relationship Id="rId16" Type="http://schemas.openxmlformats.org/officeDocument/2006/relationships/hyperlink" Target="https://www.who.int/docs/default-source/coronaviruse/situation-reports/20200203-sitrep-14-ncov.pdf?sfvrsn=f7347413_4" TargetMode="External"/><Relationship Id="rId29" Type="http://schemas.openxmlformats.org/officeDocument/2006/relationships/hyperlink" Target="https://www.who.int/docs/default-source/coronaviruse/situation-reports/20200218-sitrep-29-covid-19.pdf?sfvrsn=6262de9e_2" TargetMode="External"/><Relationship Id="rId11" Type="http://schemas.openxmlformats.org/officeDocument/2006/relationships/hyperlink" Target="https://www.who.int/docs/default-source/coronaviruse/situation-reports/20200129-sitrep-9-ncov-v2.pdf?sfvrsn=e2c8915_2" TargetMode="External"/><Relationship Id="rId24" Type="http://schemas.openxmlformats.org/officeDocument/2006/relationships/hyperlink" Target="https://www.who.int/docs/default-source/coronaviruse/situation-reports/20200211-sitrep-22-ncov.pdf?sfvrsn=fb6d49b1_2" TargetMode="External"/><Relationship Id="rId32" Type="http://schemas.openxmlformats.org/officeDocument/2006/relationships/hyperlink" Target="https://www.who.int/docs/default-source/coronaviruse/situation-reports/20200222-sitrep-33-covid-19.pdf?sfvrsn=c9585c8f_4" TargetMode="External"/><Relationship Id="rId37" Type="http://schemas.openxmlformats.org/officeDocument/2006/relationships/hyperlink" Target="https://www.who.int/docs/default-source/coronaviruse/situation-reports/20200227-sitrep-38-covid-19.pdf?sfvrsn=9f98940c_2" TargetMode="External"/><Relationship Id="rId40" Type="http://schemas.openxmlformats.org/officeDocument/2006/relationships/hyperlink" Target="https://www.who.int/docs/default-source/coronaviruse/situation-reports/20200301-sitrep-41-covid-19.pdf?sfvrsn=6768306d_2" TargetMode="External"/><Relationship Id="rId45" Type="http://schemas.openxmlformats.org/officeDocument/2006/relationships/hyperlink" Target="https://www.aa.com.tr/en/asia-pacific/pakistan-confirms-2-deaths-from-coronavirus/1771081" TargetMode="External"/><Relationship Id="rId53" Type="http://schemas.openxmlformats.org/officeDocument/2006/relationships/hyperlink" Target="https://www.lepoint.fr/monde/premier-cas-de-coronavirus-au-yemen-en-guerre-10-04-2020-2370865_24.php" TargetMode="External"/><Relationship Id="rId5" Type="http://schemas.openxmlformats.org/officeDocument/2006/relationships/hyperlink" Target="https://www.who.int/docs/default-source/coronaviruse/situation-reports/20200123-sitrep-3-2019-ncov.pdf?sfvrsn=d6d23643_8" TargetMode="External"/><Relationship Id="rId19" Type="http://schemas.openxmlformats.org/officeDocument/2006/relationships/hyperlink" Target="https://www.who.int/docs/default-source/coronaviruse/situation-reports/20200206-sitrep-17-ncov.pdf?sfvrsn=17f0dca_4" TargetMode="External"/><Relationship Id="rId4" Type="http://schemas.openxmlformats.org/officeDocument/2006/relationships/hyperlink" Target="https://www.who.int/docs/default-source/coronaviruse/situation-reports/20200121-sitrep-1-2019-ncov.pdf?sfvrsn=20a99c10_4" TargetMode="External"/><Relationship Id="rId9" Type="http://schemas.openxmlformats.org/officeDocument/2006/relationships/hyperlink" Target="https://www.who.int/docs/default-source/coronaviruse/situation-reports/20200127-sitrep-7-2019--ncov.pdf?sfvrsn=98ef79f5_2" TargetMode="External"/><Relationship Id="rId14" Type="http://schemas.openxmlformats.org/officeDocument/2006/relationships/hyperlink" Target="https://www.who.int/docs/default-source/coronaviruse/situation-reports/20200201-sitrep-12-ncov.pdf?sfvrsn=273c5d35_2" TargetMode="External"/><Relationship Id="rId22" Type="http://schemas.openxmlformats.org/officeDocument/2006/relationships/hyperlink" Target="https://www.who.int/docs/default-source/coronaviruse/situation-reports/20200209-sitrep-20-ncov.pdf?sfvrsn=6f80d1b9_4" TargetMode="External"/><Relationship Id="rId27" Type="http://schemas.openxmlformats.org/officeDocument/2006/relationships/hyperlink" Target="https://www.who.int/docs/default-source/coronaviruse/situation-reports/20200215-sitrep-26-covid-19.pdf?sfvrsn=a4cc6787_2" TargetMode="External"/><Relationship Id="rId30" Type="http://schemas.openxmlformats.org/officeDocument/2006/relationships/hyperlink" Target="https://www.who.int/docs/default-source/coronaviruse/situation-reports/20200220-sitrep-31-covid-19.pdf?sfvrsn=dfd11d24_2" TargetMode="External"/><Relationship Id="rId35" Type="http://schemas.openxmlformats.org/officeDocument/2006/relationships/hyperlink" Target="https://www.who.int/docs/default-source/coronaviruse/situation-reports/20200225-sitrep-36-covid-19.pdf?sfvrsn=2791b4e0_2" TargetMode="External"/><Relationship Id="rId43" Type="http://schemas.openxmlformats.org/officeDocument/2006/relationships/hyperlink" Target="https://www.novastan.org/fr/kazakhstan/coronavirus-le-kazakhstan-touche-premiers-cas-en-asie-centrale/" TargetMode="External"/><Relationship Id="rId48" Type="http://schemas.openxmlformats.org/officeDocument/2006/relationships/hyperlink" Target="https://francais.rt.com/international/73198-coronavirus-crainte-d-desastre-gaza-cinq-mort-en-israel-un-cisjordanie" TargetMode="External"/><Relationship Id="rId56" Type="http://schemas.openxmlformats.org/officeDocument/2006/relationships/hyperlink" Target="https://fr.wikipedia.org/wiki/Liste_des_%C3%89tats_du_monde_par_continent" TargetMode="External"/><Relationship Id="rId8" Type="http://schemas.openxmlformats.org/officeDocument/2006/relationships/hyperlink" Target="https://www.who.int/docs/default-source/coronaviruse/situation-reports/20200126-sitrep-6-2019--ncov.pdf?sfvrsn=beaeee0c_4" TargetMode="External"/><Relationship Id="rId51" Type="http://schemas.openxmlformats.org/officeDocument/2006/relationships/hyperlink" Target="https://azertag.az/fr/xeber/france-1453533" TargetMode="External"/><Relationship Id="rId3" Type="http://schemas.openxmlformats.org/officeDocument/2006/relationships/hyperlink" Target="https://www.who.int/docs/default-source/coronaviruse/situation-reports/20200121-sitrep-1-2019-ncov.pdf?sfvrsn=20a99c10_4" TargetMode="External"/><Relationship Id="rId12" Type="http://schemas.openxmlformats.org/officeDocument/2006/relationships/hyperlink" Target="https://www.who.int/docs/default-source/coronaviruse/situation-reports/20200130-sitrep-10-ncov.pdf?sfvrsn=d0b2e480_2" TargetMode="External"/><Relationship Id="rId17" Type="http://schemas.openxmlformats.org/officeDocument/2006/relationships/hyperlink" Target="https://www.who.int/docs/default-source/coronaviruse/situation-reports/20200204-sitrep-15-ncov.pdf?sfvrsn=88fe8ad6_4" TargetMode="External"/><Relationship Id="rId25" Type="http://schemas.openxmlformats.org/officeDocument/2006/relationships/hyperlink" Target="https://www.who.int/docs/default-source/coronaviruse/situation-reports/20200213-sitrep-24-covid-19.pdf?sfvrsn=9a7406a4_4" TargetMode="External"/><Relationship Id="rId33" Type="http://schemas.openxmlformats.org/officeDocument/2006/relationships/hyperlink" Target="https://www.who.int/docs/default-source/coronaviruse/situation-reports/20200223-sitrep-34-covid-19.pdf?sfvrsn=44ff8fd3_2" TargetMode="External"/><Relationship Id="rId38" Type="http://schemas.openxmlformats.org/officeDocument/2006/relationships/hyperlink" Target="https://www.who.int/docs/default-source/coronaviruse/situation-reports/20200228-sitrep-39-covid-19.pdf?sfvrsn=5bbf3e7d_2" TargetMode="External"/><Relationship Id="rId46" Type="http://schemas.openxmlformats.org/officeDocument/2006/relationships/hyperlink" Target="https://www.sudinfo.be/id174976/article/2020-03-20/coronavirus-deux-premiers-morts-aux-emirats-arabes-unis" TargetMode="External"/><Relationship Id="rId20" Type="http://schemas.openxmlformats.org/officeDocument/2006/relationships/hyperlink" Target="https://www.who.int/docs/default-source/coronaviruse/situation-reports/20200207-sitrep-18-ncov.pdf?sfvrsn=fa644293_2" TargetMode="External"/><Relationship Id="rId41" Type="http://schemas.openxmlformats.org/officeDocument/2006/relationships/hyperlink" Target="https://news.gnet.tn/la-jordanie-annonce-le-premier-cas-de-contamination-par-le-coronavirus-sur-son-territoire/" TargetMode="External"/><Relationship Id="rId54" Type="http://schemas.openxmlformats.org/officeDocument/2006/relationships/hyperlink" Target="https://coronavirus.jhu.edu/map.html" TargetMode="External"/><Relationship Id="rId1" Type="http://schemas.openxmlformats.org/officeDocument/2006/relationships/hyperlink" Target="https://pages.rts.ch/emissions/temps-present/11029337-coronavirus-enquete-aux-origines-du-desastre.html?fbclid=IwAR3q3tOZpMxGH1piEcL8sBngSFGlUj0Pfw5p0Q2g302drWBabGM1CY-VQqU" TargetMode="External"/><Relationship Id="rId6" Type="http://schemas.openxmlformats.org/officeDocument/2006/relationships/hyperlink" Target="https://www.who.int/docs/default-source/coronaviruse/situation-reports/20200124-sitrep-4-2019-ncov.pdf?sfvrsn=9272d086_8" TargetMode="External"/><Relationship Id="rId15" Type="http://schemas.openxmlformats.org/officeDocument/2006/relationships/hyperlink" Target="https://www.who.int/docs/default-source/coronaviruse/situation-reports/20200202-sitrep-13-ncov-v3.pdf?sfvrsn=195f4010_6" TargetMode="External"/><Relationship Id="rId23" Type="http://schemas.openxmlformats.org/officeDocument/2006/relationships/hyperlink" Target="https://www.who.int/docs/default-source/coronaviruse/situation-reports/20200210-sitrep-21-ncov.pdf?sfvrsn=947679ef_2" TargetMode="External"/><Relationship Id="rId28" Type="http://schemas.openxmlformats.org/officeDocument/2006/relationships/hyperlink" Target="https://www.who.int/docs/default-source/coronaviruse/situation-reports/20200217-sitrep-28-covid-19.pdf?sfvrsn=a19cf2ad_2" TargetMode="External"/><Relationship Id="rId36" Type="http://schemas.openxmlformats.org/officeDocument/2006/relationships/hyperlink" Target="https://www.who.int/docs/default-source/coronaviruse/situation-reports/20200226-sitrep-37-covid-19.pdf?sfvrsn=2146841e_2" TargetMode="External"/><Relationship Id="rId49" Type="http://schemas.openxmlformats.org/officeDocument/2006/relationships/hyperlink" Target="https://www.swissinfo.ch/eng/reuters/uzbekistan-reports-first-coronavirus-death-as-it-widens-lockdowns/45648772" TargetMode="External"/><Relationship Id="rId57" Type="http://schemas.openxmlformats.org/officeDocument/2006/relationships/drawing" Target="../drawings/drawing6.xml"/><Relationship Id="rId10" Type="http://schemas.openxmlformats.org/officeDocument/2006/relationships/hyperlink" Target="https://www.who.int/docs/default-source/coronaviruse/situation-reports/20200128-sitrep-8-ncov-cleared.pdf?sfvrsn=8b671ce5_2" TargetMode="External"/><Relationship Id="rId31" Type="http://schemas.openxmlformats.org/officeDocument/2006/relationships/hyperlink" Target="https://www.who.int/docs/default-source/coronaviruse/situation-reports/20200221-sitrep-32-covid-19.pdf?sfvrsn=4802d089_2" TargetMode="External"/><Relationship Id="rId44" Type="http://schemas.openxmlformats.org/officeDocument/2006/relationships/hyperlink" Target="https://www.aa.com.tr/en/asia-pacific/bahrain-reports-first-coronavirus-death/1767582" TargetMode="External"/><Relationship Id="rId52" Type="http://schemas.openxmlformats.org/officeDocument/2006/relationships/hyperlink" Target="https://www.middleeasteye.net/news/coronavirus-kuwait-reports-first-death-covid-19-cases-near-500"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who.int/docs/default-source/coronaviruse/situation-reports/20200214-sitrep-25-covid-19.pdf?sfvrsn=61dda7d_2" TargetMode="External"/><Relationship Id="rId18" Type="http://schemas.openxmlformats.org/officeDocument/2006/relationships/hyperlink" Target="https://www.who.int/docs/default-source/coronaviruse/situation-reports/20200221-sitrep-32-covid-19.pdf?sfvrsn=4802d089_2" TargetMode="External"/><Relationship Id="rId26" Type="http://schemas.openxmlformats.org/officeDocument/2006/relationships/hyperlink" Target="https://www.who.int/docs/default-source/coronaviruse/situation-reports/20200302-sitrep-42-covid-19.pdf?sfvrsn=224c1add_2" TargetMode="External"/><Relationship Id="rId39" Type="http://schemas.openxmlformats.org/officeDocument/2006/relationships/drawing" Target="../drawings/drawing7.xml"/><Relationship Id="rId21" Type="http://schemas.openxmlformats.org/officeDocument/2006/relationships/hyperlink" Target="https://www.who.int/docs/default-source/coronaviruse/situation-reports/20200224-sitrep-35-covid-19.pdf?sfvrsn=1ac4218d_2" TargetMode="External"/><Relationship Id="rId34" Type="http://schemas.openxmlformats.org/officeDocument/2006/relationships/hyperlink" Target="https://france3-regions.francetvinfo.fr/bretagne/coronavirus-passagers-paquebots-zaandam-rotherdam-ont-accoste-floride-1810996.html" TargetMode="External"/><Relationship Id="rId7" Type="http://schemas.openxmlformats.org/officeDocument/2006/relationships/hyperlink" Target="https://www.who.int/docs/default-source/coronaviruse/situation-reports/20200206-sitrep-17-ncov.pdf?sfvrsn=17f0dca_4" TargetMode="External"/><Relationship Id="rId12" Type="http://schemas.openxmlformats.org/officeDocument/2006/relationships/hyperlink" Target="https://www.who.int/docs/default-source/coronaviruse/situation-reports/20200212-sitrep-23-ncov.pdf?sfvrsn=41e9fb78_4" TargetMode="External"/><Relationship Id="rId17" Type="http://schemas.openxmlformats.org/officeDocument/2006/relationships/hyperlink" Target="https://www.who.int/docs/default-source/coronaviruse/situation-reports/20200220-sitrep-31-covid-19.pdf?sfvrsn=dfd11d24_2" TargetMode="External"/><Relationship Id="rId25" Type="http://schemas.openxmlformats.org/officeDocument/2006/relationships/hyperlink" Target="https://www.who.int/docs/default-source/coronaviruse/situation-reports/20200229-sitrep-40-covid-19.pdf?sfvrsn=849d0665_2" TargetMode="External"/><Relationship Id="rId33" Type="http://schemas.openxmlformats.org/officeDocument/2006/relationships/hyperlink" Target="https://time.com/5813775/cruise-ships-coast-guard-coronavirus/" TargetMode="External"/><Relationship Id="rId38" Type="http://schemas.openxmlformats.org/officeDocument/2006/relationships/hyperlink" Target="https://fr.wikipedia.org/wiki/Liste_des_%C3%89tats_du_monde_par_continent" TargetMode="External"/><Relationship Id="rId2" Type="http://schemas.openxmlformats.org/officeDocument/2006/relationships/hyperlink" Target="https://www.who.int/docs/default-source/coronaviruse/situation-reports/20200127-sitrep-7-2019--ncov.pdf?sfvrsn=98ef79f5_2" TargetMode="External"/><Relationship Id="rId16" Type="http://schemas.openxmlformats.org/officeDocument/2006/relationships/hyperlink" Target="https://www.who.int/docs/default-source/coronaviruse/situation-reports/20200219-sitrep-30-covid-19.pdf?sfvrsn=3346b04f_2" TargetMode="External"/><Relationship Id="rId20" Type="http://schemas.openxmlformats.org/officeDocument/2006/relationships/hyperlink" Target="https://www.who.int/docs/default-source/coronaviruse/situation-reports/20200223-sitrep-34-covid-19.pdf?sfvrsn=44ff8fd3_2" TargetMode="External"/><Relationship Id="rId29" Type="http://schemas.openxmlformats.org/officeDocument/2006/relationships/hyperlink" Target="http://www.leparisien.fr/societe/coronavirus-deux-premiers-cas-confirmes-en-nouvelle-caledonie-18-03-2020-8282760.php" TargetMode="External"/><Relationship Id="rId1" Type="http://schemas.openxmlformats.org/officeDocument/2006/relationships/hyperlink" Target="https://www.who.int/docs/default-source/coronaviruse/situation-reports/20200125-sitrep-5-2019-ncov.pdf?sfvrsn=429b143d_8" TargetMode="External"/><Relationship Id="rId6" Type="http://schemas.openxmlformats.org/officeDocument/2006/relationships/hyperlink" Target="https://www.who.int/docs/default-source/coronaviruse/situation-reports/20200201-sitrep-12-ncov.pdf?sfvrsn=273c5d35_2" TargetMode="External"/><Relationship Id="rId11" Type="http://schemas.openxmlformats.org/officeDocument/2006/relationships/hyperlink" Target="https://www.who.int/docs/default-source/coronaviruse/situation-reports/20200211-sitrep-22-ncov.pdf?sfvrsn=fb6d49b1_2" TargetMode="External"/><Relationship Id="rId24" Type="http://schemas.openxmlformats.org/officeDocument/2006/relationships/hyperlink" Target="https://www.who.int/docs/default-source/coronaviruse/situation-reports/20200228-sitrep-39-covid-19.pdf?sfvrsn=5bbf3e7d_2" TargetMode="External"/><Relationship Id="rId32" Type="http://schemas.openxmlformats.org/officeDocument/2006/relationships/hyperlink" Target="https://www.theguardian.com/world/2020/mar/29/new-zealand-first-coronavirus-death-is-woman-in-70s" TargetMode="External"/><Relationship Id="rId37" Type="http://schemas.openxmlformats.org/officeDocument/2006/relationships/hyperlink" Target="http://who.maps.arcgis.com/apps/opsdashboard/index.html" TargetMode="External"/><Relationship Id="rId5" Type="http://schemas.openxmlformats.org/officeDocument/2006/relationships/hyperlink" Target="https://www.who.int/docs/default-source/coronaviruse/situation-reports/20200131-sitrep-11-ncov.pdf?sfvrsn=de7c0f7_4" TargetMode="External"/><Relationship Id="rId15" Type="http://schemas.openxmlformats.org/officeDocument/2006/relationships/hyperlink" Target="https://www.who.int/docs/default-source/coronaviruse/situation-reports/20200217-sitrep-28-covid-19.pdf?sfvrsn=a19cf2ad_2" TargetMode="External"/><Relationship Id="rId23" Type="http://schemas.openxmlformats.org/officeDocument/2006/relationships/hyperlink" Target="https://www.who.int/docs/default-source/coronaviruse/situation-reports/20200227-sitrep-38-covid-19.pdf?sfvrsn=9f98940c_2" TargetMode="External"/><Relationship Id="rId28" Type="http://schemas.openxmlformats.org/officeDocument/2006/relationships/hyperlink" Target="https://www.rnz.co.nz/international/pacific-news/411810/covid-19-three-cases-confirmed-on-guam-emergency-declared" TargetMode="External"/><Relationship Id="rId36" Type="http://schemas.openxmlformats.org/officeDocument/2006/relationships/hyperlink" Target="https://coronavirus.jhu.edu/map.html" TargetMode="External"/><Relationship Id="rId10" Type="http://schemas.openxmlformats.org/officeDocument/2006/relationships/hyperlink" Target="https://www.who.int/docs/default-source/coronaviruse/situation-reports/20200210-sitrep-21-ncov.pdf?sfvrsn=947679ef_2" TargetMode="External"/><Relationship Id="rId19" Type="http://schemas.openxmlformats.org/officeDocument/2006/relationships/hyperlink" Target="https://www.who.int/docs/default-source/coronaviruse/situation-reports/20200222-sitrep-33-covid-19.pdf?sfvrsn=c9585c8f_4" TargetMode="External"/><Relationship Id="rId31" Type="http://schemas.openxmlformats.org/officeDocument/2006/relationships/hyperlink" Target="https://www.bbc.com/news/world-latin-america-52072703" TargetMode="External"/><Relationship Id="rId4" Type="http://schemas.openxmlformats.org/officeDocument/2006/relationships/hyperlink" Target="https://www.who.int/docs/default-source/coronaviruse/situation-reports/20200129-sitrep-9-ncov-v2.pdf?sfvrsn=e2c8915_2" TargetMode="External"/><Relationship Id="rId9" Type="http://schemas.openxmlformats.org/officeDocument/2006/relationships/hyperlink" Target="https://www.who.int/docs/default-source/coronaviruse/situation-reports/20200208-sitrep-19-ncov.pdf?sfvrsn=6e091ce6_4" TargetMode="External"/><Relationship Id="rId14" Type="http://schemas.openxmlformats.org/officeDocument/2006/relationships/hyperlink" Target="https://www.who.int/docs/default-source/coronaviruse/situation-reports/20200216-sitrep-27-covid-19.pdf?sfvrsn=78c0eb78_4" TargetMode="External"/><Relationship Id="rId22" Type="http://schemas.openxmlformats.org/officeDocument/2006/relationships/hyperlink" Target="https://www.who.int/docs/default-source/coronaviruse/situation-reports/20200226-sitrep-37-covid-19.pdf?sfvrsn=2146841e_2" TargetMode="External"/><Relationship Id="rId27" Type="http://schemas.openxmlformats.org/officeDocument/2006/relationships/hyperlink" Target="https://la1ere.francetvinfo.fr/polynesie/tuamotu-gambier/fakarava/deux-nouveaux-cas-coronavirus-polynesie-810352.html" TargetMode="External"/><Relationship Id="rId30" Type="http://schemas.openxmlformats.org/officeDocument/2006/relationships/hyperlink" Target="https://www.tahiti-infos.com/Premier-cas-de-coronavirus-aux-Fidji-une-ville-confinee_a189688.html" TargetMode="External"/><Relationship Id="rId35" Type="http://schemas.openxmlformats.org/officeDocument/2006/relationships/hyperlink" Target="https://gouv.nc/coronavirus" TargetMode="External"/><Relationship Id="rId8" Type="http://schemas.openxmlformats.org/officeDocument/2006/relationships/hyperlink" Target="https://www.who.int/docs/default-source/coronaviruse/situation-reports/20200207-sitrep-18-ncov.pdf?sfvrsn=fa644293_2" TargetMode="External"/><Relationship Id="rId3" Type="http://schemas.openxmlformats.org/officeDocument/2006/relationships/hyperlink" Target="https://www.who.int/docs/default-source/coronaviruse/situation-reports/20200128-sitrep-8-ncov-cleared.pdf?sfvrsn=8b671ce5_2"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www.businessinsider.fr/voici-les-taux-de-mortalite-du-coronavirus-selon-les-tranches-dage/?fbclid=IwAR1QyMtlb5aSwKw8McK4KHN-c94PjPQnf0baZe50Sp7TLfzOvT6XDufANfY" TargetMode="External"/><Relationship Id="rId1" Type="http://schemas.openxmlformats.org/officeDocument/2006/relationships/hyperlink" Target="https://www.media-stat.admin.ch/animated/chart/01pyramid/ga-q-01.03.02-dashboard.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4"/>
  <sheetViews>
    <sheetView tabSelected="1" workbookViewId="0">
      <pane xSplit="1" ySplit="3" topLeftCell="B4" activePane="bottomRight" state="frozen"/>
      <selection pane="topRight" activeCell="B1" sqref="B1"/>
      <selection pane="bottomLeft" activeCell="A7" sqref="A7"/>
      <selection pane="bottomRight" activeCell="J35" sqref="J35"/>
    </sheetView>
  </sheetViews>
  <sheetFormatPr baseColWidth="10" defaultColWidth="14.42578125" defaultRowHeight="15.75" customHeight="1"/>
  <cols>
    <col min="1" max="1" width="22.28515625" customWidth="1"/>
    <col min="2" max="22" width="8.7109375" customWidth="1"/>
  </cols>
  <sheetData>
    <row r="1" spans="1:25" ht="12.75" customHeight="1">
      <c r="A1" s="680" t="s">
        <v>1258</v>
      </c>
      <c r="B1" s="530" t="s">
        <v>1</v>
      </c>
      <c r="C1" s="530"/>
      <c r="D1" s="530"/>
      <c r="E1" s="530" t="s">
        <v>2</v>
      </c>
      <c r="F1" s="530"/>
      <c r="G1" s="682"/>
      <c r="H1" s="683" t="s">
        <v>1259</v>
      </c>
      <c r="I1" s="685"/>
      <c r="J1" s="684"/>
      <c r="K1" s="607" t="s">
        <v>3</v>
      </c>
      <c r="L1" s="686"/>
      <c r="M1" s="682"/>
      <c r="N1" s="607" t="s">
        <v>4</v>
      </c>
      <c r="O1" s="686"/>
      <c r="P1" s="682"/>
      <c r="Q1" s="683" t="s">
        <v>1260</v>
      </c>
      <c r="R1" s="685"/>
      <c r="S1" s="684"/>
      <c r="T1" s="607" t="s">
        <v>5</v>
      </c>
      <c r="U1" s="686"/>
      <c r="V1" s="686"/>
    </row>
    <row r="2" spans="1:25" ht="12.75" customHeight="1">
      <c r="A2" s="531"/>
      <c r="B2" s="530"/>
      <c r="C2" s="530"/>
      <c r="D2" s="530"/>
      <c r="E2" s="530"/>
      <c r="F2" s="530"/>
      <c r="G2" s="682"/>
      <c r="H2" s="683"/>
      <c r="I2" s="685"/>
      <c r="J2" s="684"/>
      <c r="K2" s="607"/>
      <c r="L2" s="686"/>
      <c r="M2" s="682"/>
      <c r="N2" s="607"/>
      <c r="O2" s="686"/>
      <c r="P2" s="682"/>
      <c r="Q2" s="683"/>
      <c r="R2" s="685"/>
      <c r="S2" s="684"/>
      <c r="T2" s="607"/>
      <c r="U2" s="686"/>
      <c r="V2" s="686"/>
    </row>
    <row r="3" spans="1:25" ht="18" customHeight="1">
      <c r="A3" s="531"/>
      <c r="B3" s="681" t="s">
        <v>1261</v>
      </c>
      <c r="C3" s="528" t="s">
        <v>9</v>
      </c>
      <c r="D3" s="529" t="s">
        <v>14</v>
      </c>
      <c r="E3" s="681" t="s">
        <v>1261</v>
      </c>
      <c r="F3" s="31" t="s">
        <v>9</v>
      </c>
      <c r="G3" s="32" t="s">
        <v>14</v>
      </c>
      <c r="H3" s="681" t="s">
        <v>1261</v>
      </c>
      <c r="I3" s="31" t="s">
        <v>9</v>
      </c>
      <c r="J3" s="32" t="s">
        <v>14</v>
      </c>
      <c r="K3" s="681" t="s">
        <v>1261</v>
      </c>
      <c r="L3" s="31" t="s">
        <v>9</v>
      </c>
      <c r="M3" s="32" t="s">
        <v>14</v>
      </c>
      <c r="N3" s="681" t="s">
        <v>1261</v>
      </c>
      <c r="O3" s="31" t="s">
        <v>9</v>
      </c>
      <c r="P3" s="32" t="s">
        <v>14</v>
      </c>
      <c r="Q3" s="681" t="s">
        <v>1261</v>
      </c>
      <c r="R3" s="31" t="s">
        <v>9</v>
      </c>
      <c r="S3" s="32" t="s">
        <v>14</v>
      </c>
      <c r="T3" s="681" t="s">
        <v>1261</v>
      </c>
      <c r="U3" s="31" t="s">
        <v>9</v>
      </c>
      <c r="V3" s="33" t="s">
        <v>14</v>
      </c>
    </row>
    <row r="4" spans="1:25" ht="12.75">
      <c r="A4" s="13">
        <v>43815</v>
      </c>
      <c r="B4" s="14">
        <f>SUM(E4,H4,K4,N4,Q4,T4)</f>
        <v>41</v>
      </c>
      <c r="C4" s="15">
        <f>SUM(F4,I4,L4,O4,R4,U4)</f>
        <v>0</v>
      </c>
      <c r="D4" s="15">
        <f>SUM(G4,J4,M4,P4,S4,V4)</f>
        <v>0</v>
      </c>
      <c r="E4" s="15">
        <f>Afrique!B6</f>
        <v>0</v>
      </c>
      <c r="F4" s="15">
        <f>Afrique!C6</f>
        <v>0</v>
      </c>
      <c r="G4" s="17">
        <f>Afrique!D6</f>
        <v>0</v>
      </c>
      <c r="H4" s="15">
        <f>Amérique!B6</f>
        <v>0</v>
      </c>
      <c r="I4" s="15">
        <f>Amérique!C6</f>
        <v>0</v>
      </c>
      <c r="J4" s="17">
        <f>Amérique!D6</f>
        <v>0</v>
      </c>
      <c r="K4" s="14">
        <f>Asie!B6</f>
        <v>41</v>
      </c>
      <c r="L4" s="15">
        <f>Asie!C6</f>
        <v>0</v>
      </c>
      <c r="M4" s="17">
        <f>Asie!D6</f>
        <v>0</v>
      </c>
      <c r="N4" s="15">
        <f>Europe!B6</f>
        <v>0</v>
      </c>
      <c r="O4" s="15">
        <f>Europe!C6</f>
        <v>0</v>
      </c>
      <c r="P4" s="17">
        <f>Europe!D6</f>
        <v>0</v>
      </c>
      <c r="Q4" s="15">
        <f>Océanieautres!B6</f>
        <v>0</v>
      </c>
      <c r="R4" s="15">
        <f>Océanieautres!C6</f>
        <v>0</v>
      </c>
      <c r="S4" s="17">
        <f>Océanieautres!D6</f>
        <v>0</v>
      </c>
      <c r="T4" s="18">
        <f>Océanieautres!AB6</f>
        <v>0</v>
      </c>
      <c r="U4" s="18">
        <f>Océanieautres!AC6</f>
        <v>0</v>
      </c>
      <c r="V4" s="18">
        <f>Océanieautres!AD6</f>
        <v>0</v>
      </c>
    </row>
    <row r="5" spans="1:25" ht="13.5" thickBot="1">
      <c r="A5" s="20">
        <v>43830</v>
      </c>
      <c r="B5" s="21">
        <f>SUM(E5,H5,K5,N5,Q5,T5)</f>
        <v>41</v>
      </c>
      <c r="C5" s="22">
        <f>SUM(F5,I5,L5,O5,R5,U5)</f>
        <v>0</v>
      </c>
      <c r="D5" s="22">
        <f>SUM(G5,J5,M5,P5,S5,V5)</f>
        <v>0</v>
      </c>
      <c r="E5" s="22">
        <f>Afrique!B7</f>
        <v>0</v>
      </c>
      <c r="F5" s="22">
        <f>Afrique!C7</f>
        <v>0</v>
      </c>
      <c r="G5" s="24">
        <f>Afrique!D7</f>
        <v>0</v>
      </c>
      <c r="H5" s="22">
        <f>Amérique!B7</f>
        <v>0</v>
      </c>
      <c r="I5" s="22">
        <f>Amérique!C7</f>
        <v>0</v>
      </c>
      <c r="J5" s="24">
        <f>Amérique!D7</f>
        <v>0</v>
      </c>
      <c r="K5" s="21">
        <f>Asie!B7</f>
        <v>41</v>
      </c>
      <c r="L5" s="22">
        <f>Asie!C7</f>
        <v>0</v>
      </c>
      <c r="M5" s="24">
        <f>Asie!D7</f>
        <v>0</v>
      </c>
      <c r="N5" s="22">
        <f>Europe!B7</f>
        <v>0</v>
      </c>
      <c r="O5" s="22">
        <f>Europe!C7</f>
        <v>0</v>
      </c>
      <c r="P5" s="24">
        <f>Europe!D7</f>
        <v>0</v>
      </c>
      <c r="Q5" s="22">
        <f>Océanieautres!B7</f>
        <v>0</v>
      </c>
      <c r="R5" s="22">
        <f>Océanieautres!C7</f>
        <v>0</v>
      </c>
      <c r="S5" s="24">
        <f>Océanieautres!D7</f>
        <v>0</v>
      </c>
      <c r="T5" s="27">
        <f>Océanieautres!AB7</f>
        <v>0</v>
      </c>
      <c r="U5" s="27">
        <f>Océanieautres!AC7</f>
        <v>0</v>
      </c>
      <c r="V5" s="27">
        <f>Océanieautres!AD7</f>
        <v>0</v>
      </c>
    </row>
    <row r="6" spans="1:25" ht="12.75">
      <c r="A6" s="13">
        <v>43839</v>
      </c>
      <c r="B6" s="14">
        <f>SUM(E6,H6,K6,N6,Q6,T6)</f>
        <v>41</v>
      </c>
      <c r="C6" s="34">
        <f>SUM(F6,I6,L6,O6,R6,U6)</f>
        <v>1</v>
      </c>
      <c r="D6" s="15">
        <f>SUM(G6,J6,M6,P6,S6,V6)</f>
        <v>0</v>
      </c>
      <c r="E6" s="15">
        <f>Afrique!B8</f>
        <v>0</v>
      </c>
      <c r="F6" s="15">
        <f>Afrique!C8</f>
        <v>0</v>
      </c>
      <c r="G6" s="17">
        <f>Afrique!D8</f>
        <v>0</v>
      </c>
      <c r="H6" s="15">
        <f>Amérique!B8</f>
        <v>0</v>
      </c>
      <c r="I6" s="15">
        <f>Amérique!C8</f>
        <v>0</v>
      </c>
      <c r="J6" s="17">
        <f>Amérique!D8</f>
        <v>0</v>
      </c>
      <c r="K6" s="14">
        <f>Asie!B8</f>
        <v>41</v>
      </c>
      <c r="L6" s="34">
        <f>Asie!C8</f>
        <v>1</v>
      </c>
      <c r="M6" s="17">
        <f>Asie!D8</f>
        <v>0</v>
      </c>
      <c r="N6" s="15">
        <f>Europe!B8</f>
        <v>0</v>
      </c>
      <c r="O6" s="15">
        <f>Europe!C8</f>
        <v>0</v>
      </c>
      <c r="P6" s="17">
        <f>Europe!D8</f>
        <v>0</v>
      </c>
      <c r="Q6" s="15">
        <f>Océanieautres!B8</f>
        <v>0</v>
      </c>
      <c r="R6" s="15">
        <f>Océanieautres!C8</f>
        <v>0</v>
      </c>
      <c r="S6" s="17">
        <f>Océanieautres!D8</f>
        <v>0</v>
      </c>
      <c r="T6" s="18">
        <f>Océanieautres!AB8</f>
        <v>0</v>
      </c>
      <c r="U6" s="18">
        <f>Océanieautres!AC8</f>
        <v>0</v>
      </c>
      <c r="V6" s="18">
        <f>Océanieautres!AD8</f>
        <v>0</v>
      </c>
    </row>
    <row r="7" spans="1:25" ht="12.75">
      <c r="A7" s="13">
        <v>43840</v>
      </c>
      <c r="B7" s="14">
        <f>SUM(E7,H7,K7,N7,Q7,T7)</f>
        <v>41</v>
      </c>
      <c r="C7" s="34">
        <f>SUM(F7,I7,L7,O7,R7,U7)</f>
        <v>1</v>
      </c>
      <c r="D7" s="15">
        <f>SUM(G7,J7,M7,P7,S7,V7)</f>
        <v>0</v>
      </c>
      <c r="E7" s="15">
        <f>Afrique!B9</f>
        <v>0</v>
      </c>
      <c r="F7" s="15">
        <f>Afrique!C9</f>
        <v>0</v>
      </c>
      <c r="G7" s="17">
        <f>Afrique!D9</f>
        <v>0</v>
      </c>
      <c r="H7" s="15">
        <f>Amérique!B9</f>
        <v>0</v>
      </c>
      <c r="I7" s="15">
        <f>Amérique!C9</f>
        <v>0</v>
      </c>
      <c r="J7" s="17">
        <f>Amérique!D9</f>
        <v>0</v>
      </c>
      <c r="K7" s="14">
        <f>Asie!B9</f>
        <v>41</v>
      </c>
      <c r="L7" s="34">
        <f>Asie!C9</f>
        <v>1</v>
      </c>
      <c r="M7" s="17">
        <f>Asie!D9</f>
        <v>0</v>
      </c>
      <c r="N7" s="15">
        <f>Europe!B9</f>
        <v>0</v>
      </c>
      <c r="O7" s="15">
        <f>Europe!C9</f>
        <v>0</v>
      </c>
      <c r="P7" s="17">
        <f>Europe!D9</f>
        <v>0</v>
      </c>
      <c r="Q7" s="15">
        <f>Océanieautres!B9</f>
        <v>0</v>
      </c>
      <c r="R7" s="15">
        <f>Océanieautres!C9</f>
        <v>0</v>
      </c>
      <c r="S7" s="17">
        <f>Océanieautres!D9</f>
        <v>0</v>
      </c>
      <c r="T7" s="18">
        <f>Océanieautres!AB9</f>
        <v>0</v>
      </c>
      <c r="U7" s="18">
        <f>Océanieautres!AC9</f>
        <v>0</v>
      </c>
      <c r="V7" s="18">
        <f>Océanieautres!AD9</f>
        <v>0</v>
      </c>
    </row>
    <row r="8" spans="1:25" ht="12.75">
      <c r="A8" s="13">
        <v>43841</v>
      </c>
      <c r="B8" s="14">
        <f>SUM(E8,H8,K8,N8,Q8,T8)</f>
        <v>41</v>
      </c>
      <c r="C8" s="34">
        <f>SUM(F8,I8,L8,O8,R8,U8)</f>
        <v>1</v>
      </c>
      <c r="D8" s="15">
        <f>SUM(G8,J8,M8,P8,S8,V8)</f>
        <v>0</v>
      </c>
      <c r="E8" s="15">
        <f>Afrique!B10</f>
        <v>0</v>
      </c>
      <c r="F8" s="15">
        <f>Afrique!C10</f>
        <v>0</v>
      </c>
      <c r="G8" s="17">
        <f>Afrique!D10</f>
        <v>0</v>
      </c>
      <c r="H8" s="15">
        <f>Amérique!B10</f>
        <v>0</v>
      </c>
      <c r="I8" s="15">
        <f>Amérique!C10</f>
        <v>0</v>
      </c>
      <c r="J8" s="17">
        <f>Amérique!D10</f>
        <v>0</v>
      </c>
      <c r="K8" s="14">
        <f>Asie!B10</f>
        <v>41</v>
      </c>
      <c r="L8" s="34">
        <f>Asie!C10</f>
        <v>1</v>
      </c>
      <c r="M8" s="17">
        <f>Asie!D10</f>
        <v>0</v>
      </c>
      <c r="N8" s="15">
        <f>Europe!B10</f>
        <v>0</v>
      </c>
      <c r="O8" s="15">
        <f>Europe!C10</f>
        <v>0</v>
      </c>
      <c r="P8" s="17">
        <f>Europe!D10</f>
        <v>0</v>
      </c>
      <c r="Q8" s="15">
        <f>Océanieautres!B10</f>
        <v>0</v>
      </c>
      <c r="R8" s="15">
        <f>Océanieautres!C10</f>
        <v>0</v>
      </c>
      <c r="S8" s="17">
        <f>Océanieautres!D10</f>
        <v>0</v>
      </c>
      <c r="T8" s="18">
        <f>Océanieautres!AB10</f>
        <v>0</v>
      </c>
      <c r="U8" s="18">
        <f>Océanieautres!AC10</f>
        <v>0</v>
      </c>
      <c r="V8" s="18">
        <f>Océanieautres!AD10</f>
        <v>0</v>
      </c>
    </row>
    <row r="9" spans="1:25" ht="12.75">
      <c r="A9" s="13">
        <v>43842</v>
      </c>
      <c r="B9" s="14">
        <f>SUM(E9,H9,K9,N9,Q9,T9)</f>
        <v>41</v>
      </c>
      <c r="C9" s="34">
        <f>SUM(F9,I9,L9,O9,R9,U9)</f>
        <v>1</v>
      </c>
      <c r="D9" s="15">
        <f>SUM(G9,J9,M9,P9,S9,V9)</f>
        <v>0</v>
      </c>
      <c r="E9" s="15">
        <f>Afrique!B11</f>
        <v>0</v>
      </c>
      <c r="F9" s="15">
        <f>Afrique!C11</f>
        <v>0</v>
      </c>
      <c r="G9" s="17">
        <f>Afrique!D11</f>
        <v>0</v>
      </c>
      <c r="H9" s="15">
        <f>Amérique!B11</f>
        <v>0</v>
      </c>
      <c r="I9" s="15">
        <f>Amérique!C11</f>
        <v>0</v>
      </c>
      <c r="J9" s="17">
        <f>Amérique!D11</f>
        <v>0</v>
      </c>
      <c r="K9" s="14">
        <f>Asie!B11</f>
        <v>41</v>
      </c>
      <c r="L9" s="34">
        <f>Asie!C11</f>
        <v>1</v>
      </c>
      <c r="M9" s="17">
        <f>Asie!D11</f>
        <v>0</v>
      </c>
      <c r="N9" s="15">
        <f>Europe!B11</f>
        <v>0</v>
      </c>
      <c r="O9" s="15">
        <f>Europe!C11</f>
        <v>0</v>
      </c>
      <c r="P9" s="17">
        <f>Europe!D11</f>
        <v>0</v>
      </c>
      <c r="Q9" s="15">
        <f>Océanieautres!B11</f>
        <v>0</v>
      </c>
      <c r="R9" s="15">
        <f>Océanieautres!C11</f>
        <v>0</v>
      </c>
      <c r="S9" s="17">
        <f>Océanieautres!D11</f>
        <v>0</v>
      </c>
      <c r="T9" s="18">
        <f>Océanieautres!AB11</f>
        <v>0</v>
      </c>
      <c r="U9" s="18">
        <f>Océanieautres!AC11</f>
        <v>0</v>
      </c>
      <c r="V9" s="18">
        <f>Océanieautres!AD11</f>
        <v>0</v>
      </c>
    </row>
    <row r="10" spans="1:25" ht="12.75">
      <c r="A10" s="13">
        <v>43843</v>
      </c>
      <c r="B10" s="14">
        <f>SUM(E10,H10,K10,N10,Q10,T10)</f>
        <v>42</v>
      </c>
      <c r="C10" s="34">
        <f>SUM(F10,I10,L10,O10,R10,U10)</f>
        <v>1</v>
      </c>
      <c r="D10" s="15">
        <f>SUM(G10,J10,M10,P10,S10,V10)</f>
        <v>0</v>
      </c>
      <c r="E10" s="15">
        <f>Afrique!B12</f>
        <v>0</v>
      </c>
      <c r="F10" s="15">
        <f>Afrique!C12</f>
        <v>0</v>
      </c>
      <c r="G10" s="17">
        <f>Afrique!D12</f>
        <v>0</v>
      </c>
      <c r="H10" s="15">
        <f>Amérique!B12</f>
        <v>0</v>
      </c>
      <c r="I10" s="15">
        <f>Amérique!C12</f>
        <v>0</v>
      </c>
      <c r="J10" s="17">
        <f>Amérique!D12</f>
        <v>0</v>
      </c>
      <c r="K10" s="14">
        <f>Asie!B12</f>
        <v>42</v>
      </c>
      <c r="L10" s="34">
        <f>Asie!C12</f>
        <v>1</v>
      </c>
      <c r="M10" s="17">
        <f>Asie!D12</f>
        <v>0</v>
      </c>
      <c r="N10" s="15">
        <f>Europe!B12</f>
        <v>0</v>
      </c>
      <c r="O10" s="15">
        <f>Europe!C12</f>
        <v>0</v>
      </c>
      <c r="P10" s="17">
        <f>Europe!D12</f>
        <v>0</v>
      </c>
      <c r="Q10" s="15">
        <f>Océanieautres!B12</f>
        <v>0</v>
      </c>
      <c r="R10" s="15">
        <f>Océanieautres!C12</f>
        <v>0</v>
      </c>
      <c r="S10" s="17">
        <f>Océanieautres!D12</f>
        <v>0</v>
      </c>
      <c r="T10" s="18">
        <f>Océanieautres!AB12</f>
        <v>0</v>
      </c>
      <c r="U10" s="18">
        <f>Océanieautres!AC12</f>
        <v>0</v>
      </c>
      <c r="V10" s="18">
        <f>Océanieautres!AD12</f>
        <v>0</v>
      </c>
    </row>
    <row r="11" spans="1:25" ht="12.75">
      <c r="A11" s="13">
        <v>43844</v>
      </c>
      <c r="B11" s="14">
        <f>SUM(E11,H11,K11,N11,Q11,T11)</f>
        <v>42</v>
      </c>
      <c r="C11" s="34">
        <f>SUM(F11,I11,L11,O11,R11,U11)</f>
        <v>1</v>
      </c>
      <c r="D11" s="15">
        <f>SUM(G11,J11,M11,P11,S11,V11)</f>
        <v>0</v>
      </c>
      <c r="E11" s="15">
        <f>Afrique!B13</f>
        <v>0</v>
      </c>
      <c r="F11" s="15">
        <f>Afrique!C13</f>
        <v>0</v>
      </c>
      <c r="G11" s="17">
        <f>Afrique!D13</f>
        <v>0</v>
      </c>
      <c r="H11" s="15">
        <f>Amérique!B13</f>
        <v>0</v>
      </c>
      <c r="I11" s="15">
        <f>Amérique!C13</f>
        <v>0</v>
      </c>
      <c r="J11" s="17">
        <f>Amérique!D13</f>
        <v>0</v>
      </c>
      <c r="K11" s="14">
        <f>Asie!B13</f>
        <v>42</v>
      </c>
      <c r="L11" s="34">
        <f>Asie!C13</f>
        <v>1</v>
      </c>
      <c r="M11" s="17">
        <f>Asie!D13</f>
        <v>0</v>
      </c>
      <c r="N11" s="15">
        <f>Europe!B13</f>
        <v>0</v>
      </c>
      <c r="O11" s="15">
        <f>Europe!C13</f>
        <v>0</v>
      </c>
      <c r="P11" s="17">
        <f>Europe!D13</f>
        <v>0</v>
      </c>
      <c r="Q11" s="15">
        <f>Océanieautres!B13</f>
        <v>0</v>
      </c>
      <c r="R11" s="15">
        <f>Océanieautres!C13</f>
        <v>0</v>
      </c>
      <c r="S11" s="17">
        <f>Océanieautres!D13</f>
        <v>0</v>
      </c>
      <c r="T11" s="18">
        <f>Océanieautres!AB13</f>
        <v>0</v>
      </c>
      <c r="U11" s="18">
        <f>Océanieautres!AC13</f>
        <v>0</v>
      </c>
      <c r="V11" s="18">
        <f>Océanieautres!AD13</f>
        <v>0</v>
      </c>
    </row>
    <row r="12" spans="1:25" ht="12.75">
      <c r="A12" s="13">
        <v>43845</v>
      </c>
      <c r="B12" s="14">
        <f>SUM(E12,H12,K12,N12,Q12,T12)</f>
        <v>43</v>
      </c>
      <c r="C12" s="34">
        <f>SUM(F12,I12,L12,O12,R12,U12)</f>
        <v>1</v>
      </c>
      <c r="D12" s="15">
        <f>SUM(G12,J12,M12,P12,S12,V12)</f>
        <v>0</v>
      </c>
      <c r="E12" s="15">
        <f>Afrique!B14</f>
        <v>0</v>
      </c>
      <c r="F12" s="15">
        <f>Afrique!C14</f>
        <v>0</v>
      </c>
      <c r="G12" s="17">
        <f>Afrique!D14</f>
        <v>0</v>
      </c>
      <c r="H12" s="15">
        <f>Amérique!B14</f>
        <v>0</v>
      </c>
      <c r="I12" s="15">
        <f>Amérique!C14</f>
        <v>0</v>
      </c>
      <c r="J12" s="17">
        <f>Amérique!D14</f>
        <v>0</v>
      </c>
      <c r="K12" s="14">
        <f>Asie!B14</f>
        <v>43</v>
      </c>
      <c r="L12" s="34">
        <f>Asie!C14</f>
        <v>1</v>
      </c>
      <c r="M12" s="17">
        <f>Asie!D14</f>
        <v>0</v>
      </c>
      <c r="N12" s="15">
        <f>Europe!B14</f>
        <v>0</v>
      </c>
      <c r="O12" s="15">
        <f>Europe!C14</f>
        <v>0</v>
      </c>
      <c r="P12" s="17">
        <f>Europe!D14</f>
        <v>0</v>
      </c>
      <c r="Q12" s="15">
        <f>Océanieautres!B14</f>
        <v>0</v>
      </c>
      <c r="R12" s="15">
        <f>Océanieautres!C14</f>
        <v>0</v>
      </c>
      <c r="S12" s="17">
        <f>Océanieautres!D14</f>
        <v>0</v>
      </c>
      <c r="T12" s="18">
        <f>Océanieautres!AB14</f>
        <v>0</v>
      </c>
      <c r="U12" s="18">
        <f>Océanieautres!AC14</f>
        <v>0</v>
      </c>
      <c r="V12" s="18">
        <f>Océanieautres!AD14</f>
        <v>0</v>
      </c>
    </row>
    <row r="13" spans="1:25" ht="12.75">
      <c r="A13" s="13">
        <v>43846</v>
      </c>
      <c r="B13" s="14">
        <f>SUM(E13,H13,K13,N13,Q13,T13)</f>
        <v>43</v>
      </c>
      <c r="C13" s="34">
        <f>SUM(F13,I13,L13,O13,R13,U13)</f>
        <v>1</v>
      </c>
      <c r="D13" s="15">
        <f>SUM(G13,J13,M13,P13,S13,V13)</f>
        <v>0</v>
      </c>
      <c r="E13" s="15">
        <f>Afrique!B15</f>
        <v>0</v>
      </c>
      <c r="F13" s="15">
        <f>Afrique!C15</f>
        <v>0</v>
      </c>
      <c r="G13" s="17">
        <f>Afrique!D15</f>
        <v>0</v>
      </c>
      <c r="H13" s="15">
        <f>Amérique!B15</f>
        <v>0</v>
      </c>
      <c r="I13" s="15">
        <f>Amérique!C15</f>
        <v>0</v>
      </c>
      <c r="J13" s="17">
        <f>Amérique!D15</f>
        <v>0</v>
      </c>
      <c r="K13" s="14">
        <f>Asie!B15</f>
        <v>43</v>
      </c>
      <c r="L13" s="34">
        <f>Asie!C15</f>
        <v>1</v>
      </c>
      <c r="M13" s="17">
        <f>Asie!D15</f>
        <v>0</v>
      </c>
      <c r="N13" s="15">
        <f>Europe!B15</f>
        <v>0</v>
      </c>
      <c r="O13" s="15">
        <f>Europe!C15</f>
        <v>0</v>
      </c>
      <c r="P13" s="17">
        <f>Europe!D15</f>
        <v>0</v>
      </c>
      <c r="Q13" s="15">
        <f>Océanieautres!B15</f>
        <v>0</v>
      </c>
      <c r="R13" s="15">
        <f>Océanieautres!C15</f>
        <v>0</v>
      </c>
      <c r="S13" s="17">
        <f>Océanieautres!D15</f>
        <v>0</v>
      </c>
      <c r="T13" s="18">
        <f>Océanieautres!AB15</f>
        <v>0</v>
      </c>
      <c r="U13" s="18">
        <f>Océanieautres!AC15</f>
        <v>0</v>
      </c>
      <c r="V13" s="18">
        <f>Océanieautres!AD15</f>
        <v>0</v>
      </c>
      <c r="Y13" s="527"/>
    </row>
    <row r="14" spans="1:25" ht="12.75">
      <c r="A14" s="13">
        <v>43847</v>
      </c>
      <c r="B14" s="14">
        <f>SUM(E14,H14,K14,N14,Q14,T14)</f>
        <v>43</v>
      </c>
      <c r="C14" s="34">
        <f>SUM(F14,I14,L14,O14,R14,U14)</f>
        <v>1</v>
      </c>
      <c r="D14" s="15">
        <f>SUM(G14,J14,M14,P14,S14,V14)</f>
        <v>0</v>
      </c>
      <c r="E14" s="15">
        <f>Afrique!B16</f>
        <v>0</v>
      </c>
      <c r="F14" s="15">
        <f>Afrique!C16</f>
        <v>0</v>
      </c>
      <c r="G14" s="17">
        <f>Afrique!D16</f>
        <v>0</v>
      </c>
      <c r="H14" s="15">
        <f>Amérique!B16</f>
        <v>0</v>
      </c>
      <c r="I14" s="15">
        <f>Amérique!C16</f>
        <v>0</v>
      </c>
      <c r="J14" s="17">
        <f>Amérique!D16</f>
        <v>0</v>
      </c>
      <c r="K14" s="14">
        <f>Asie!B16</f>
        <v>43</v>
      </c>
      <c r="L14" s="34">
        <f>Asie!C16</f>
        <v>1</v>
      </c>
      <c r="M14" s="17">
        <f>Asie!D16</f>
        <v>0</v>
      </c>
      <c r="N14" s="15">
        <f>Europe!B16</f>
        <v>0</v>
      </c>
      <c r="O14" s="15">
        <f>Europe!C16</f>
        <v>0</v>
      </c>
      <c r="P14" s="17">
        <f>Europe!D16</f>
        <v>0</v>
      </c>
      <c r="Q14" s="15">
        <f>Océanieautres!B16</f>
        <v>0</v>
      </c>
      <c r="R14" s="15">
        <f>Océanieautres!C16</f>
        <v>0</v>
      </c>
      <c r="S14" s="17">
        <f>Océanieautres!D16</f>
        <v>0</v>
      </c>
      <c r="T14" s="18">
        <f>Océanieautres!AB16</f>
        <v>0</v>
      </c>
      <c r="U14" s="18">
        <f>Océanieautres!AC16</f>
        <v>0</v>
      </c>
      <c r="V14" s="18">
        <f>Océanieautres!AD16</f>
        <v>0</v>
      </c>
    </row>
    <row r="15" spans="1:25" ht="12.75">
      <c r="A15" s="71">
        <v>43848</v>
      </c>
      <c r="B15" s="14">
        <f>SUM(E15,H15,K15,N15,Q15,T15)</f>
        <v>43</v>
      </c>
      <c r="C15" s="34">
        <f>SUM(F15,I15,L15,O15,R15,U15)</f>
        <v>2</v>
      </c>
      <c r="D15" s="15">
        <f>SUM(G15,J15,M15,P15,S15,V15)</f>
        <v>0</v>
      </c>
      <c r="E15" s="15">
        <f>Afrique!B17</f>
        <v>0</v>
      </c>
      <c r="F15" s="15">
        <f>Afrique!C17</f>
        <v>0</v>
      </c>
      <c r="G15" s="17">
        <f>Afrique!D17</f>
        <v>0</v>
      </c>
      <c r="H15" s="15">
        <f>Amérique!B17</f>
        <v>0</v>
      </c>
      <c r="I15" s="15">
        <f>Amérique!C17</f>
        <v>0</v>
      </c>
      <c r="J15" s="17">
        <f>Amérique!D17</f>
        <v>0</v>
      </c>
      <c r="K15" s="14">
        <f>Asie!B17</f>
        <v>43</v>
      </c>
      <c r="L15" s="34">
        <f>Asie!C17</f>
        <v>2</v>
      </c>
      <c r="M15" s="17">
        <f>Asie!D17</f>
        <v>0</v>
      </c>
      <c r="N15" s="15">
        <f>Europe!B17</f>
        <v>0</v>
      </c>
      <c r="O15" s="15">
        <f>Europe!C17</f>
        <v>0</v>
      </c>
      <c r="P15" s="17">
        <f>Europe!D17</f>
        <v>0</v>
      </c>
      <c r="Q15" s="15">
        <f>Océanieautres!B17</f>
        <v>0</v>
      </c>
      <c r="R15" s="15">
        <f>Océanieautres!C17</f>
        <v>0</v>
      </c>
      <c r="S15" s="17">
        <f>Océanieautres!D17</f>
        <v>0</v>
      </c>
      <c r="T15" s="18">
        <f>Océanieautres!AB17</f>
        <v>0</v>
      </c>
      <c r="U15" s="18">
        <f>Océanieautres!AC17</f>
        <v>0</v>
      </c>
      <c r="V15" s="18">
        <f>Océanieautres!AD17</f>
        <v>0</v>
      </c>
    </row>
    <row r="16" spans="1:25" ht="12.75">
      <c r="A16" s="13">
        <v>43849</v>
      </c>
      <c r="B16" s="14">
        <f>SUM(E16,H16,K16,N16,Q16,T16)</f>
        <v>43</v>
      </c>
      <c r="C16" s="34">
        <f>SUM(F16,I16,L16,O16,R16,U16)</f>
        <v>2</v>
      </c>
      <c r="D16" s="15">
        <f>SUM(G16,J16,M16,P16,S16,V16)</f>
        <v>0</v>
      </c>
      <c r="E16" s="15">
        <f>Afrique!B18</f>
        <v>0</v>
      </c>
      <c r="F16" s="15">
        <f>Afrique!C18</f>
        <v>0</v>
      </c>
      <c r="G16" s="17">
        <f>Afrique!D18</f>
        <v>0</v>
      </c>
      <c r="H16" s="15">
        <f>Amérique!B18</f>
        <v>0</v>
      </c>
      <c r="I16" s="15">
        <f>Amérique!C18</f>
        <v>0</v>
      </c>
      <c r="J16" s="17">
        <f>Amérique!D18</f>
        <v>0</v>
      </c>
      <c r="K16" s="14">
        <f>Asie!B18</f>
        <v>43</v>
      </c>
      <c r="L16" s="34">
        <f>Asie!C18</f>
        <v>2</v>
      </c>
      <c r="M16" s="17">
        <f>Asie!D18</f>
        <v>0</v>
      </c>
      <c r="N16" s="15">
        <f>Europe!B18</f>
        <v>0</v>
      </c>
      <c r="O16" s="15">
        <f>Europe!C18</f>
        <v>0</v>
      </c>
      <c r="P16" s="17">
        <f>Europe!D18</f>
        <v>0</v>
      </c>
      <c r="Q16" s="15">
        <f>Océanieautres!B18</f>
        <v>0</v>
      </c>
      <c r="R16" s="15">
        <f>Océanieautres!C18</f>
        <v>0</v>
      </c>
      <c r="S16" s="17">
        <f>Océanieautres!D18</f>
        <v>0</v>
      </c>
      <c r="T16" s="18">
        <f>Océanieautres!AB18</f>
        <v>0</v>
      </c>
      <c r="U16" s="18">
        <f>Océanieautres!AC18</f>
        <v>0</v>
      </c>
      <c r="V16" s="18">
        <f>Océanieautres!AD18</f>
        <v>0</v>
      </c>
    </row>
    <row r="17" spans="1:22" ht="12.75">
      <c r="A17" s="13">
        <v>43850</v>
      </c>
      <c r="B17" s="14">
        <f>SUM(E17,H17,K17,N17,Q17,T17)</f>
        <v>282</v>
      </c>
      <c r="C17" s="34">
        <f>SUM(F17,I17,L17,O17,R17,U17)</f>
        <v>6</v>
      </c>
      <c r="D17" s="15">
        <f>SUM(G17,J17,M17,P17,S17,V17)</f>
        <v>0</v>
      </c>
      <c r="E17" s="15">
        <f>Afrique!B19</f>
        <v>0</v>
      </c>
      <c r="F17" s="15">
        <f>Afrique!C19</f>
        <v>0</v>
      </c>
      <c r="G17" s="17">
        <f>Afrique!D19</f>
        <v>0</v>
      </c>
      <c r="H17" s="15">
        <f>Amérique!B19</f>
        <v>0</v>
      </c>
      <c r="I17" s="15">
        <f>Amérique!C19</f>
        <v>0</v>
      </c>
      <c r="J17" s="17">
        <f>Amérique!D19</f>
        <v>0</v>
      </c>
      <c r="K17" s="14">
        <f>Asie!B19</f>
        <v>282</v>
      </c>
      <c r="L17" s="34">
        <f>Asie!C19</f>
        <v>6</v>
      </c>
      <c r="M17" s="17">
        <f>Asie!D19</f>
        <v>0</v>
      </c>
      <c r="N17" s="15">
        <f>Europe!B19</f>
        <v>0</v>
      </c>
      <c r="O17" s="15">
        <f>Europe!C19</f>
        <v>0</v>
      </c>
      <c r="P17" s="17">
        <f>Europe!D19</f>
        <v>0</v>
      </c>
      <c r="Q17" s="15">
        <f>Océanieautres!B19</f>
        <v>0</v>
      </c>
      <c r="R17" s="15">
        <f>Océanieautres!C19</f>
        <v>0</v>
      </c>
      <c r="S17" s="17">
        <f>Océanieautres!D19</f>
        <v>0</v>
      </c>
      <c r="T17" s="18">
        <f>Océanieautres!AB19</f>
        <v>0</v>
      </c>
      <c r="U17" s="18">
        <f>Océanieautres!AC19</f>
        <v>0</v>
      </c>
      <c r="V17" s="18">
        <f>Océanieautres!AD19</f>
        <v>0</v>
      </c>
    </row>
    <row r="18" spans="1:22" ht="12.75">
      <c r="A18" s="13">
        <v>43851</v>
      </c>
      <c r="B18" s="14">
        <f>SUM(E18,H18,K18,N18,Q18,T18)</f>
        <v>332</v>
      </c>
      <c r="C18" s="34">
        <f>SUM(F18,I18,L18,O18,R18,U18)</f>
        <v>6</v>
      </c>
      <c r="D18" s="73">
        <f>SUM(G18,J18,M18,P18,S18,V18)</f>
        <v>25</v>
      </c>
      <c r="E18" s="15">
        <f>Afrique!B20</f>
        <v>0</v>
      </c>
      <c r="F18" s="15">
        <f>Afrique!C20</f>
        <v>0</v>
      </c>
      <c r="G18" s="17">
        <f>Afrique!D20</f>
        <v>0</v>
      </c>
      <c r="H18" s="14">
        <f>Amérique!B20</f>
        <v>1</v>
      </c>
      <c r="I18" s="15">
        <f>Amérique!C20</f>
        <v>0</v>
      </c>
      <c r="J18" s="17">
        <f>Amérique!D20</f>
        <v>0</v>
      </c>
      <c r="K18" s="14">
        <f>Asie!B20</f>
        <v>331</v>
      </c>
      <c r="L18" s="34">
        <f>Asie!C20</f>
        <v>6</v>
      </c>
      <c r="M18" s="74">
        <f>Asie!D20</f>
        <v>25</v>
      </c>
      <c r="N18" s="15">
        <f>Europe!B20</f>
        <v>0</v>
      </c>
      <c r="O18" s="15">
        <f>Europe!C20</f>
        <v>0</v>
      </c>
      <c r="P18" s="17">
        <f>Europe!D20</f>
        <v>0</v>
      </c>
      <c r="Q18" s="15">
        <f>Océanieautres!B20</f>
        <v>0</v>
      </c>
      <c r="R18" s="15">
        <f>Océanieautres!C20</f>
        <v>0</v>
      </c>
      <c r="S18" s="17">
        <f>Océanieautres!D20</f>
        <v>0</v>
      </c>
      <c r="T18" s="18">
        <f>Océanieautres!AB20</f>
        <v>0</v>
      </c>
      <c r="U18" s="18">
        <f>Océanieautres!AC20</f>
        <v>0</v>
      </c>
      <c r="V18" s="18">
        <f>Océanieautres!AD20</f>
        <v>0</v>
      </c>
    </row>
    <row r="19" spans="1:22" ht="12.75">
      <c r="A19" s="13">
        <v>43852</v>
      </c>
      <c r="B19" s="14">
        <f>SUM(E19,H19,K19,N19,Q19,T19)</f>
        <v>555</v>
      </c>
      <c r="C19" s="34">
        <f>SUM(F19,I19,L19,O19,R19,U19)</f>
        <v>8</v>
      </c>
      <c r="D19" s="73">
        <f>SUM(G19,J19,M19,P19,S19,V19)</f>
        <v>28</v>
      </c>
      <c r="E19" s="15">
        <f>Afrique!B21</f>
        <v>0</v>
      </c>
      <c r="F19" s="15">
        <f>Afrique!C21</f>
        <v>0</v>
      </c>
      <c r="G19" s="17">
        <f>Afrique!D21</f>
        <v>0</v>
      </c>
      <c r="H19" s="14">
        <f>Amérique!B21</f>
        <v>1</v>
      </c>
      <c r="I19" s="15">
        <f>Amérique!C21</f>
        <v>0</v>
      </c>
      <c r="J19" s="17">
        <f>Amérique!D21</f>
        <v>0</v>
      </c>
      <c r="K19" s="14">
        <f>Asie!B21</f>
        <v>554</v>
      </c>
      <c r="L19" s="34">
        <f>Asie!C21</f>
        <v>8</v>
      </c>
      <c r="M19" s="74">
        <f>Asie!D21</f>
        <v>28</v>
      </c>
      <c r="N19" s="15">
        <f>Europe!B21</f>
        <v>0</v>
      </c>
      <c r="O19" s="15">
        <f>Europe!C21</f>
        <v>0</v>
      </c>
      <c r="P19" s="17">
        <f>Europe!D21</f>
        <v>0</v>
      </c>
      <c r="Q19" s="15">
        <f>Océanieautres!B21</f>
        <v>0</v>
      </c>
      <c r="R19" s="15">
        <f>Océanieautres!C21</f>
        <v>0</v>
      </c>
      <c r="S19" s="17">
        <f>Océanieautres!D21</f>
        <v>0</v>
      </c>
      <c r="T19" s="18">
        <f>Océanieautres!AB21</f>
        <v>0</v>
      </c>
      <c r="U19" s="18">
        <f>Océanieautres!AC21</f>
        <v>0</v>
      </c>
      <c r="V19" s="18">
        <f>Océanieautres!AD21</f>
        <v>0</v>
      </c>
    </row>
    <row r="20" spans="1:22" ht="12.75">
      <c r="A20" s="13">
        <v>43853</v>
      </c>
      <c r="B20" s="14">
        <f>SUM(E20,H20,K20,N20,Q20,T20)</f>
        <v>649</v>
      </c>
      <c r="C20" s="34">
        <f>SUM(F20,I20,L20,O20,R20,U20)</f>
        <v>16</v>
      </c>
      <c r="D20" s="73">
        <f>SUM(G20,J20,M20,P20,S20,V20)</f>
        <v>30</v>
      </c>
      <c r="E20" s="15">
        <f>Afrique!B22</f>
        <v>0</v>
      </c>
      <c r="F20" s="15">
        <f>Afrique!C22</f>
        <v>0</v>
      </c>
      <c r="G20" s="17">
        <f>Afrique!D22</f>
        <v>0</v>
      </c>
      <c r="H20" s="14">
        <f>Amérique!B22</f>
        <v>1</v>
      </c>
      <c r="I20" s="15">
        <f>Amérique!C22</f>
        <v>0</v>
      </c>
      <c r="J20" s="17">
        <f>Amérique!D22</f>
        <v>0</v>
      </c>
      <c r="K20" s="14">
        <f>Asie!B22</f>
        <v>648</v>
      </c>
      <c r="L20" s="34">
        <f>Asie!C22</f>
        <v>16</v>
      </c>
      <c r="M20" s="74">
        <f>Asie!D22</f>
        <v>30</v>
      </c>
      <c r="N20" s="15">
        <f>Europe!B22</f>
        <v>0</v>
      </c>
      <c r="O20" s="15">
        <f>Europe!C22</f>
        <v>0</v>
      </c>
      <c r="P20" s="17">
        <f>Europe!D22</f>
        <v>0</v>
      </c>
      <c r="Q20" s="15">
        <f>Océanieautres!B22</f>
        <v>0</v>
      </c>
      <c r="R20" s="15">
        <f>Océanieautres!C22</f>
        <v>0</v>
      </c>
      <c r="S20" s="17">
        <f>Océanieautres!D22</f>
        <v>0</v>
      </c>
      <c r="T20" s="18">
        <f>Océanieautres!AB22</f>
        <v>0</v>
      </c>
      <c r="U20" s="18">
        <f>Océanieautres!AC22</f>
        <v>0</v>
      </c>
      <c r="V20" s="18">
        <f>Océanieautres!AD22</f>
        <v>0</v>
      </c>
    </row>
    <row r="21" spans="1:22" ht="12.75">
      <c r="A21" s="13">
        <v>43854</v>
      </c>
      <c r="B21" s="14">
        <f>SUM(E21,H21,K21,N21,Q21,T21)</f>
        <v>939</v>
      </c>
      <c r="C21" s="34">
        <f>SUM(F21,I21,L21,O21,R21,U21)</f>
        <v>25</v>
      </c>
      <c r="D21" s="73">
        <f>SUM(G21,J21,M21,P21,S21,V21)</f>
        <v>36</v>
      </c>
      <c r="E21" s="15">
        <f>Afrique!B23</f>
        <v>0</v>
      </c>
      <c r="F21" s="15">
        <f>Afrique!C23</f>
        <v>0</v>
      </c>
      <c r="G21" s="17">
        <f>Afrique!D23</f>
        <v>0</v>
      </c>
      <c r="H21" s="14">
        <f>Amérique!B23</f>
        <v>2</v>
      </c>
      <c r="I21" s="15">
        <f>Amérique!C23</f>
        <v>0</v>
      </c>
      <c r="J21" s="17">
        <f>Amérique!D23</f>
        <v>0</v>
      </c>
      <c r="K21" s="14">
        <f>Asie!B23</f>
        <v>934</v>
      </c>
      <c r="L21" s="34">
        <f>Asie!C23</f>
        <v>25</v>
      </c>
      <c r="M21" s="74">
        <f>Asie!D23</f>
        <v>36</v>
      </c>
      <c r="N21" s="15">
        <f>Europe!B23</f>
        <v>0</v>
      </c>
      <c r="O21" s="15">
        <f>Europe!C23</f>
        <v>0</v>
      </c>
      <c r="P21" s="17">
        <f>Europe!D23</f>
        <v>0</v>
      </c>
      <c r="Q21" s="14">
        <f>Océanieautres!B23</f>
        <v>3</v>
      </c>
      <c r="R21" s="15">
        <f>Océanieautres!C23</f>
        <v>0</v>
      </c>
      <c r="S21" s="17">
        <f>Océanieautres!D23</f>
        <v>0</v>
      </c>
      <c r="T21" s="18">
        <f>Océanieautres!AB23</f>
        <v>0</v>
      </c>
      <c r="U21" s="18">
        <f>Océanieautres!AC23</f>
        <v>0</v>
      </c>
      <c r="V21" s="18">
        <f>Océanieautres!AD23</f>
        <v>0</v>
      </c>
    </row>
    <row r="22" spans="1:22" ht="12.75">
      <c r="A22" s="13">
        <v>43855</v>
      </c>
      <c r="B22" s="14">
        <f>SUM(E22,H22,K22,N22,Q22,T22)</f>
        <v>2074</v>
      </c>
      <c r="C22" s="34">
        <f>SUM(F22,I22,L22,O22,R22,U22)</f>
        <v>40</v>
      </c>
      <c r="D22" s="73">
        <f>SUM(G22,J22,M22,P22,S22,V22)</f>
        <v>49</v>
      </c>
      <c r="E22" s="15">
        <f>Afrique!B24</f>
        <v>0</v>
      </c>
      <c r="F22" s="15">
        <f>Afrique!C24</f>
        <v>0</v>
      </c>
      <c r="G22" s="17">
        <f>Afrique!D24</f>
        <v>0</v>
      </c>
      <c r="H22" s="14">
        <f>Amérique!B24</f>
        <v>2</v>
      </c>
      <c r="I22" s="15">
        <f>Amérique!C24</f>
        <v>0</v>
      </c>
      <c r="J22" s="17">
        <f>Amérique!D24</f>
        <v>0</v>
      </c>
      <c r="K22" s="14">
        <f>Asie!B24</f>
        <v>2065</v>
      </c>
      <c r="L22" s="34">
        <f>Asie!C24</f>
        <v>40</v>
      </c>
      <c r="M22" s="74">
        <f>Asie!D24</f>
        <v>49</v>
      </c>
      <c r="N22" s="14">
        <f>Europe!B24</f>
        <v>3</v>
      </c>
      <c r="O22" s="15">
        <f>Europe!C24</f>
        <v>0</v>
      </c>
      <c r="P22" s="17">
        <f>Europe!D24</f>
        <v>0</v>
      </c>
      <c r="Q22" s="14">
        <f>Océanieautres!B24</f>
        <v>4</v>
      </c>
      <c r="R22" s="15">
        <f>Océanieautres!C24</f>
        <v>0</v>
      </c>
      <c r="S22" s="17">
        <f>Océanieautres!D24</f>
        <v>0</v>
      </c>
      <c r="T22" s="18">
        <f>Océanieautres!AB24</f>
        <v>0</v>
      </c>
      <c r="U22" s="18">
        <f>Océanieautres!AC24</f>
        <v>0</v>
      </c>
      <c r="V22" s="18">
        <f>Océanieautres!AD24</f>
        <v>0</v>
      </c>
    </row>
    <row r="23" spans="1:22" ht="12.75">
      <c r="A23" s="13">
        <v>43856</v>
      </c>
      <c r="B23" s="14">
        <f>SUM(E23,H23,K23,N23,Q23,T23)</f>
        <v>2810</v>
      </c>
      <c r="C23" s="34">
        <f>SUM(F23,I23,L23,O23,R23,U23)</f>
        <v>80</v>
      </c>
      <c r="D23" s="73">
        <f>SUM(G23,J23,M23,P23,S23,V23)</f>
        <v>54</v>
      </c>
      <c r="E23" s="15">
        <f>Afrique!B25</f>
        <v>0</v>
      </c>
      <c r="F23" s="15">
        <f>Afrique!C25</f>
        <v>0</v>
      </c>
      <c r="G23" s="17">
        <f>Afrique!D25</f>
        <v>0</v>
      </c>
      <c r="H23" s="14">
        <f>Amérique!B25</f>
        <v>6</v>
      </c>
      <c r="I23" s="15">
        <f>Amérique!C25</f>
        <v>0</v>
      </c>
      <c r="J23" s="17">
        <f>Amérique!D25</f>
        <v>0</v>
      </c>
      <c r="K23" s="14">
        <f>Asie!B25</f>
        <v>2797</v>
      </c>
      <c r="L23" s="34">
        <f>Asie!C25</f>
        <v>80</v>
      </c>
      <c r="M23" s="74">
        <f>Asie!D25</f>
        <v>54</v>
      </c>
      <c r="N23" s="14">
        <f>Europe!B25</f>
        <v>3</v>
      </c>
      <c r="O23" s="15">
        <f>Europe!C25</f>
        <v>0</v>
      </c>
      <c r="P23" s="17">
        <f>Europe!D25</f>
        <v>0</v>
      </c>
      <c r="Q23" s="14">
        <f>Océanieautres!B25</f>
        <v>4</v>
      </c>
      <c r="R23" s="15">
        <f>Océanieautres!C25</f>
        <v>0</v>
      </c>
      <c r="S23" s="17">
        <f>Océanieautres!D25</f>
        <v>0</v>
      </c>
      <c r="T23" s="18">
        <f>Océanieautres!AB25</f>
        <v>0</v>
      </c>
      <c r="U23" s="18">
        <f>Océanieautres!AC25</f>
        <v>0</v>
      </c>
      <c r="V23" s="18">
        <f>Océanieautres!AD25</f>
        <v>0</v>
      </c>
    </row>
    <row r="24" spans="1:22" ht="12.75">
      <c r="A24" s="13">
        <v>43857</v>
      </c>
      <c r="B24" s="14">
        <f>SUM(E24,H24,K24,N24,Q24,T24)</f>
        <v>4593</v>
      </c>
      <c r="C24" s="34">
        <f>SUM(F24,I24,L24,O24,R24,U24)</f>
        <v>107</v>
      </c>
      <c r="D24" s="73">
        <f>SUM(G24,J24,M24,P24,S24,V24)</f>
        <v>63</v>
      </c>
      <c r="E24" s="15">
        <f>Afrique!B26</f>
        <v>0</v>
      </c>
      <c r="F24" s="15">
        <f>Afrique!C26</f>
        <v>0</v>
      </c>
      <c r="G24" s="17">
        <f>Afrique!D26</f>
        <v>0</v>
      </c>
      <c r="H24" s="14">
        <f>Amérique!B26</f>
        <v>7</v>
      </c>
      <c r="I24" s="15">
        <f>Amérique!C26</f>
        <v>0</v>
      </c>
      <c r="J24" s="17">
        <f>Amérique!D26</f>
        <v>0</v>
      </c>
      <c r="K24" s="14">
        <f>Asie!B26</f>
        <v>4577</v>
      </c>
      <c r="L24" s="34">
        <f>Asie!C26</f>
        <v>107</v>
      </c>
      <c r="M24" s="74">
        <f>Asie!D26</f>
        <v>63</v>
      </c>
      <c r="N24" s="14">
        <f>Europe!B26</f>
        <v>4</v>
      </c>
      <c r="O24" s="15">
        <f>Europe!C26</f>
        <v>0</v>
      </c>
      <c r="P24" s="17">
        <f>Europe!D26</f>
        <v>0</v>
      </c>
      <c r="Q24" s="14">
        <f>Océanieautres!B26</f>
        <v>5</v>
      </c>
      <c r="R24" s="15">
        <f>Océanieautres!C26</f>
        <v>0</v>
      </c>
      <c r="S24" s="17">
        <f>Océanieautres!D26</f>
        <v>0</v>
      </c>
      <c r="T24" s="18">
        <f>Océanieautres!AB26</f>
        <v>0</v>
      </c>
      <c r="U24" s="18">
        <f>Océanieautres!AC26</f>
        <v>0</v>
      </c>
      <c r="V24" s="18">
        <f>Océanieautres!AD26</f>
        <v>0</v>
      </c>
    </row>
    <row r="25" spans="1:22" ht="12.75">
      <c r="A25" s="13">
        <v>43858</v>
      </c>
      <c r="B25" s="14">
        <f>SUM(E25,H25,K25,N25,Q25,T25)</f>
        <v>6177</v>
      </c>
      <c r="C25" s="34">
        <f>SUM(F25,I25,L25,O25,R25,U25)</f>
        <v>133</v>
      </c>
      <c r="D25" s="73">
        <f>SUM(G25,J25,M25,P25,S25,V25)</f>
        <v>110</v>
      </c>
      <c r="E25" s="15">
        <f>Afrique!B27</f>
        <v>0</v>
      </c>
      <c r="F25" s="15">
        <f>Afrique!C27</f>
        <v>0</v>
      </c>
      <c r="G25" s="17">
        <f>Afrique!D27</f>
        <v>0</v>
      </c>
      <c r="H25" s="14">
        <f>Amérique!B27</f>
        <v>8</v>
      </c>
      <c r="I25" s="15">
        <f>Amérique!C27</f>
        <v>0</v>
      </c>
      <c r="J25" s="17">
        <f>Amérique!D27</f>
        <v>0</v>
      </c>
      <c r="K25" s="14">
        <f>Asie!B27</f>
        <v>6154</v>
      </c>
      <c r="L25" s="34">
        <f>Asie!C27</f>
        <v>133</v>
      </c>
      <c r="M25" s="74">
        <f>Asie!D27</f>
        <v>110</v>
      </c>
      <c r="N25" s="14">
        <f>Europe!B27</f>
        <v>8</v>
      </c>
      <c r="O25" s="15">
        <f>Europe!C27</f>
        <v>0</v>
      </c>
      <c r="P25" s="17">
        <f>Europe!D27</f>
        <v>0</v>
      </c>
      <c r="Q25" s="14">
        <f>Océanieautres!B27</f>
        <v>7</v>
      </c>
      <c r="R25" s="15">
        <f>Océanieautres!C27</f>
        <v>0</v>
      </c>
      <c r="S25" s="17">
        <f>Océanieautres!D27</f>
        <v>0</v>
      </c>
      <c r="T25" s="18">
        <f>Océanieautres!AB27</f>
        <v>0</v>
      </c>
      <c r="U25" s="18">
        <f>Océanieautres!AC27</f>
        <v>0</v>
      </c>
      <c r="V25" s="18">
        <f>Océanieautres!AD27</f>
        <v>0</v>
      </c>
    </row>
    <row r="26" spans="1:22" ht="12.75">
      <c r="A26" s="13">
        <v>43859</v>
      </c>
      <c r="B26" s="14">
        <f>SUM(E26,H26,K26,N26,Q26,T26)</f>
        <v>7912</v>
      </c>
      <c r="C26" s="34">
        <f>SUM(F26,I26,L26,O26,R26,U26)</f>
        <v>171</v>
      </c>
      <c r="D26" s="73">
        <f>SUM(G26,J26,M26,P26,S26,V26)</f>
        <v>133</v>
      </c>
      <c r="E26" s="15">
        <f>Afrique!B28</f>
        <v>0</v>
      </c>
      <c r="F26" s="15">
        <f>Afrique!C28</f>
        <v>0</v>
      </c>
      <c r="G26" s="17">
        <f>Afrique!D28</f>
        <v>0</v>
      </c>
      <c r="H26" s="14">
        <f>Amérique!B28</f>
        <v>8</v>
      </c>
      <c r="I26" s="15">
        <f>Amérique!C28</f>
        <v>0</v>
      </c>
      <c r="J26" s="17">
        <f>Amérique!D28</f>
        <v>0</v>
      </c>
      <c r="K26" s="14">
        <f>Asie!B28</f>
        <v>7887</v>
      </c>
      <c r="L26" s="34">
        <f>Asie!C28</f>
        <v>171</v>
      </c>
      <c r="M26" s="74">
        <f>Asie!D28</f>
        <v>133</v>
      </c>
      <c r="N26" s="14">
        <f>Europe!B28</f>
        <v>10</v>
      </c>
      <c r="O26" s="15">
        <f>Europe!C28</f>
        <v>0</v>
      </c>
      <c r="P26" s="17">
        <f>Europe!D28</f>
        <v>0</v>
      </c>
      <c r="Q26" s="14">
        <f>Océanieautres!B28</f>
        <v>7</v>
      </c>
      <c r="R26" s="15">
        <f>Océanieautres!C28</f>
        <v>0</v>
      </c>
      <c r="S26" s="17">
        <f>Océanieautres!D28</f>
        <v>0</v>
      </c>
      <c r="T26" s="18">
        <f>Océanieautres!AB28</f>
        <v>0</v>
      </c>
      <c r="U26" s="18">
        <f>Océanieautres!AC28</f>
        <v>0</v>
      </c>
      <c r="V26" s="18">
        <f>Océanieautres!AD28</f>
        <v>0</v>
      </c>
    </row>
    <row r="27" spans="1:22" ht="12.75">
      <c r="A27" s="13">
        <v>43860</v>
      </c>
      <c r="B27" s="14">
        <f>SUM(E27,H27,K27,N27,Q27,T27)</f>
        <v>9952</v>
      </c>
      <c r="C27" s="34">
        <f>SUM(F27,I27,L27,O27,R27,U27)</f>
        <v>214</v>
      </c>
      <c r="D27" s="73">
        <f>SUM(G27,J27,M27,P27,S27,V27)</f>
        <v>141</v>
      </c>
      <c r="E27" s="15">
        <f>Afrique!B29</f>
        <v>0</v>
      </c>
      <c r="F27" s="15">
        <f>Afrique!C29</f>
        <v>0</v>
      </c>
      <c r="G27" s="17">
        <f>Afrique!D29</f>
        <v>0</v>
      </c>
      <c r="H27" s="14">
        <f>Amérique!B29</f>
        <v>9</v>
      </c>
      <c r="I27" s="15">
        <f>Amérique!C29</f>
        <v>0</v>
      </c>
      <c r="J27" s="17">
        <f>Amérique!D29</f>
        <v>0</v>
      </c>
      <c r="K27" s="14">
        <f>Asie!B29</f>
        <v>9920</v>
      </c>
      <c r="L27" s="34">
        <f>Asie!C29</f>
        <v>214</v>
      </c>
      <c r="M27" s="74">
        <f>Asie!D29</f>
        <v>141</v>
      </c>
      <c r="N27" s="14">
        <f>Europe!B29</f>
        <v>14</v>
      </c>
      <c r="O27" s="15">
        <f>Europe!C29</f>
        <v>0</v>
      </c>
      <c r="P27" s="17">
        <f>Europe!D29</f>
        <v>0</v>
      </c>
      <c r="Q27" s="14">
        <f>Océanieautres!B29</f>
        <v>9</v>
      </c>
      <c r="R27" s="15">
        <f>Océanieautres!C29</f>
        <v>0</v>
      </c>
      <c r="S27" s="17">
        <f>Océanieautres!D29</f>
        <v>0</v>
      </c>
      <c r="T27" s="18">
        <f>Océanieautres!AB29</f>
        <v>0</v>
      </c>
      <c r="U27" s="18">
        <f>Océanieautres!AC29</f>
        <v>0</v>
      </c>
      <c r="V27" s="18">
        <f>Océanieautres!AD29</f>
        <v>0</v>
      </c>
    </row>
    <row r="28" spans="1:22" ht="13.5" thickBot="1">
      <c r="A28" s="20">
        <v>43861</v>
      </c>
      <c r="B28" s="21">
        <f>SUM(E28,H28,K28,N28,Q28,T28)</f>
        <v>11953</v>
      </c>
      <c r="C28" s="78">
        <f>SUM(F28,I28,L28,O28,R28,U28)</f>
        <v>260</v>
      </c>
      <c r="D28" s="79">
        <f>SUM(G28,J28,M28,P28,S28,V28)</f>
        <v>220</v>
      </c>
      <c r="E28" s="22">
        <f>Afrique!B30</f>
        <v>0</v>
      </c>
      <c r="F28" s="22">
        <f>Afrique!C30</f>
        <v>0</v>
      </c>
      <c r="G28" s="24">
        <f>Afrique!D30</f>
        <v>0</v>
      </c>
      <c r="H28" s="21">
        <f>Amérique!B30</f>
        <v>11</v>
      </c>
      <c r="I28" s="22">
        <f>Amérique!C30</f>
        <v>0</v>
      </c>
      <c r="J28" s="24">
        <f>Amérique!D30</f>
        <v>0</v>
      </c>
      <c r="K28" s="21">
        <f>Asie!B30</f>
        <v>11908</v>
      </c>
      <c r="L28" s="78">
        <f>Asie!C30</f>
        <v>260</v>
      </c>
      <c r="M28" s="80">
        <f>Asie!D30</f>
        <v>220</v>
      </c>
      <c r="N28" s="21">
        <f>Europe!B30</f>
        <v>22</v>
      </c>
      <c r="O28" s="22">
        <f>Europe!C30</f>
        <v>0</v>
      </c>
      <c r="P28" s="24">
        <f>Europe!D30</f>
        <v>0</v>
      </c>
      <c r="Q28" s="21">
        <f>Océanieautres!B30</f>
        <v>12</v>
      </c>
      <c r="R28" s="22">
        <f>Océanieautres!C30</f>
        <v>0</v>
      </c>
      <c r="S28" s="24">
        <f>Océanieautres!D30</f>
        <v>0</v>
      </c>
      <c r="T28" s="27">
        <f>Océanieautres!AB30</f>
        <v>0</v>
      </c>
      <c r="U28" s="27">
        <f>Océanieautres!AC30</f>
        <v>0</v>
      </c>
      <c r="V28" s="27">
        <f>Océanieautres!AD30</f>
        <v>0</v>
      </c>
    </row>
    <row r="29" spans="1:22" ht="12.75">
      <c r="A29" s="13">
        <v>43862</v>
      </c>
      <c r="B29" s="14">
        <f>SUM(E29,H29,K29,N29,Q29,T29)</f>
        <v>14650</v>
      </c>
      <c r="C29" s="34">
        <f>SUM(F29,I29,L29,O29,R29,U29)</f>
        <v>258</v>
      </c>
      <c r="D29" s="73">
        <f>SUM(G29,J29,M29,P29,S29,V29)</f>
        <v>284</v>
      </c>
      <c r="E29" s="15">
        <f>Afrique!B31</f>
        <v>0</v>
      </c>
      <c r="F29" s="15">
        <f>Afrique!C31</f>
        <v>0</v>
      </c>
      <c r="G29" s="17">
        <f>Afrique!D31</f>
        <v>0</v>
      </c>
      <c r="H29" s="14">
        <f>Amérique!B31</f>
        <v>12</v>
      </c>
      <c r="I29" s="15">
        <f>Amérique!C31</f>
        <v>0</v>
      </c>
      <c r="J29" s="17">
        <f>Amérique!D31</f>
        <v>0</v>
      </c>
      <c r="K29" s="14">
        <f>Asie!B31</f>
        <v>14603</v>
      </c>
      <c r="L29" s="34">
        <f>Asie!C31</f>
        <v>258</v>
      </c>
      <c r="M29" s="74">
        <f>Asie!D31</f>
        <v>284</v>
      </c>
      <c r="N29" s="14">
        <f>Europe!B31</f>
        <v>23</v>
      </c>
      <c r="O29" s="15">
        <f>Europe!C31</f>
        <v>0</v>
      </c>
      <c r="P29" s="17">
        <f>Europe!D31</f>
        <v>0</v>
      </c>
      <c r="Q29" s="14">
        <f>Océanieautres!B31</f>
        <v>12</v>
      </c>
      <c r="R29" s="15">
        <f>Océanieautres!C31</f>
        <v>0</v>
      </c>
      <c r="S29" s="17">
        <f>Océanieautres!D31</f>
        <v>0</v>
      </c>
      <c r="T29" s="18">
        <f>Océanieautres!AB31</f>
        <v>0</v>
      </c>
      <c r="U29" s="18">
        <f>Océanieautres!AC31</f>
        <v>0</v>
      </c>
      <c r="V29" s="18">
        <f>Océanieautres!AD31</f>
        <v>0</v>
      </c>
    </row>
    <row r="30" spans="1:22" ht="12.75">
      <c r="A30" s="13">
        <v>43863</v>
      </c>
      <c r="B30" s="14">
        <f>SUM(E30,H30,K30,N30,Q30,T30)</f>
        <v>17569</v>
      </c>
      <c r="C30" s="34">
        <f>SUM(F30,I30,L30,O30,R30,U30)</f>
        <v>363</v>
      </c>
      <c r="D30" s="73">
        <f>SUM(G30,J30,M30,P30,S30,V30)</f>
        <v>487</v>
      </c>
      <c r="E30" s="15">
        <f>Afrique!B32</f>
        <v>0</v>
      </c>
      <c r="F30" s="15">
        <f>Afrique!C32</f>
        <v>0</v>
      </c>
      <c r="G30" s="17">
        <f>Afrique!D32</f>
        <v>0</v>
      </c>
      <c r="H30" s="14">
        <f>Amérique!B32</f>
        <v>15</v>
      </c>
      <c r="I30" s="15">
        <f>Amérique!C32</f>
        <v>0</v>
      </c>
      <c r="J30" s="17">
        <f>Amérique!D32</f>
        <v>0</v>
      </c>
      <c r="K30" s="14">
        <f>Asie!B32</f>
        <v>17517</v>
      </c>
      <c r="L30" s="34">
        <f>Asie!C32</f>
        <v>363</v>
      </c>
      <c r="M30" s="74">
        <f>Asie!D32</f>
        <v>487</v>
      </c>
      <c r="N30" s="14">
        <f>Europe!B32</f>
        <v>25</v>
      </c>
      <c r="O30" s="15">
        <f>Europe!C32</f>
        <v>0</v>
      </c>
      <c r="P30" s="17">
        <f>Europe!D32</f>
        <v>0</v>
      </c>
      <c r="Q30" s="14">
        <f>Océanieautres!B32</f>
        <v>12</v>
      </c>
      <c r="R30" s="15">
        <f>Océanieautres!C32</f>
        <v>0</v>
      </c>
      <c r="S30" s="17">
        <f>Océanieautres!D32</f>
        <v>0</v>
      </c>
      <c r="T30" s="18">
        <f>Océanieautres!AB32</f>
        <v>0</v>
      </c>
      <c r="U30" s="18">
        <f>Océanieautres!AC32</f>
        <v>0</v>
      </c>
      <c r="V30" s="18">
        <f>Océanieautres!AD32</f>
        <v>0</v>
      </c>
    </row>
    <row r="31" spans="1:22" ht="12.75">
      <c r="A31" s="13">
        <v>43864</v>
      </c>
      <c r="B31" s="14">
        <f>SUM(E31,H31,K31,N31,Q31,T31)</f>
        <v>20663</v>
      </c>
      <c r="C31" s="34">
        <f>SUM(F31,I31,L31,O31,R31,U31)</f>
        <v>427</v>
      </c>
      <c r="D31" s="73">
        <f>SUM(G31,J31,M31,P31,S31,V31)</f>
        <v>621</v>
      </c>
      <c r="E31" s="15">
        <f>Afrique!B33</f>
        <v>0</v>
      </c>
      <c r="F31" s="15">
        <f>Afrique!C33</f>
        <v>0</v>
      </c>
      <c r="G31" s="17">
        <f>Afrique!D33</f>
        <v>0</v>
      </c>
      <c r="H31" s="14">
        <f>Amérique!B33</f>
        <v>15</v>
      </c>
      <c r="I31" s="15">
        <f>Amérique!C33</f>
        <v>0</v>
      </c>
      <c r="J31" s="17">
        <f>Amérique!D33</f>
        <v>0</v>
      </c>
      <c r="K31" s="14">
        <f>Asie!B33</f>
        <v>20609</v>
      </c>
      <c r="L31" s="34">
        <f>Asie!C33</f>
        <v>427</v>
      </c>
      <c r="M31" s="74">
        <f>Asie!D33</f>
        <v>621</v>
      </c>
      <c r="N31" s="14">
        <f>Europe!B33</f>
        <v>27</v>
      </c>
      <c r="O31" s="15">
        <f>Europe!C33</f>
        <v>0</v>
      </c>
      <c r="P31" s="17">
        <f>Europe!D33</f>
        <v>0</v>
      </c>
      <c r="Q31" s="14">
        <f>Océanieautres!B33</f>
        <v>12</v>
      </c>
      <c r="R31" s="15">
        <f>Océanieautres!C33</f>
        <v>0</v>
      </c>
      <c r="S31" s="17">
        <f>Océanieautres!D33</f>
        <v>0</v>
      </c>
      <c r="T31" s="18">
        <f>Océanieautres!AB33</f>
        <v>0</v>
      </c>
      <c r="U31" s="18">
        <f>Océanieautres!AC33</f>
        <v>0</v>
      </c>
      <c r="V31" s="18">
        <f>Océanieautres!AD33</f>
        <v>0</v>
      </c>
    </row>
    <row r="32" spans="1:22" ht="12.75">
      <c r="A32" s="13">
        <v>43865</v>
      </c>
      <c r="B32" s="14">
        <f>SUM(E32,H32,K32,N32,Q32,T32)</f>
        <v>24590</v>
      </c>
      <c r="C32" s="34">
        <f>SUM(F32,I32,L32,O32,R32,U32)</f>
        <v>494</v>
      </c>
      <c r="D32" s="73">
        <f>SUM(G32,J32,M32,P32,S32,V32)</f>
        <v>899</v>
      </c>
      <c r="E32" s="15">
        <f>Afrique!B34</f>
        <v>0</v>
      </c>
      <c r="F32" s="15">
        <f>Afrique!C34</f>
        <v>0</v>
      </c>
      <c r="G32" s="17">
        <f>Afrique!D34</f>
        <v>0</v>
      </c>
      <c r="H32" s="14">
        <f>Amérique!B34</f>
        <v>16</v>
      </c>
      <c r="I32" s="15">
        <f>Amérique!C34</f>
        <v>0</v>
      </c>
      <c r="J32" s="17">
        <f>Amérique!D34</f>
        <v>0</v>
      </c>
      <c r="K32" s="14">
        <f>Asie!B34</f>
        <v>24523</v>
      </c>
      <c r="L32" s="34">
        <f>Asie!C34</f>
        <v>494</v>
      </c>
      <c r="M32" s="74">
        <f>Asie!D34</f>
        <v>899</v>
      </c>
      <c r="N32" s="14">
        <f>Europe!B34</f>
        <v>28</v>
      </c>
      <c r="O32" s="15">
        <f>Europe!C34</f>
        <v>0</v>
      </c>
      <c r="P32" s="17">
        <f>Europe!D34</f>
        <v>0</v>
      </c>
      <c r="Q32" s="14">
        <f>Océanieautres!B34</f>
        <v>13</v>
      </c>
      <c r="R32" s="15">
        <f>Océanieautres!C34</f>
        <v>0</v>
      </c>
      <c r="S32" s="17">
        <f>Océanieautres!D34</f>
        <v>0</v>
      </c>
      <c r="T32" s="82">
        <f>Océanieautres!AB34</f>
        <v>10</v>
      </c>
      <c r="U32" s="18">
        <f>Océanieautres!AC34</f>
        <v>0</v>
      </c>
      <c r="V32" s="18">
        <f>Océanieautres!AD34</f>
        <v>0</v>
      </c>
    </row>
    <row r="33" spans="1:22" ht="12.75">
      <c r="A33" s="13">
        <v>43866</v>
      </c>
      <c r="B33" s="14">
        <f>SUM(E33,H33,K33,N33,Q33,T33)</f>
        <v>28318</v>
      </c>
      <c r="C33" s="34">
        <f>SUM(F33,I33,L33,O33,R33,U33)</f>
        <v>567</v>
      </c>
      <c r="D33" s="73">
        <f>SUM(G33,J33,M33,P33,S33,V33)</f>
        <v>1100</v>
      </c>
      <c r="E33" s="15">
        <f>Afrique!B35</f>
        <v>0</v>
      </c>
      <c r="F33" s="15">
        <f>Afrique!C35</f>
        <v>0</v>
      </c>
      <c r="G33" s="17">
        <f>Afrique!D35</f>
        <v>0</v>
      </c>
      <c r="H33" s="14">
        <f>Amérique!B35</f>
        <v>17</v>
      </c>
      <c r="I33" s="15">
        <f>Amérique!C35</f>
        <v>0</v>
      </c>
      <c r="J33" s="17">
        <f>Amérique!D35</f>
        <v>0</v>
      </c>
      <c r="K33" s="14">
        <f>Asie!B35</f>
        <v>28239</v>
      </c>
      <c r="L33" s="34">
        <f>Asie!C35</f>
        <v>567</v>
      </c>
      <c r="M33" s="74">
        <f>Asie!D35</f>
        <v>1100</v>
      </c>
      <c r="N33" s="14">
        <f>Europe!B35</f>
        <v>28</v>
      </c>
      <c r="O33" s="15">
        <f>Europe!C35</f>
        <v>0</v>
      </c>
      <c r="P33" s="17">
        <f>Europe!D35</f>
        <v>0</v>
      </c>
      <c r="Q33" s="14">
        <f>Océanieautres!B35</f>
        <v>14</v>
      </c>
      <c r="R33" s="15">
        <f>Océanieautres!C35</f>
        <v>0</v>
      </c>
      <c r="S33" s="17">
        <f>Océanieautres!D35</f>
        <v>0</v>
      </c>
      <c r="T33" s="82">
        <f>Océanieautres!AB35</f>
        <v>20</v>
      </c>
      <c r="U33" s="18">
        <f>Océanieautres!AC35</f>
        <v>0</v>
      </c>
      <c r="V33" s="18">
        <f>Océanieautres!AD35</f>
        <v>0</v>
      </c>
    </row>
    <row r="34" spans="1:22" ht="12.75">
      <c r="A34" s="13">
        <v>43867</v>
      </c>
      <c r="B34" s="14">
        <f>SUM(E34,H34,K34,N34,Q34,T34)</f>
        <v>31461</v>
      </c>
      <c r="C34" s="34">
        <f>SUM(F34,I34,L34,O34,R34,U34)</f>
        <v>640</v>
      </c>
      <c r="D34" s="73">
        <f>SUM(G34,J34,M34,P34,S34,V34)</f>
        <v>1500</v>
      </c>
      <c r="E34" s="15">
        <f>Afrique!B36</f>
        <v>0</v>
      </c>
      <c r="F34" s="15">
        <f>Afrique!C36</f>
        <v>0</v>
      </c>
      <c r="G34" s="17">
        <f>Afrique!D36</f>
        <v>0</v>
      </c>
      <c r="H34" s="14">
        <f>Amérique!B36</f>
        <v>19</v>
      </c>
      <c r="I34" s="15">
        <f>Amérique!C36</f>
        <v>0</v>
      </c>
      <c r="J34" s="17">
        <f>Amérique!D36</f>
        <v>0</v>
      </c>
      <c r="K34" s="14">
        <f>Asie!B36</f>
        <v>31355</v>
      </c>
      <c r="L34" s="34">
        <f>Asie!C36</f>
        <v>640</v>
      </c>
      <c r="M34" s="74">
        <f>Asie!D36</f>
        <v>1500</v>
      </c>
      <c r="N34" s="14">
        <f>Europe!B36</f>
        <v>31</v>
      </c>
      <c r="O34" s="15">
        <f>Europe!C36</f>
        <v>0</v>
      </c>
      <c r="P34" s="17">
        <f>Europe!D36</f>
        <v>0</v>
      </c>
      <c r="Q34" s="14">
        <f>Océanieautres!B36</f>
        <v>15</v>
      </c>
      <c r="R34" s="15">
        <f>Océanieautres!C36</f>
        <v>0</v>
      </c>
      <c r="S34" s="17">
        <f>Océanieautres!D36</f>
        <v>0</v>
      </c>
      <c r="T34" s="82">
        <f>Océanieautres!AB36</f>
        <v>41</v>
      </c>
      <c r="U34" s="18">
        <f>Océanieautres!AC36</f>
        <v>0</v>
      </c>
      <c r="V34" s="18">
        <f>Océanieautres!AD36</f>
        <v>0</v>
      </c>
    </row>
    <row r="35" spans="1:22" ht="12.75">
      <c r="A35" s="13">
        <v>43868</v>
      </c>
      <c r="B35" s="14">
        <f>SUM(E35,H35,K35,N35,Q35,T35)</f>
        <v>34884</v>
      </c>
      <c r="C35" s="34">
        <f>SUM(F35,I35,L35,O35,R35,U35)</f>
        <v>726</v>
      </c>
      <c r="D35" s="73">
        <f>SUM(G35,J35,M35,P35,S35,V35)</f>
        <v>2000</v>
      </c>
      <c r="E35" s="15">
        <f>Afrique!B37</f>
        <v>0</v>
      </c>
      <c r="F35" s="15">
        <f>Afrique!C37</f>
        <v>0</v>
      </c>
      <c r="G35" s="17">
        <f>Afrique!D37</f>
        <v>0</v>
      </c>
      <c r="H35" s="14">
        <f>Amérique!B37</f>
        <v>19</v>
      </c>
      <c r="I35" s="15">
        <f>Amérique!C37</f>
        <v>0</v>
      </c>
      <c r="J35" s="17">
        <f>Amérique!D37</f>
        <v>0</v>
      </c>
      <c r="K35" s="14">
        <f>Asie!B37</f>
        <v>34754</v>
      </c>
      <c r="L35" s="34">
        <f>Asie!C37</f>
        <v>726</v>
      </c>
      <c r="M35" s="74">
        <f>Asie!D37</f>
        <v>2000</v>
      </c>
      <c r="N35" s="14">
        <f>Europe!B37</f>
        <v>32</v>
      </c>
      <c r="O35" s="15">
        <f>Europe!C37</f>
        <v>0</v>
      </c>
      <c r="P35" s="17">
        <f>Europe!D37</f>
        <v>0</v>
      </c>
      <c r="Q35" s="14">
        <f>Océanieautres!B37</f>
        <v>15</v>
      </c>
      <c r="R35" s="15">
        <f>Océanieautres!C37</f>
        <v>0</v>
      </c>
      <c r="S35" s="17">
        <f>Océanieautres!D37</f>
        <v>0</v>
      </c>
      <c r="T35" s="82">
        <f>Océanieautres!AB37</f>
        <v>64</v>
      </c>
      <c r="U35" s="18">
        <f>Océanieautres!AC37</f>
        <v>0</v>
      </c>
      <c r="V35" s="18">
        <f>Océanieautres!AD37</f>
        <v>0</v>
      </c>
    </row>
    <row r="36" spans="1:22" ht="12.75">
      <c r="A36" s="13">
        <v>43869</v>
      </c>
      <c r="B36" s="14">
        <f>SUM(E36,H36,K36,N36,Q36,T36)</f>
        <v>37558</v>
      </c>
      <c r="C36" s="34">
        <f>SUM(F36,I36,L36,O36,R36,U36)</f>
        <v>815</v>
      </c>
      <c r="D36" s="73">
        <f>SUM(G36,J36,M36,P36,S36,V36)</f>
        <v>2600</v>
      </c>
      <c r="E36" s="15">
        <f>Afrique!B38</f>
        <v>0</v>
      </c>
      <c r="F36" s="15">
        <f>Afrique!C38</f>
        <v>0</v>
      </c>
      <c r="G36" s="17">
        <f>Afrique!D38</f>
        <v>0</v>
      </c>
      <c r="H36" s="14">
        <f>Amérique!B38</f>
        <v>19</v>
      </c>
      <c r="I36" s="15">
        <f>Amérique!C38</f>
        <v>0</v>
      </c>
      <c r="J36" s="17">
        <f>Amérique!D38</f>
        <v>0</v>
      </c>
      <c r="K36" s="14">
        <f>Asie!B38</f>
        <v>37423</v>
      </c>
      <c r="L36" s="34">
        <f>Asie!C38</f>
        <v>815</v>
      </c>
      <c r="M36" s="74">
        <f>Asie!D38</f>
        <v>2600</v>
      </c>
      <c r="N36" s="14">
        <f>Europe!B38</f>
        <v>37</v>
      </c>
      <c r="O36" s="15">
        <f>Europe!C38</f>
        <v>0</v>
      </c>
      <c r="P36" s="17">
        <f>Europe!D38</f>
        <v>0</v>
      </c>
      <c r="Q36" s="14">
        <f>Océanieautres!B38</f>
        <v>15</v>
      </c>
      <c r="R36" s="15">
        <f>Océanieautres!C38</f>
        <v>0</v>
      </c>
      <c r="S36" s="17">
        <f>Océanieautres!D38</f>
        <v>0</v>
      </c>
      <c r="T36" s="82">
        <f>Océanieautres!AB38</f>
        <v>64</v>
      </c>
      <c r="U36" s="18">
        <f>Océanieautres!AC38</f>
        <v>0</v>
      </c>
      <c r="V36" s="18">
        <f>Océanieautres!AD38</f>
        <v>0</v>
      </c>
    </row>
    <row r="37" spans="1:22" ht="12.75">
      <c r="A37" s="13">
        <v>43870</v>
      </c>
      <c r="B37" s="14">
        <f>SUM(E37,H37,K37,N37,Q37,T37)</f>
        <v>40554</v>
      </c>
      <c r="C37" s="34">
        <f>SUM(F37,I37,L37,O37,R37,U37)</f>
        <v>912</v>
      </c>
      <c r="D37" s="73">
        <f>SUM(G37,J37,M37,P37,S37,V37)</f>
        <v>3200</v>
      </c>
      <c r="E37" s="15">
        <f>Afrique!B39</f>
        <v>0</v>
      </c>
      <c r="F37" s="15">
        <f>Afrique!C39</f>
        <v>0</v>
      </c>
      <c r="G37" s="17">
        <f>Afrique!D39</f>
        <v>0</v>
      </c>
      <c r="H37" s="14">
        <f>Amérique!B39</f>
        <v>19</v>
      </c>
      <c r="I37" s="15">
        <f>Amérique!C39</f>
        <v>0</v>
      </c>
      <c r="J37" s="17">
        <f>Amérique!D39</f>
        <v>0</v>
      </c>
      <c r="K37" s="14">
        <f>Asie!B39</f>
        <v>40411</v>
      </c>
      <c r="L37" s="34">
        <f>Asie!C39</f>
        <v>912</v>
      </c>
      <c r="M37" s="74">
        <f>Asie!D39</f>
        <v>3200</v>
      </c>
      <c r="N37" s="14">
        <f>Europe!B39</f>
        <v>39</v>
      </c>
      <c r="O37" s="15">
        <f>Europe!C39</f>
        <v>0</v>
      </c>
      <c r="P37" s="17">
        <f>Europe!D39</f>
        <v>0</v>
      </c>
      <c r="Q37" s="14">
        <f>Océanieautres!B39</f>
        <v>15</v>
      </c>
      <c r="R37" s="15">
        <f>Océanieautres!C39</f>
        <v>0</v>
      </c>
      <c r="S37" s="17">
        <f>Océanieautres!D39</f>
        <v>0</v>
      </c>
      <c r="T37" s="82">
        <f>Océanieautres!AB39</f>
        <v>70</v>
      </c>
      <c r="U37" s="18">
        <f>Océanieautres!AC39</f>
        <v>0</v>
      </c>
      <c r="V37" s="18">
        <f>Océanieautres!AD39</f>
        <v>0</v>
      </c>
    </row>
    <row r="38" spans="1:22" ht="12.75">
      <c r="A38" s="13">
        <v>43871</v>
      </c>
      <c r="B38" s="14">
        <f>SUM(E38,H38,K38,N38,Q38,T38)</f>
        <v>43097</v>
      </c>
      <c r="C38" s="34">
        <f>SUM(F38,I38,L38,O38,R38,U38)</f>
        <v>1020</v>
      </c>
      <c r="D38" s="73">
        <f>SUM(G38,J38,M38,P38,S38,V38)</f>
        <v>3900</v>
      </c>
      <c r="E38" s="15">
        <f>Afrique!B40</f>
        <v>0</v>
      </c>
      <c r="F38" s="15">
        <f>Afrique!C40</f>
        <v>0</v>
      </c>
      <c r="G38" s="17">
        <f>Afrique!D40</f>
        <v>0</v>
      </c>
      <c r="H38" s="14">
        <f>Amérique!B40</f>
        <v>20</v>
      </c>
      <c r="I38" s="15">
        <f>Amérique!C40</f>
        <v>0</v>
      </c>
      <c r="J38" s="17">
        <f>Amérique!D40</f>
        <v>0</v>
      </c>
      <c r="K38" s="14">
        <f>Asie!B40</f>
        <v>42884</v>
      </c>
      <c r="L38" s="34">
        <f>Asie!C40</f>
        <v>1020</v>
      </c>
      <c r="M38" s="74">
        <f>Asie!D40</f>
        <v>3900</v>
      </c>
      <c r="N38" s="14">
        <f>Europe!B40</f>
        <v>43</v>
      </c>
      <c r="O38" s="15">
        <f>Europe!C40</f>
        <v>0</v>
      </c>
      <c r="P38" s="17">
        <f>Europe!D40</f>
        <v>0</v>
      </c>
      <c r="Q38" s="14">
        <f>Océanieautres!B40</f>
        <v>15</v>
      </c>
      <c r="R38" s="15">
        <f>Océanieautres!C40</f>
        <v>0</v>
      </c>
      <c r="S38" s="17">
        <f>Océanieautres!D40</f>
        <v>0</v>
      </c>
      <c r="T38" s="82">
        <f>Océanieautres!AB40</f>
        <v>135</v>
      </c>
      <c r="U38" s="18">
        <f>Océanieautres!AC40</f>
        <v>0</v>
      </c>
      <c r="V38" s="18">
        <f>Océanieautres!AD40</f>
        <v>0</v>
      </c>
    </row>
    <row r="39" spans="1:22" ht="15" customHeight="1">
      <c r="A39" s="13">
        <v>43872</v>
      </c>
      <c r="B39" s="14">
        <f>SUM(E39,H39,K39,N39,Q39,T39)</f>
        <v>45172</v>
      </c>
      <c r="C39" s="34">
        <f>SUM(F39,I39,L39,O39,R39,U39)</f>
        <v>1117</v>
      </c>
      <c r="D39" s="73">
        <f>SUM(G39,J39,M39,P39,S39,V39)</f>
        <v>4700</v>
      </c>
      <c r="E39" s="15">
        <f>Afrique!B41</f>
        <v>0</v>
      </c>
      <c r="F39" s="15">
        <f>Afrique!C41</f>
        <v>0</v>
      </c>
      <c r="G39" s="17">
        <f>Afrique!D41</f>
        <v>0</v>
      </c>
      <c r="H39" s="14">
        <f>Amérique!B41</f>
        <v>20</v>
      </c>
      <c r="I39" s="15">
        <f>Amérique!C41</f>
        <v>0</v>
      </c>
      <c r="J39" s="17">
        <f>Amérique!D41</f>
        <v>0</v>
      </c>
      <c r="K39" s="14">
        <f>Asie!B41</f>
        <v>44916</v>
      </c>
      <c r="L39" s="34">
        <f>Asie!C41</f>
        <v>1117</v>
      </c>
      <c r="M39" s="74">
        <f>Asie!D41</f>
        <v>4700</v>
      </c>
      <c r="N39" s="14">
        <f>Europe!B41</f>
        <v>46</v>
      </c>
      <c r="O39" s="15">
        <f>Europe!C41</f>
        <v>0</v>
      </c>
      <c r="P39" s="17">
        <f>Europe!D41</f>
        <v>0</v>
      </c>
      <c r="Q39" s="14">
        <f>Océanieautres!B41</f>
        <v>15</v>
      </c>
      <c r="R39" s="15">
        <f>Océanieautres!C41</f>
        <v>0</v>
      </c>
      <c r="S39" s="17">
        <f>Océanieautres!D41</f>
        <v>0</v>
      </c>
      <c r="T39" s="82">
        <f>Océanieautres!AB41</f>
        <v>175</v>
      </c>
      <c r="U39" s="18">
        <f>Océanieautres!AC41</f>
        <v>0</v>
      </c>
      <c r="V39" s="18">
        <f>Océanieautres!AD41</f>
        <v>0</v>
      </c>
    </row>
    <row r="40" spans="1:22" ht="12.75">
      <c r="A40" s="13">
        <v>43873</v>
      </c>
      <c r="B40" s="14">
        <f>SUM(E40,H40,K40,N40,Q40,T40)</f>
        <v>46998</v>
      </c>
      <c r="C40" s="34">
        <f>SUM(F40,I40,L40,O40,R40,U40)</f>
        <v>1371</v>
      </c>
      <c r="D40" s="73">
        <f>SUM(G40,J40,M40,P40,S40,V40)</f>
        <v>5200</v>
      </c>
      <c r="E40" s="15">
        <f>Afrique!B42</f>
        <v>0</v>
      </c>
      <c r="F40" s="15">
        <f>Afrique!C42</f>
        <v>0</v>
      </c>
      <c r="G40" s="17">
        <f>Afrique!D42</f>
        <v>0</v>
      </c>
      <c r="H40" s="14">
        <f>Amérique!B42</f>
        <v>21</v>
      </c>
      <c r="I40" s="15">
        <f>Amérique!C42</f>
        <v>0</v>
      </c>
      <c r="J40" s="17">
        <f>Amérique!D42</f>
        <v>0</v>
      </c>
      <c r="K40" s="14">
        <f>Asie!B42</f>
        <v>46741</v>
      </c>
      <c r="L40" s="34">
        <f>Asie!C42</f>
        <v>1371</v>
      </c>
      <c r="M40" s="74">
        <f>Asie!D42</f>
        <v>5200</v>
      </c>
      <c r="N40" s="14">
        <f>Europe!B42</f>
        <v>46</v>
      </c>
      <c r="O40" s="15">
        <f>Europe!C42</f>
        <v>0</v>
      </c>
      <c r="P40" s="17">
        <f>Europe!D42</f>
        <v>0</v>
      </c>
      <c r="Q40" s="14">
        <f>Océanieautres!B42</f>
        <v>15</v>
      </c>
      <c r="R40" s="15">
        <f>Océanieautres!C42</f>
        <v>0</v>
      </c>
      <c r="S40" s="17">
        <f>Océanieautres!D42</f>
        <v>0</v>
      </c>
      <c r="T40" s="82">
        <f>Océanieautres!AB42</f>
        <v>175</v>
      </c>
      <c r="U40" s="18">
        <f>Océanieautres!AC42</f>
        <v>0</v>
      </c>
      <c r="V40" s="18">
        <f>Océanieautres!AD42</f>
        <v>0</v>
      </c>
    </row>
    <row r="41" spans="1:22" ht="12.75">
      <c r="A41" s="13">
        <v>43874</v>
      </c>
      <c r="B41" s="14">
        <f>SUM(E41,H41,K41,N41,Q41,T41)</f>
        <v>64437</v>
      </c>
      <c r="C41" s="34">
        <f>SUM(F41,I41,L41,O41,R41,U41)</f>
        <v>1385</v>
      </c>
      <c r="D41" s="73">
        <f>SUM(G41,J41,M41,P41,S41,V41)</f>
        <v>6300</v>
      </c>
      <c r="E41" s="15">
        <f>Afrique!B43</f>
        <v>0</v>
      </c>
      <c r="F41" s="15">
        <f>Afrique!C43</f>
        <v>0</v>
      </c>
      <c r="G41" s="17">
        <f>Afrique!D43</f>
        <v>0</v>
      </c>
      <c r="H41" s="14">
        <f>Amérique!B43</f>
        <v>22</v>
      </c>
      <c r="I41" s="15">
        <f>Amérique!C43</f>
        <v>0</v>
      </c>
      <c r="J41" s="17">
        <f>Amérique!D43</f>
        <v>0</v>
      </c>
      <c r="K41" s="14">
        <f>Asie!B43</f>
        <v>64136</v>
      </c>
      <c r="L41" s="34">
        <f>Asie!C43</f>
        <v>1385</v>
      </c>
      <c r="M41" s="74">
        <f>Asie!D43</f>
        <v>6300</v>
      </c>
      <c r="N41" s="14">
        <f>Europe!B43</f>
        <v>46</v>
      </c>
      <c r="O41" s="15">
        <f>Europe!C43</f>
        <v>0</v>
      </c>
      <c r="P41" s="17">
        <f>Europe!D43</f>
        <v>0</v>
      </c>
      <c r="Q41" s="14">
        <f>Océanieautres!B43</f>
        <v>15</v>
      </c>
      <c r="R41" s="15">
        <f>Océanieautres!C43</f>
        <v>0</v>
      </c>
      <c r="S41" s="17">
        <f>Océanieautres!D43</f>
        <v>0</v>
      </c>
      <c r="T41" s="82">
        <f>Océanieautres!AB43</f>
        <v>218</v>
      </c>
      <c r="U41" s="18">
        <f>Océanieautres!AC43</f>
        <v>0</v>
      </c>
      <c r="V41" s="18">
        <f>Océanieautres!AD43</f>
        <v>0</v>
      </c>
    </row>
    <row r="42" spans="1:22" ht="12.75">
      <c r="A42" s="13">
        <v>43875</v>
      </c>
      <c r="B42" s="14">
        <f>SUM(E42,H42,K42,N42,Q42,T42)</f>
        <v>65102</v>
      </c>
      <c r="C42" s="34">
        <f>SUM(F42,I42,L42,O42,R42,U42)</f>
        <v>1529</v>
      </c>
      <c r="D42" s="73">
        <f>SUM(G42,J42,M42,P42,S42,V42)</f>
        <v>8100</v>
      </c>
      <c r="E42" s="14">
        <f>Afrique!B44</f>
        <v>1</v>
      </c>
      <c r="F42" s="15">
        <f>Afrique!C44</f>
        <v>0</v>
      </c>
      <c r="G42" s="17">
        <f>Afrique!D44</f>
        <v>0</v>
      </c>
      <c r="H42" s="14">
        <f>Amérique!B44</f>
        <v>22</v>
      </c>
      <c r="I42" s="15">
        <f>Amérique!C44</f>
        <v>0</v>
      </c>
      <c r="J42" s="17">
        <f>Amérique!D44</f>
        <v>0</v>
      </c>
      <c r="K42" s="14">
        <f>Asie!B44</f>
        <v>64800</v>
      </c>
      <c r="L42" s="34">
        <f>Asie!C44</f>
        <v>1528</v>
      </c>
      <c r="M42" s="74">
        <f>Asie!D44</f>
        <v>8100</v>
      </c>
      <c r="N42" s="14">
        <f>Europe!B44</f>
        <v>46</v>
      </c>
      <c r="O42" s="34">
        <f>Europe!C44</f>
        <v>1</v>
      </c>
      <c r="P42" s="17">
        <f>Europe!D44</f>
        <v>0</v>
      </c>
      <c r="Q42" s="14">
        <f>Océanieautres!B44</f>
        <v>15</v>
      </c>
      <c r="R42" s="15">
        <f>Océanieautres!C44</f>
        <v>0</v>
      </c>
      <c r="S42" s="17">
        <f>Océanieautres!D44</f>
        <v>0</v>
      </c>
      <c r="T42" s="82">
        <f>Océanieautres!AB44</f>
        <v>218</v>
      </c>
      <c r="U42" s="18">
        <f>Océanieautres!AC44</f>
        <v>0</v>
      </c>
      <c r="V42" s="18">
        <f>Océanieautres!AD44</f>
        <v>0</v>
      </c>
    </row>
    <row r="43" spans="1:22" ht="12.75">
      <c r="A43" s="13">
        <v>43876</v>
      </c>
      <c r="B43" s="14">
        <f>SUM(E43,H43,K43,N43,Q43,T43)</f>
        <v>69267</v>
      </c>
      <c r="C43" s="34">
        <f>SUM(F43,I43,L43,O43,R43,U43)</f>
        <v>1671</v>
      </c>
      <c r="D43" s="73">
        <f>SUM(G43,J43,M43,P43,S43,V43)</f>
        <v>9400</v>
      </c>
      <c r="E43" s="14">
        <f>Afrique!B45</f>
        <v>1</v>
      </c>
      <c r="F43" s="15">
        <f>Afrique!C45</f>
        <v>0</v>
      </c>
      <c r="G43" s="17">
        <f>Afrique!D45</f>
        <v>0</v>
      </c>
      <c r="H43" s="14">
        <f>Amérique!B45</f>
        <v>22</v>
      </c>
      <c r="I43" s="15">
        <f>Amérique!C45</f>
        <v>0</v>
      </c>
      <c r="J43" s="17">
        <f>Amérique!D45</f>
        <v>0</v>
      </c>
      <c r="K43" s="14">
        <f>Asie!B45</f>
        <v>68827</v>
      </c>
      <c r="L43" s="34">
        <f>Asie!C45</f>
        <v>1670</v>
      </c>
      <c r="M43" s="74">
        <f>Asie!D45</f>
        <v>9400</v>
      </c>
      <c r="N43" s="14">
        <f>Europe!B45</f>
        <v>47</v>
      </c>
      <c r="O43" s="34">
        <f>Europe!C45</f>
        <v>1</v>
      </c>
      <c r="P43" s="17">
        <f>Europe!D45</f>
        <v>0</v>
      </c>
      <c r="Q43" s="14">
        <f>Océanieautres!B45</f>
        <v>15</v>
      </c>
      <c r="R43" s="15">
        <f>Océanieautres!C45</f>
        <v>0</v>
      </c>
      <c r="S43" s="17">
        <f>Océanieautres!D45</f>
        <v>0</v>
      </c>
      <c r="T43" s="82">
        <f>Océanieautres!AB45</f>
        <v>355</v>
      </c>
      <c r="U43" s="18">
        <f>Océanieautres!AC45</f>
        <v>0</v>
      </c>
      <c r="V43" s="18">
        <f>Océanieautres!AD45</f>
        <v>0</v>
      </c>
    </row>
    <row r="44" spans="1:22" ht="12.75">
      <c r="A44" s="13">
        <v>43877</v>
      </c>
      <c r="B44" s="14">
        <f>SUM(E44,H44,K44,N44,Q44,T44)</f>
        <v>71429</v>
      </c>
      <c r="C44" s="34">
        <f>SUM(F44,I44,L44,O44,R44,U44)</f>
        <v>1778</v>
      </c>
      <c r="D44" s="73">
        <f>SUM(G44,J44,M44,P44,S44,V44)</f>
        <v>10900</v>
      </c>
      <c r="E44" s="14">
        <f>Afrique!B46</f>
        <v>1</v>
      </c>
      <c r="F44" s="15">
        <f>Afrique!C46</f>
        <v>0</v>
      </c>
      <c r="G44" s="17">
        <f>Afrique!D46</f>
        <v>0</v>
      </c>
      <c r="H44" s="14">
        <f>Amérique!B46</f>
        <v>22</v>
      </c>
      <c r="I44" s="15">
        <f>Amérique!C46</f>
        <v>0</v>
      </c>
      <c r="J44" s="17">
        <f>Amérique!D46</f>
        <v>0</v>
      </c>
      <c r="K44" s="14">
        <f>Asie!B46</f>
        <v>70890</v>
      </c>
      <c r="L44" s="34">
        <f>Asie!C46</f>
        <v>1777</v>
      </c>
      <c r="M44" s="74">
        <f>Asie!D46</f>
        <v>10900</v>
      </c>
      <c r="N44" s="14">
        <f>Europe!B46</f>
        <v>47</v>
      </c>
      <c r="O44" s="34">
        <f>Europe!C46</f>
        <v>1</v>
      </c>
      <c r="P44" s="17">
        <f>Europe!D46</f>
        <v>0</v>
      </c>
      <c r="Q44" s="14">
        <f>Océanieautres!B46</f>
        <v>15</v>
      </c>
      <c r="R44" s="15">
        <f>Océanieautres!C46</f>
        <v>0</v>
      </c>
      <c r="S44" s="17">
        <f>Océanieautres!D46</f>
        <v>0</v>
      </c>
      <c r="T44" s="82">
        <f>Océanieautres!AB46</f>
        <v>454</v>
      </c>
      <c r="U44" s="18">
        <f>Océanieautres!AC46</f>
        <v>0</v>
      </c>
      <c r="V44" s="18">
        <f>Océanieautres!AD46</f>
        <v>0</v>
      </c>
    </row>
    <row r="45" spans="1:22" ht="12.75">
      <c r="A45" s="13">
        <v>43878</v>
      </c>
      <c r="B45" s="14">
        <f>SUM(E45,H45,K45,N45,Q45,T45)</f>
        <v>73332</v>
      </c>
      <c r="C45" s="34">
        <f>SUM(F45,I45,L45,O45,R45,U45)</f>
        <v>1876</v>
      </c>
      <c r="D45" s="73">
        <f>SUM(G45,J45,M45,P45,S45,V45)</f>
        <v>12600</v>
      </c>
      <c r="E45" s="14">
        <f>Afrique!B47</f>
        <v>1</v>
      </c>
      <c r="F45" s="15">
        <f>Afrique!C47</f>
        <v>0</v>
      </c>
      <c r="G45" s="17">
        <f>Afrique!D47</f>
        <v>0</v>
      </c>
      <c r="H45" s="14">
        <f>Amérique!B47</f>
        <v>23</v>
      </c>
      <c r="I45" s="15">
        <f>Amérique!C47</f>
        <v>0</v>
      </c>
      <c r="J45" s="17">
        <f>Amérique!D47</f>
        <v>0</v>
      </c>
      <c r="K45" s="14">
        <f>Asie!B47</f>
        <v>72792</v>
      </c>
      <c r="L45" s="34">
        <f>Asie!C47</f>
        <v>1875</v>
      </c>
      <c r="M45" s="74">
        <f>Asie!D47</f>
        <v>12600</v>
      </c>
      <c r="N45" s="14">
        <f>Europe!B47</f>
        <v>47</v>
      </c>
      <c r="O45" s="34">
        <f>Europe!C47</f>
        <v>1</v>
      </c>
      <c r="P45" s="17">
        <f>Europe!D47</f>
        <v>0</v>
      </c>
      <c r="Q45" s="14">
        <f>Océanieautres!B47</f>
        <v>15</v>
      </c>
      <c r="R45" s="15">
        <f>Océanieautres!C47</f>
        <v>0</v>
      </c>
      <c r="S45" s="17">
        <f>Océanieautres!D47</f>
        <v>0</v>
      </c>
      <c r="T45" s="82">
        <f>Océanieautres!AB47</f>
        <v>454</v>
      </c>
      <c r="U45" s="18">
        <f>Océanieautres!AC47</f>
        <v>0</v>
      </c>
      <c r="V45" s="18">
        <f>Océanieautres!AD47</f>
        <v>0</v>
      </c>
    </row>
    <row r="46" spans="1:22" ht="12.75">
      <c r="A46" s="13">
        <v>43879</v>
      </c>
      <c r="B46" s="14">
        <f>SUM(E46,H46,K46,N46,Q46,T46)</f>
        <v>75203</v>
      </c>
      <c r="C46" s="34">
        <f>SUM(F46,I46,L46,O46,R46,U46)</f>
        <v>2012</v>
      </c>
      <c r="D46" s="73">
        <f>SUM(G46,J46,M46,P46,S46,V46)</f>
        <v>14400</v>
      </c>
      <c r="E46" s="14">
        <f>Afrique!B48</f>
        <v>1</v>
      </c>
      <c r="F46" s="15">
        <f>Afrique!C48</f>
        <v>0</v>
      </c>
      <c r="G46" s="17">
        <f>Afrique!D48</f>
        <v>0</v>
      </c>
      <c r="H46" s="14">
        <f>Amérique!B48</f>
        <v>23</v>
      </c>
      <c r="I46" s="15">
        <f>Amérique!C48</f>
        <v>0</v>
      </c>
      <c r="J46" s="17">
        <f>Amérique!D48</f>
        <v>0</v>
      </c>
      <c r="K46" s="14">
        <f>Asie!B48</f>
        <v>74575</v>
      </c>
      <c r="L46" s="34">
        <f>Asie!C48</f>
        <v>2011</v>
      </c>
      <c r="M46" s="74">
        <f>Asie!D48</f>
        <v>14400</v>
      </c>
      <c r="N46" s="14">
        <f>Europe!B48</f>
        <v>47</v>
      </c>
      <c r="O46" s="34">
        <f>Europe!C48</f>
        <v>1</v>
      </c>
      <c r="P46" s="17">
        <f>Europe!D48</f>
        <v>0</v>
      </c>
      <c r="Q46" s="14">
        <f>Océanieautres!B48</f>
        <v>15</v>
      </c>
      <c r="R46" s="15">
        <f>Océanieautres!C48</f>
        <v>0</v>
      </c>
      <c r="S46" s="17">
        <f>Océanieautres!D48</f>
        <v>0</v>
      </c>
      <c r="T46" s="82">
        <f>Océanieautres!AB48</f>
        <v>542</v>
      </c>
      <c r="U46" s="18">
        <f>Océanieautres!AC48</f>
        <v>0</v>
      </c>
      <c r="V46" s="18">
        <f>Océanieautres!AD48</f>
        <v>0</v>
      </c>
    </row>
    <row r="47" spans="1:22" ht="12.75">
      <c r="A47" s="13">
        <v>43880</v>
      </c>
      <c r="B47" s="14">
        <f>SUM(E47,H47,K47,N47,Q47,T47)</f>
        <v>75695</v>
      </c>
      <c r="C47" s="34">
        <f>SUM(F47,I47,L47,O47,R47,U47)</f>
        <v>2130</v>
      </c>
      <c r="D47" s="73">
        <f>SUM(G47,J47,M47,P47,S47,V47)</f>
        <v>16100</v>
      </c>
      <c r="E47" s="14">
        <f>Afrique!B49</f>
        <v>1</v>
      </c>
      <c r="F47" s="15">
        <f>Afrique!C49</f>
        <v>0</v>
      </c>
      <c r="G47" s="17">
        <f>Afrique!D49</f>
        <v>0</v>
      </c>
      <c r="H47" s="14">
        <f>Amérique!B49</f>
        <v>23</v>
      </c>
      <c r="I47" s="15">
        <f>Amérique!C49</f>
        <v>0</v>
      </c>
      <c r="J47" s="17">
        <f>Amérique!D49</f>
        <v>0</v>
      </c>
      <c r="K47" s="14">
        <f>Asie!B49</f>
        <v>74988</v>
      </c>
      <c r="L47" s="34">
        <f>Asie!C49</f>
        <v>2129</v>
      </c>
      <c r="M47" s="74">
        <f>Asie!D49</f>
        <v>16100</v>
      </c>
      <c r="N47" s="14">
        <f>Europe!B49</f>
        <v>47</v>
      </c>
      <c r="O47" s="34">
        <f>Europe!C49</f>
        <v>1</v>
      </c>
      <c r="P47" s="17">
        <f>Europe!D49</f>
        <v>0</v>
      </c>
      <c r="Q47" s="14">
        <f>Océanieautres!B49</f>
        <v>15</v>
      </c>
      <c r="R47" s="15">
        <f>Océanieautres!C49</f>
        <v>0</v>
      </c>
      <c r="S47" s="17">
        <f>Océanieautres!D49</f>
        <v>0</v>
      </c>
      <c r="T47" s="82">
        <f>Océanieautres!AB49</f>
        <v>621</v>
      </c>
      <c r="U47" s="18">
        <f>Océanieautres!AC49</f>
        <v>0</v>
      </c>
      <c r="V47" s="18">
        <f>Océanieautres!AD49</f>
        <v>0</v>
      </c>
    </row>
    <row r="48" spans="1:22" ht="12.75">
      <c r="A48" s="13">
        <v>43881</v>
      </c>
      <c r="B48" s="14">
        <f>SUM(E48,H48,K48,N48,Q48,T48)</f>
        <v>76769</v>
      </c>
      <c r="C48" s="34">
        <f>SUM(F48,I48,L48,O48,R48,U48)</f>
        <v>2250</v>
      </c>
      <c r="D48" s="73">
        <f>SUM(G48,J48,M48,P48,S48,V48)</f>
        <v>18200</v>
      </c>
      <c r="E48" s="14">
        <f>Afrique!B50</f>
        <v>1</v>
      </c>
      <c r="F48" s="15">
        <f>Afrique!C50</f>
        <v>0</v>
      </c>
      <c r="G48" s="17">
        <f>Afrique!D50</f>
        <v>0</v>
      </c>
      <c r="H48" s="14">
        <f>Amérique!B50</f>
        <v>23</v>
      </c>
      <c r="I48" s="15">
        <f>Amérique!C50</f>
        <v>0</v>
      </c>
      <c r="J48" s="17">
        <f>Amérique!D50</f>
        <v>0</v>
      </c>
      <c r="K48" s="14">
        <f>Asie!B50</f>
        <v>76047</v>
      </c>
      <c r="L48" s="34">
        <f>Asie!C50</f>
        <v>2247</v>
      </c>
      <c r="M48" s="74">
        <f>Asie!D50</f>
        <v>18200</v>
      </c>
      <c r="N48" s="14">
        <f>Europe!B50</f>
        <v>47</v>
      </c>
      <c r="O48" s="34">
        <f>Europe!C50</f>
        <v>1</v>
      </c>
      <c r="P48" s="17">
        <f>Europe!D50</f>
        <v>0</v>
      </c>
      <c r="Q48" s="14">
        <f>Océanieautres!B50</f>
        <v>17</v>
      </c>
      <c r="R48" s="15">
        <f>Océanieautres!C50</f>
        <v>0</v>
      </c>
      <c r="S48" s="17">
        <f>Océanieautres!D50</f>
        <v>0</v>
      </c>
      <c r="T48" s="82">
        <f>Océanieautres!AB50</f>
        <v>634</v>
      </c>
      <c r="U48" s="94">
        <f>Océanieautres!AC50</f>
        <v>2</v>
      </c>
      <c r="V48" s="95">
        <f>Océanieautres!AD50</f>
        <v>0</v>
      </c>
    </row>
    <row r="49" spans="1:22" ht="12.75">
      <c r="A49" s="13">
        <v>43882</v>
      </c>
      <c r="B49" s="14">
        <f>SUM(E49,H49,K49,N49,Q49,T49)</f>
        <v>77794</v>
      </c>
      <c r="C49" s="34">
        <f>SUM(F49,I49,L49,O49,R49,U49)</f>
        <v>2362</v>
      </c>
      <c r="D49" s="73">
        <f>SUM(G49,J49,M49,P49,S49,V49)</f>
        <v>18900</v>
      </c>
      <c r="E49" s="14">
        <f>Afrique!B51</f>
        <v>1</v>
      </c>
      <c r="F49" s="15">
        <f>Afrique!C51</f>
        <v>0</v>
      </c>
      <c r="G49" s="17">
        <f>Afrique!D51</f>
        <v>0</v>
      </c>
      <c r="H49" s="14">
        <f>Amérique!B51</f>
        <v>43</v>
      </c>
      <c r="I49" s="15">
        <f>Amérique!C51</f>
        <v>0</v>
      </c>
      <c r="J49" s="17">
        <f>Amérique!D51</f>
        <v>0</v>
      </c>
      <c r="K49" s="14">
        <f>Asie!B51</f>
        <v>77042</v>
      </c>
      <c r="L49" s="34">
        <f>Asie!C51</f>
        <v>2359</v>
      </c>
      <c r="M49" s="74">
        <f>Asie!D51</f>
        <v>18900</v>
      </c>
      <c r="N49" s="14">
        <f>Europe!B51</f>
        <v>53</v>
      </c>
      <c r="O49" s="34">
        <f>Europe!C51</f>
        <v>1</v>
      </c>
      <c r="P49" s="17">
        <f>Europe!D51</f>
        <v>0</v>
      </c>
      <c r="Q49" s="14">
        <f>Océanieautres!B51</f>
        <v>21</v>
      </c>
      <c r="R49" s="15">
        <f>Océanieautres!C51</f>
        <v>0</v>
      </c>
      <c r="S49" s="17">
        <f>Océanieautres!D51</f>
        <v>0</v>
      </c>
      <c r="T49" s="82">
        <f>Océanieautres!AB51</f>
        <v>634</v>
      </c>
      <c r="U49" s="94">
        <f>Océanieautres!AC51</f>
        <v>2</v>
      </c>
      <c r="V49" s="95">
        <f>Océanieautres!AD51</f>
        <v>0</v>
      </c>
    </row>
    <row r="50" spans="1:22" ht="12.75">
      <c r="A50" s="13">
        <v>43883</v>
      </c>
      <c r="B50" s="14">
        <f>SUM(E50,H50,K50,N50,Q50,T50)</f>
        <v>78811</v>
      </c>
      <c r="C50" s="34">
        <f>SUM(F50,I50,L50,O50,R50,U50)</f>
        <v>2465</v>
      </c>
      <c r="D50" s="73">
        <f>SUM(G50,J50,M50,P50,S50,V50)</f>
        <v>22900</v>
      </c>
      <c r="E50" s="14">
        <f>Afrique!B52</f>
        <v>1</v>
      </c>
      <c r="F50" s="15">
        <f>Afrique!C52</f>
        <v>0</v>
      </c>
      <c r="G50" s="17">
        <f>Afrique!D52</f>
        <v>0</v>
      </c>
      <c r="H50" s="14">
        <f>Amérique!B52</f>
        <v>44</v>
      </c>
      <c r="I50" s="15">
        <f>Amérique!C52</f>
        <v>0</v>
      </c>
      <c r="J50" s="17">
        <f>Amérique!D52</f>
        <v>0</v>
      </c>
      <c r="K50" s="14">
        <f>Asie!B52</f>
        <v>77990</v>
      </c>
      <c r="L50" s="34">
        <f>Asie!C52</f>
        <v>2460</v>
      </c>
      <c r="M50" s="74">
        <f>Asie!D52</f>
        <v>22900</v>
      </c>
      <c r="N50" s="14">
        <f>Europe!B52</f>
        <v>120</v>
      </c>
      <c r="O50" s="34">
        <f>Europe!C52</f>
        <v>3</v>
      </c>
      <c r="P50" s="17">
        <f>Europe!D52</f>
        <v>0</v>
      </c>
      <c r="Q50" s="14">
        <f>Océanieautres!B52</f>
        <v>22</v>
      </c>
      <c r="R50" s="15">
        <f>Océanieautres!C52</f>
        <v>0</v>
      </c>
      <c r="S50" s="17">
        <f>Océanieautres!D52</f>
        <v>0</v>
      </c>
      <c r="T50" s="82">
        <f>Océanieautres!AB52</f>
        <v>634</v>
      </c>
      <c r="U50" s="94">
        <f>Océanieautres!AC52</f>
        <v>2</v>
      </c>
      <c r="V50" s="95">
        <f>Océanieautres!AD52</f>
        <v>0</v>
      </c>
    </row>
    <row r="51" spans="1:22" ht="12.75">
      <c r="A51" s="13">
        <v>43884</v>
      </c>
      <c r="B51" s="14">
        <f>SUM(E51,H51,K51,N51,Q51,T51)</f>
        <v>79325</v>
      </c>
      <c r="C51" s="34">
        <f>SUM(F51,I51,L51,O51,R51,U51)</f>
        <v>2622</v>
      </c>
      <c r="D51" s="73">
        <f>SUM(G51,J51,M51,P51,S51,V51)</f>
        <v>23400</v>
      </c>
      <c r="E51" s="14">
        <f>Afrique!B53</f>
        <v>1</v>
      </c>
      <c r="F51" s="15">
        <f>Afrique!C53</f>
        <v>0</v>
      </c>
      <c r="G51" s="17">
        <f>Afrique!D53</f>
        <v>0</v>
      </c>
      <c r="H51" s="14">
        <f>Amérique!B53</f>
        <v>44</v>
      </c>
      <c r="I51" s="15">
        <f>Amérique!C53</f>
        <v>0</v>
      </c>
      <c r="J51" s="17">
        <f>Amérique!D53</f>
        <v>0</v>
      </c>
      <c r="K51" s="14">
        <f>Asie!B53</f>
        <v>78399</v>
      </c>
      <c r="L51" s="34">
        <f>Asie!C53</f>
        <v>2615</v>
      </c>
      <c r="M51" s="74">
        <f>Asie!D53</f>
        <v>23400</v>
      </c>
      <c r="N51" s="14">
        <f>Europe!B53</f>
        <v>168</v>
      </c>
      <c r="O51" s="34">
        <f>Europe!C53</f>
        <v>4</v>
      </c>
      <c r="P51" s="17">
        <f>Europe!D53</f>
        <v>0</v>
      </c>
      <c r="Q51" s="14">
        <f>Océanieautres!B53</f>
        <v>22</v>
      </c>
      <c r="R51" s="15">
        <f>Océanieautres!C53</f>
        <v>0</v>
      </c>
      <c r="S51" s="17">
        <f>Océanieautres!D53</f>
        <v>0</v>
      </c>
      <c r="T51" s="82">
        <f>Océanieautres!AB53</f>
        <v>691</v>
      </c>
      <c r="U51" s="94">
        <f>Océanieautres!AC53</f>
        <v>3</v>
      </c>
      <c r="V51" s="95">
        <f>Océanieautres!AD53</f>
        <v>0</v>
      </c>
    </row>
    <row r="52" spans="1:22" ht="12.75">
      <c r="A52" s="13">
        <v>43885</v>
      </c>
      <c r="B52" s="14">
        <f>SUM(E52,H52,K52,N52,Q52,T52)</f>
        <v>80233</v>
      </c>
      <c r="C52" s="34">
        <f>SUM(F52,I52,L52,O52,R52,U52)</f>
        <v>2703</v>
      </c>
      <c r="D52" s="73">
        <f>SUM(G52,J52,M52,P52,S52,V52)</f>
        <v>25200</v>
      </c>
      <c r="E52" s="14">
        <f>Afrique!B54</f>
        <v>1</v>
      </c>
      <c r="F52" s="15">
        <f>Afrique!C54</f>
        <v>0</v>
      </c>
      <c r="G52" s="17">
        <f>Afrique!D54</f>
        <v>0</v>
      </c>
      <c r="H52" s="14">
        <f>Amérique!B54</f>
        <v>63</v>
      </c>
      <c r="I52" s="15">
        <f>Amérique!C54</f>
        <v>0</v>
      </c>
      <c r="J52" s="17">
        <f>Amérique!D54</f>
        <v>0</v>
      </c>
      <c r="K52" s="14">
        <f>Asie!B54</f>
        <v>79183</v>
      </c>
      <c r="L52" s="34">
        <f>Asie!C54</f>
        <v>2693</v>
      </c>
      <c r="M52" s="74">
        <f>Asie!D54</f>
        <v>25200</v>
      </c>
      <c r="N52" s="14">
        <f>Europe!B54</f>
        <v>273</v>
      </c>
      <c r="O52" s="34">
        <f>Europe!C54</f>
        <v>7</v>
      </c>
      <c r="P52" s="17">
        <f>Europe!D54</f>
        <v>0</v>
      </c>
      <c r="Q52" s="14">
        <f>Océanieautres!B54</f>
        <v>22</v>
      </c>
      <c r="R52" s="15">
        <f>Océanieautres!C54</f>
        <v>0</v>
      </c>
      <c r="S52" s="17">
        <f>Océanieautres!D54</f>
        <v>0</v>
      </c>
      <c r="T52" s="82">
        <f>Océanieautres!AB54</f>
        <v>691</v>
      </c>
      <c r="U52" s="94">
        <f>Océanieautres!AC54</f>
        <v>3</v>
      </c>
      <c r="V52" s="95">
        <f>Océanieautres!AD54</f>
        <v>0</v>
      </c>
    </row>
    <row r="53" spans="1:22" ht="12.75">
      <c r="A53" s="13">
        <v>43886</v>
      </c>
      <c r="B53" s="14">
        <f>SUM(E53,H53,K53,N53,Q53,T53)</f>
        <v>81118</v>
      </c>
      <c r="C53" s="34">
        <f>SUM(F53,I53,L53,O53,R53,U53)</f>
        <v>2765</v>
      </c>
      <c r="D53" s="73">
        <f>SUM(G53,J53,M53,P53,S53,V53)</f>
        <v>27867</v>
      </c>
      <c r="E53" s="14">
        <f>Afrique!B55</f>
        <v>2</v>
      </c>
      <c r="F53" s="15">
        <f>Afrique!C55</f>
        <v>0</v>
      </c>
      <c r="G53" s="17">
        <f>Afrique!D55</f>
        <v>0</v>
      </c>
      <c r="H53" s="14">
        <f>Amérique!B55</f>
        <v>64</v>
      </c>
      <c r="I53" s="15">
        <f>Amérique!C55</f>
        <v>0</v>
      </c>
      <c r="J53" s="74">
        <f>Amérique!D55</f>
        <v>8</v>
      </c>
      <c r="K53" s="14">
        <f>Asie!B55</f>
        <v>79953</v>
      </c>
      <c r="L53" s="34">
        <f>Asie!C55</f>
        <v>2750</v>
      </c>
      <c r="M53" s="74">
        <f>Asie!D55</f>
        <v>27819</v>
      </c>
      <c r="N53" s="14">
        <f>Europe!B55</f>
        <v>385</v>
      </c>
      <c r="O53" s="34">
        <f>Europe!C55</f>
        <v>12</v>
      </c>
      <c r="P53" s="74">
        <f>Europe!D55</f>
        <v>29</v>
      </c>
      <c r="Q53" s="14">
        <f>Océanieautres!B55</f>
        <v>23</v>
      </c>
      <c r="R53" s="15">
        <f>Océanieautres!C55</f>
        <v>0</v>
      </c>
      <c r="S53" s="74">
        <f>Océanieautres!D55</f>
        <v>11</v>
      </c>
      <c r="T53" s="82">
        <f>Océanieautres!AB55</f>
        <v>691</v>
      </c>
      <c r="U53" s="94">
        <f>Océanieautres!AC55</f>
        <v>3</v>
      </c>
      <c r="V53" s="95">
        <f>Océanieautres!AD55</f>
        <v>0</v>
      </c>
    </row>
    <row r="54" spans="1:22" ht="12.75">
      <c r="A54" s="13">
        <v>43887</v>
      </c>
      <c r="B54" s="14">
        <f>SUM(E54,H54,K54,N54,Q54,T54)</f>
        <v>82297</v>
      </c>
      <c r="C54" s="34">
        <f>SUM(F54,I54,L54,O54,R54,U54)</f>
        <v>2807</v>
      </c>
      <c r="D54" s="73">
        <f>SUM(G54,J54,M54,P54,S54,V54)</f>
        <v>30311</v>
      </c>
      <c r="E54" s="14">
        <f>Afrique!B56</f>
        <v>2</v>
      </c>
      <c r="F54" s="15">
        <f>Afrique!C56</f>
        <v>0</v>
      </c>
      <c r="G54" s="17">
        <f>Afrique!D56</f>
        <v>0</v>
      </c>
      <c r="H54" s="14">
        <f>Amérique!B56</f>
        <v>71</v>
      </c>
      <c r="I54" s="15">
        <f>Amérique!C56</f>
        <v>0</v>
      </c>
      <c r="J54" s="74">
        <f>Amérique!D56</f>
        <v>9</v>
      </c>
      <c r="K54" s="14">
        <f>Asie!B56</f>
        <v>81010</v>
      </c>
      <c r="L54" s="34">
        <f>Asie!C56</f>
        <v>2789</v>
      </c>
      <c r="M54" s="74">
        <f>Asie!D56</f>
        <v>30251</v>
      </c>
      <c r="N54" s="14">
        <f>Europe!B56</f>
        <v>486</v>
      </c>
      <c r="O54" s="34">
        <f>Europe!C56</f>
        <v>14</v>
      </c>
      <c r="P54" s="74">
        <f>Europe!D56</f>
        <v>30</v>
      </c>
      <c r="Q54" s="14">
        <f>Océanieautres!B56</f>
        <v>23</v>
      </c>
      <c r="R54" s="15">
        <f>Océanieautres!C56</f>
        <v>0</v>
      </c>
      <c r="S54" s="74">
        <f>Océanieautres!D56</f>
        <v>11</v>
      </c>
      <c r="T54" s="82">
        <f>Océanieautres!AB56</f>
        <v>705</v>
      </c>
      <c r="U54" s="94">
        <f>Océanieautres!AC56</f>
        <v>4</v>
      </c>
      <c r="V54" s="108">
        <f>Océanieautres!AD56</f>
        <v>10</v>
      </c>
    </row>
    <row r="55" spans="1:22" ht="12.75">
      <c r="A55" s="13">
        <v>43888</v>
      </c>
      <c r="B55" s="14">
        <f>SUM(E55,H55,K55,N55,Q55,T55)</f>
        <v>83665</v>
      </c>
      <c r="C55" s="34">
        <f>SUM(F55,I55,L55,O55,R55,U55)</f>
        <v>2861</v>
      </c>
      <c r="D55" s="73">
        <f>SUM(G55,J55,M55,P55,S55,V55)</f>
        <v>33242</v>
      </c>
      <c r="E55" s="14">
        <f>Afrique!B57</f>
        <v>2</v>
      </c>
      <c r="F55" s="15">
        <f>Afrique!C57</f>
        <v>0</v>
      </c>
      <c r="G55" s="17">
        <f>Afrique!D57</f>
        <v>0</v>
      </c>
      <c r="H55" s="14">
        <f>Amérique!B57</f>
        <v>71</v>
      </c>
      <c r="I55" s="15">
        <f>Amérique!C57</f>
        <v>0</v>
      </c>
      <c r="J55" s="74">
        <f>Amérique!D57</f>
        <v>12</v>
      </c>
      <c r="K55" s="14">
        <f>Asie!B57</f>
        <v>82065</v>
      </c>
      <c r="L55" s="34">
        <f>Asie!C57</f>
        <v>2838</v>
      </c>
      <c r="M55" s="74">
        <f>Asie!D57</f>
        <v>33139</v>
      </c>
      <c r="N55" s="14">
        <f>Europe!B57</f>
        <v>798</v>
      </c>
      <c r="O55" s="34">
        <f>Europe!C57</f>
        <v>19</v>
      </c>
      <c r="P55" s="74">
        <f>Europe!D57</f>
        <v>70</v>
      </c>
      <c r="Q55" s="14">
        <f>Océanieautres!B57</f>
        <v>24</v>
      </c>
      <c r="R55" s="15">
        <f>Océanieautres!C57</f>
        <v>0</v>
      </c>
      <c r="S55" s="74">
        <f>Océanieautres!D57</f>
        <v>11</v>
      </c>
      <c r="T55" s="82">
        <f>Océanieautres!AB57</f>
        <v>705</v>
      </c>
      <c r="U55" s="94">
        <f>Océanieautres!AC57</f>
        <v>4</v>
      </c>
      <c r="V55" s="108">
        <f>Océanieautres!AD57</f>
        <v>10</v>
      </c>
    </row>
    <row r="56" spans="1:22" ht="12.75">
      <c r="A56" s="13">
        <v>43889</v>
      </c>
      <c r="B56" s="14">
        <f>SUM(E56,H56,K56,N56,Q56,T56)</f>
        <v>85423</v>
      </c>
      <c r="C56" s="34">
        <f>SUM(F56,I56,L56,O56,R56,U56)</f>
        <v>2926</v>
      </c>
      <c r="D56" s="73">
        <f>SUM(G56,J56,M56,P56,S56,V56)</f>
        <v>36676</v>
      </c>
      <c r="E56" s="14">
        <f>Afrique!B58</f>
        <v>3</v>
      </c>
      <c r="F56" s="15">
        <f>Afrique!C58</f>
        <v>0</v>
      </c>
      <c r="G56" s="17">
        <f>Afrique!D58</f>
        <v>0</v>
      </c>
      <c r="H56" s="14">
        <f>Amérique!B58</f>
        <v>79</v>
      </c>
      <c r="I56" s="15">
        <f>Amérique!C58</f>
        <v>0</v>
      </c>
      <c r="J56" s="74">
        <f>Amérique!D58</f>
        <v>12</v>
      </c>
      <c r="K56" s="14">
        <f>Asie!B58</f>
        <v>83490</v>
      </c>
      <c r="L56" s="34">
        <f>Asie!C58</f>
        <v>2898</v>
      </c>
      <c r="M56" s="74">
        <f>Asie!D58</f>
        <v>36566</v>
      </c>
      <c r="N56" s="14">
        <f>Europe!B58</f>
        <v>1121</v>
      </c>
      <c r="O56" s="34">
        <f>Europe!C58</f>
        <v>23</v>
      </c>
      <c r="P56" s="74">
        <f>Europe!D58</f>
        <v>77</v>
      </c>
      <c r="Q56" s="14">
        <f>Océanieautres!B58</f>
        <v>25</v>
      </c>
      <c r="R56" s="15">
        <f>Océanieautres!C58</f>
        <v>0</v>
      </c>
      <c r="S56" s="74">
        <f>Océanieautres!D58</f>
        <v>11</v>
      </c>
      <c r="T56" s="82">
        <f>Océanieautres!AB58</f>
        <v>705</v>
      </c>
      <c r="U56" s="94">
        <f>Océanieautres!AC58</f>
        <v>5</v>
      </c>
      <c r="V56" s="108">
        <f>Océanieautres!AD58</f>
        <v>10</v>
      </c>
    </row>
    <row r="57" spans="1:22" ht="13.5" thickBot="1">
      <c r="A57" s="20">
        <v>43890</v>
      </c>
      <c r="B57" s="21">
        <f>SUM(E57,H57,K57,N57,Q57,T57)</f>
        <v>87162</v>
      </c>
      <c r="C57" s="78">
        <f>SUM(F57,I57,L57,O57,R57,U57)</f>
        <v>2978</v>
      </c>
      <c r="D57" s="79">
        <f>SUM(G57,J57,M57,P57,S57,V57)</f>
        <v>39750</v>
      </c>
      <c r="E57" s="21">
        <f>Afrique!B59</f>
        <v>3</v>
      </c>
      <c r="F57" s="22">
        <f>Afrique!C59</f>
        <v>0</v>
      </c>
      <c r="G57" s="80">
        <f>Afrique!D59</f>
        <v>1</v>
      </c>
      <c r="H57" s="21">
        <f>Amérique!B59</f>
        <v>93</v>
      </c>
      <c r="I57" s="78">
        <f>Amérique!C59</f>
        <v>1</v>
      </c>
      <c r="J57" s="80">
        <f>Amérique!D59</f>
        <v>13</v>
      </c>
      <c r="K57" s="21">
        <f>Asie!B59</f>
        <v>84889</v>
      </c>
      <c r="L57" s="78">
        <f>Asie!C59</f>
        <v>2940</v>
      </c>
      <c r="M57" s="80">
        <f>Asie!D59</f>
        <v>39638</v>
      </c>
      <c r="N57" s="21">
        <f>Europe!B59</f>
        <v>1446</v>
      </c>
      <c r="O57" s="78">
        <f>Europe!C59</f>
        <v>31</v>
      </c>
      <c r="P57" s="80">
        <f>Europe!D59</f>
        <v>77</v>
      </c>
      <c r="Q57" s="21">
        <f>Océanieautres!B59</f>
        <v>26</v>
      </c>
      <c r="R57" s="22">
        <f>Océanieautres!C59</f>
        <v>0</v>
      </c>
      <c r="S57" s="80">
        <f>Océanieautres!D59</f>
        <v>11</v>
      </c>
      <c r="T57" s="120">
        <f>Océanieautres!AB59</f>
        <v>705</v>
      </c>
      <c r="U57" s="121">
        <f>Océanieautres!AC59</f>
        <v>6</v>
      </c>
      <c r="V57" s="122">
        <f>Océanieautres!AD59</f>
        <v>10</v>
      </c>
    </row>
    <row r="58" spans="1:22" ht="12.75">
      <c r="A58" s="13">
        <v>43891</v>
      </c>
      <c r="B58" s="14">
        <f>SUM(E58,H58,K58,N58,Q58,T58)</f>
        <v>88949</v>
      </c>
      <c r="C58" s="34">
        <f>SUM(F58,I58,L58,O58,R58,U58)</f>
        <v>3044</v>
      </c>
      <c r="D58" s="73">
        <f>SUM(G58,J58,M58,P58,S58,V58)</f>
        <v>42660</v>
      </c>
      <c r="E58" s="14">
        <f>Afrique!B60</f>
        <v>3</v>
      </c>
      <c r="F58" s="15">
        <f>Afrique!C60</f>
        <v>0</v>
      </c>
      <c r="G58" s="74">
        <f>Afrique!D60</f>
        <v>1</v>
      </c>
      <c r="H58" s="14">
        <f>Amérique!B60</f>
        <v>103</v>
      </c>
      <c r="I58" s="34">
        <f>Amérique!C60</f>
        <v>1</v>
      </c>
      <c r="J58" s="74">
        <f>Amérique!D60</f>
        <v>13</v>
      </c>
      <c r="K58" s="14">
        <f>Asie!B60</f>
        <v>85987</v>
      </c>
      <c r="L58" s="34">
        <f>Asie!C60</f>
        <v>2999</v>
      </c>
      <c r="M58" s="74">
        <f>Asie!D60</f>
        <v>42547</v>
      </c>
      <c r="N58" s="14">
        <f>Europe!B60</f>
        <v>2123</v>
      </c>
      <c r="O58" s="34">
        <f>Europe!C60</f>
        <v>37</v>
      </c>
      <c r="P58" s="74">
        <f>Europe!D60</f>
        <v>78</v>
      </c>
      <c r="Q58" s="14">
        <f>Océanieautres!B60</f>
        <v>28</v>
      </c>
      <c r="R58" s="34">
        <f>Océanieautres!C60</f>
        <v>1</v>
      </c>
      <c r="S58" s="74">
        <f>Océanieautres!D60</f>
        <v>11</v>
      </c>
      <c r="T58" s="82">
        <f>Océanieautres!AB60</f>
        <v>705</v>
      </c>
      <c r="U58" s="94">
        <f>Océanieautres!AC60</f>
        <v>6</v>
      </c>
      <c r="V58" s="108">
        <f>Océanieautres!AD60</f>
        <v>10</v>
      </c>
    </row>
    <row r="59" spans="1:22" ht="12.75">
      <c r="A59" s="13">
        <v>43892</v>
      </c>
      <c r="B59" s="84">
        <f>SUM(E59,H59,K59,N59,Q59,T59)</f>
        <v>90291</v>
      </c>
      <c r="C59" s="124">
        <f>SUM(F59,I59,L59,O59,R59,U59)</f>
        <v>3079</v>
      </c>
      <c r="D59" s="125">
        <f>SUM(G59,J59,M59,P59,S59,V59)</f>
        <v>45571</v>
      </c>
      <c r="E59" s="14">
        <f>Afrique!B61</f>
        <v>6</v>
      </c>
      <c r="F59" s="15">
        <f>Afrique!C61</f>
        <v>0</v>
      </c>
      <c r="G59" s="74">
        <f>Afrique!D61</f>
        <v>1</v>
      </c>
      <c r="H59" s="14">
        <f>Amérique!B61</f>
        <v>140</v>
      </c>
      <c r="I59" s="34">
        <f>Amérique!C61</f>
        <v>6</v>
      </c>
      <c r="J59" s="74">
        <f>Amérique!D61</f>
        <v>13</v>
      </c>
      <c r="K59" s="14">
        <f>Asie!B61</f>
        <v>86689</v>
      </c>
      <c r="L59" s="34">
        <f>Asie!C61</f>
        <v>3011</v>
      </c>
      <c r="M59" s="74">
        <f>Asie!D61</f>
        <v>45355</v>
      </c>
      <c r="N59" s="14">
        <f>Europe!B61</f>
        <v>2720</v>
      </c>
      <c r="O59" s="34">
        <f>Europe!C61</f>
        <v>55</v>
      </c>
      <c r="P59" s="74">
        <f>Europe!D61</f>
        <v>181</v>
      </c>
      <c r="Q59" s="14">
        <f>Océanieautres!B61</f>
        <v>31</v>
      </c>
      <c r="R59" s="34">
        <f>Océanieautres!C61</f>
        <v>1</v>
      </c>
      <c r="S59" s="74">
        <f>Océanieautres!D61</f>
        <v>11</v>
      </c>
      <c r="T59" s="82">
        <f>Océanieautres!AB61</f>
        <v>705</v>
      </c>
      <c r="U59" s="94">
        <f>Océanieautres!AC61</f>
        <v>6</v>
      </c>
      <c r="V59" s="108">
        <f>Océanieautres!AD61</f>
        <v>10</v>
      </c>
    </row>
    <row r="60" spans="1:22" ht="12.75">
      <c r="A60" s="13">
        <v>43893</v>
      </c>
      <c r="B60" s="14">
        <f>SUM(E60,H60,K60,N60,Q60,T60)</f>
        <v>92828</v>
      </c>
      <c r="C60" s="34">
        <f>SUM(F60,I60,L60,O60,R60,U60)</f>
        <v>3159</v>
      </c>
      <c r="D60" s="73">
        <f>SUM(G60,J60,M60,P60,S60,V60)</f>
        <v>48189</v>
      </c>
      <c r="E60" s="14">
        <f>Afrique!B62</f>
        <v>11</v>
      </c>
      <c r="F60" s="15">
        <f>Afrique!C62</f>
        <v>0</v>
      </c>
      <c r="G60" s="74">
        <f>Afrique!D62</f>
        <v>1</v>
      </c>
      <c r="H60" s="14">
        <f>Amérique!B62</f>
        <v>163</v>
      </c>
      <c r="I60" s="34">
        <f>Amérique!C62</f>
        <v>7</v>
      </c>
      <c r="J60" s="74">
        <f>Amérique!D62</f>
        <v>15</v>
      </c>
      <c r="K60" s="14">
        <f>Asie!B62</f>
        <v>88553</v>
      </c>
      <c r="L60" s="34">
        <f>Asie!C62</f>
        <v>3061</v>
      </c>
      <c r="M60" s="74">
        <f>Asie!D62</f>
        <v>47959</v>
      </c>
      <c r="N60" s="14">
        <f>Europe!B62</f>
        <v>3355</v>
      </c>
      <c r="O60" s="34">
        <f>Europe!C62</f>
        <v>84</v>
      </c>
      <c r="P60" s="74">
        <f>Europe!D62</f>
        <v>193</v>
      </c>
      <c r="Q60" s="14">
        <f>Océanieautres!B62</f>
        <v>40</v>
      </c>
      <c r="R60" s="34">
        <f>Océanieautres!C62</f>
        <v>1</v>
      </c>
      <c r="S60" s="74">
        <f>Océanieautres!D62</f>
        <v>11</v>
      </c>
      <c r="T60" s="82">
        <f>Océanieautres!AB62</f>
        <v>706</v>
      </c>
      <c r="U60" s="94">
        <f>Océanieautres!AC62</f>
        <v>6</v>
      </c>
      <c r="V60" s="108">
        <f>Océanieautres!AD62</f>
        <v>10</v>
      </c>
    </row>
    <row r="61" spans="1:22" ht="12.75">
      <c r="A61" s="13">
        <v>43894</v>
      </c>
      <c r="B61" s="14">
        <f>SUM(E61,H61,K61,N61,Q61,T61)</f>
        <v>95119</v>
      </c>
      <c r="C61" s="34">
        <f>SUM(F61,I61,L61,O61,R61,U61)</f>
        <v>3253</v>
      </c>
      <c r="D61" s="73">
        <f>SUM(G61,J61,M61,P61,S61,V61)</f>
        <v>51144</v>
      </c>
      <c r="E61" s="14">
        <f>Afrique!B63</f>
        <v>21</v>
      </c>
      <c r="F61" s="15">
        <f>Afrique!C63</f>
        <v>0</v>
      </c>
      <c r="G61" s="74">
        <f>Afrique!D63</f>
        <v>1</v>
      </c>
      <c r="H61" s="14">
        <f>Amérique!B63</f>
        <v>208</v>
      </c>
      <c r="I61" s="34">
        <f>Amérique!C63</f>
        <v>11</v>
      </c>
      <c r="J61" s="74">
        <f>Amérique!D63</f>
        <v>15</v>
      </c>
      <c r="K61" s="14">
        <f>Asie!B63</f>
        <v>89789</v>
      </c>
      <c r="L61" s="34">
        <f>Asie!C63</f>
        <v>3121</v>
      </c>
      <c r="M61" s="74">
        <f>Asie!D63</f>
        <v>50797</v>
      </c>
      <c r="N61" s="14">
        <f>Europe!B63</f>
        <v>4340</v>
      </c>
      <c r="O61" s="34">
        <f>Europe!C63</f>
        <v>113</v>
      </c>
      <c r="P61" s="74">
        <f>Europe!D63</f>
        <v>310</v>
      </c>
      <c r="Q61" s="14">
        <f>Océanieautres!B63</f>
        <v>55</v>
      </c>
      <c r="R61" s="34">
        <f>Océanieautres!C63</f>
        <v>2</v>
      </c>
      <c r="S61" s="74">
        <f>Océanieautres!D63</f>
        <v>11</v>
      </c>
      <c r="T61" s="82">
        <f>Océanieautres!AB63</f>
        <v>706</v>
      </c>
      <c r="U61" s="94">
        <f>Océanieautres!AC63</f>
        <v>6</v>
      </c>
      <c r="V61" s="108">
        <f>Océanieautres!AD63</f>
        <v>10</v>
      </c>
    </row>
    <row r="62" spans="1:22" ht="12.75">
      <c r="A62" s="13">
        <v>43895</v>
      </c>
      <c r="B62" s="14">
        <f>SUM(E62,H62,K62,N62,Q62,T62)</f>
        <v>97928</v>
      </c>
      <c r="C62" s="34">
        <f>SUM(F62,I62,L62,O62,R62,U62)</f>
        <v>3349</v>
      </c>
      <c r="D62" s="73">
        <f>SUM(G62,J62,M62,P62,S62,V62)</f>
        <v>53784</v>
      </c>
      <c r="E62" s="14">
        <f>Afrique!B64</f>
        <v>24</v>
      </c>
      <c r="F62" s="15">
        <f>Afrique!C64</f>
        <v>0</v>
      </c>
      <c r="G62" s="74">
        <f>Afrique!D64</f>
        <v>1</v>
      </c>
      <c r="H62" s="14">
        <f>Amérique!B64</f>
        <v>286</v>
      </c>
      <c r="I62" s="34">
        <f>Amérique!C64</f>
        <v>12</v>
      </c>
      <c r="J62" s="74">
        <f>Amérique!D64</f>
        <v>15</v>
      </c>
      <c r="K62" s="14">
        <f>Asie!B64</f>
        <v>91069</v>
      </c>
      <c r="L62" s="34">
        <f>Asie!C64</f>
        <v>3168</v>
      </c>
      <c r="M62" s="74">
        <f>Asie!D64</f>
        <v>53289</v>
      </c>
      <c r="N62" s="14">
        <f>Europe!B64</f>
        <v>5785</v>
      </c>
      <c r="O62" s="34">
        <f>Europe!C64</f>
        <v>161</v>
      </c>
      <c r="P62" s="74">
        <f>Europe!D64</f>
        <v>448</v>
      </c>
      <c r="Q62" s="14">
        <f>Océanieautres!B64</f>
        <v>58</v>
      </c>
      <c r="R62" s="34">
        <f>Océanieautres!C64</f>
        <v>2</v>
      </c>
      <c r="S62" s="74">
        <f>Océanieautres!D64</f>
        <v>21</v>
      </c>
      <c r="T62" s="82">
        <f>Océanieautres!AB64</f>
        <v>706</v>
      </c>
      <c r="U62" s="94">
        <f>Océanieautres!AC64</f>
        <v>6</v>
      </c>
      <c r="V62" s="108">
        <f>Océanieautres!AD64</f>
        <v>10</v>
      </c>
    </row>
    <row r="63" spans="1:22" ht="12.75">
      <c r="A63" s="13">
        <v>43896</v>
      </c>
      <c r="B63" s="14">
        <f>SUM(E63,H63,K63,N63,Q63,T63)</f>
        <v>101756</v>
      </c>
      <c r="C63" s="34">
        <f>SUM(F63,I63,L63,O63,R63,U63)</f>
        <v>3460</v>
      </c>
      <c r="D63" s="73">
        <f>SUM(G63,J63,M63,P63,S63,V63)</f>
        <v>55835</v>
      </c>
      <c r="E63" s="14">
        <f>Afrique!B65</f>
        <v>43</v>
      </c>
      <c r="F63" s="15">
        <f>Afrique!C65</f>
        <v>0</v>
      </c>
      <c r="G63" s="74">
        <f>Afrique!D65</f>
        <v>1</v>
      </c>
      <c r="H63" s="14">
        <f>Amérique!B65</f>
        <v>364</v>
      </c>
      <c r="I63" s="34">
        <f>Amérique!C65</f>
        <v>14</v>
      </c>
      <c r="J63" s="74">
        <f>Amérique!D65</f>
        <v>15</v>
      </c>
      <c r="K63" s="14">
        <f>Asie!B65</f>
        <v>93110</v>
      </c>
      <c r="L63" s="34">
        <f>Asie!C65</f>
        <v>3222</v>
      </c>
      <c r="M63" s="74">
        <f>Asie!D65</f>
        <v>55198</v>
      </c>
      <c r="N63" s="14">
        <f>Europe!B65</f>
        <v>7469</v>
      </c>
      <c r="O63" s="34">
        <f>Europe!C65</f>
        <v>216</v>
      </c>
      <c r="P63" s="74">
        <f>Europe!D65</f>
        <v>560</v>
      </c>
      <c r="Q63" s="14">
        <f>Océanieautres!B65</f>
        <v>64</v>
      </c>
      <c r="R63" s="34">
        <f>Océanieautres!C65</f>
        <v>2</v>
      </c>
      <c r="S63" s="74">
        <f>Océanieautres!D65</f>
        <v>21</v>
      </c>
      <c r="T63" s="82">
        <f>Océanieautres!AB65</f>
        <v>706</v>
      </c>
      <c r="U63" s="94">
        <f>Océanieautres!AC65</f>
        <v>6</v>
      </c>
      <c r="V63" s="108">
        <f>Océanieautres!AD65</f>
        <v>40</v>
      </c>
    </row>
    <row r="64" spans="1:22" ht="12.75">
      <c r="A64" s="13">
        <v>43897</v>
      </c>
      <c r="B64" s="14">
        <f>SUM(E64,H64,K64,N64,Q64,T64)</f>
        <v>105837</v>
      </c>
      <c r="C64" s="34">
        <f>SUM(F64,I64,L64,O64,R64,U64)</f>
        <v>3563</v>
      </c>
      <c r="D64" s="73">
        <f>SUM(G64,J64,M64,P64,S64,V64)</f>
        <v>58331</v>
      </c>
      <c r="E64" s="14">
        <f>Afrique!B66</f>
        <v>43</v>
      </c>
      <c r="F64" s="15">
        <f>Afrique!C66</f>
        <v>0</v>
      </c>
      <c r="G64" s="74">
        <f>Afrique!D66</f>
        <v>1</v>
      </c>
      <c r="H64" s="14">
        <f>Amérique!B66</f>
        <v>526</v>
      </c>
      <c r="I64" s="34">
        <f>Amérique!C66</f>
        <v>17</v>
      </c>
      <c r="J64" s="74">
        <f>Amérique!D66</f>
        <v>17</v>
      </c>
      <c r="K64" s="14">
        <f>Asie!B66</f>
        <v>94848</v>
      </c>
      <c r="L64" s="34">
        <f>Asie!C66</f>
        <v>3274</v>
      </c>
      <c r="M64" s="74">
        <f>Asie!D66</f>
        <v>57585</v>
      </c>
      <c r="N64" s="14">
        <f>Europe!B66</f>
        <v>9646</v>
      </c>
      <c r="O64" s="34">
        <f>Europe!C66</f>
        <v>264</v>
      </c>
      <c r="P64" s="74">
        <f>Europe!D66</f>
        <v>667</v>
      </c>
      <c r="Q64" s="14">
        <f>Océanieautres!B66</f>
        <v>68</v>
      </c>
      <c r="R64" s="34">
        <f>Océanieautres!C66</f>
        <v>2</v>
      </c>
      <c r="S64" s="74">
        <f>Océanieautres!D66</f>
        <v>21</v>
      </c>
      <c r="T64" s="82">
        <f>Océanieautres!AB66</f>
        <v>706</v>
      </c>
      <c r="U64" s="94">
        <f>Océanieautres!AC66</f>
        <v>6</v>
      </c>
      <c r="V64" s="108">
        <f>Océanieautres!AD66</f>
        <v>40</v>
      </c>
    </row>
    <row r="65" spans="1:22" ht="12.75">
      <c r="A65" s="13">
        <v>43898</v>
      </c>
      <c r="B65" s="14">
        <f>SUM(E65,H65,K65,N65,Q65,T65)</f>
        <v>109798</v>
      </c>
      <c r="C65" s="34">
        <f>SUM(F65,I65,L65,O65,R65,U65)</f>
        <v>3801</v>
      </c>
      <c r="D65" s="73">
        <f>SUM(G65,J65,M65,P65,S65,V65)</f>
        <v>60682</v>
      </c>
      <c r="E65" s="14">
        <f>Afrique!B67</f>
        <v>82</v>
      </c>
      <c r="F65" s="34">
        <f>Afrique!C67</f>
        <v>1</v>
      </c>
      <c r="G65" s="74">
        <f>Afrique!D67</f>
        <v>1</v>
      </c>
      <c r="H65" s="14">
        <f>Amérique!B67</f>
        <v>677</v>
      </c>
      <c r="I65" s="34">
        <f>Amérique!C67</f>
        <v>22</v>
      </c>
      <c r="J65" s="74">
        <f>Amérique!D67</f>
        <v>17</v>
      </c>
      <c r="K65" s="14">
        <f>Asie!B67</f>
        <v>96069</v>
      </c>
      <c r="L65" s="34">
        <f>Asie!C67</f>
        <v>3359</v>
      </c>
      <c r="M65" s="74">
        <f>Asie!D67</f>
        <v>59902</v>
      </c>
      <c r="N65" s="14">
        <f>Europe!B67</f>
        <v>12183</v>
      </c>
      <c r="O65" s="34">
        <f>Europe!C67</f>
        <v>410</v>
      </c>
      <c r="P65" s="74">
        <f>Europe!D67</f>
        <v>701</v>
      </c>
      <c r="Q65" s="14">
        <f>Océanieautres!B67</f>
        <v>81</v>
      </c>
      <c r="R65" s="34">
        <f>Océanieautres!C67</f>
        <v>3</v>
      </c>
      <c r="S65" s="74">
        <f>Océanieautres!D67</f>
        <v>21</v>
      </c>
      <c r="T65" s="82">
        <f>Océanieautres!AB67</f>
        <v>706</v>
      </c>
      <c r="U65" s="94">
        <f>Océanieautres!AC67</f>
        <v>6</v>
      </c>
      <c r="V65" s="108">
        <f>Océanieautres!AD67</f>
        <v>40</v>
      </c>
    </row>
    <row r="66" spans="1:22" ht="12.75">
      <c r="A66" s="13">
        <v>43899</v>
      </c>
      <c r="B66" s="14">
        <f>SUM(E66,H66,K66,N66,Q66,T66)</f>
        <v>113780</v>
      </c>
      <c r="C66" s="34">
        <f>SUM(F66,I66,L66,O66,R66,U66)</f>
        <v>3992</v>
      </c>
      <c r="D66" s="73">
        <f>SUM(G66,J66,M66,P66,S66,V66)</f>
        <v>62472</v>
      </c>
      <c r="E66" s="14">
        <f>Afrique!B68</f>
        <v>91</v>
      </c>
      <c r="F66" s="34">
        <f>Afrique!C68</f>
        <v>1</v>
      </c>
      <c r="G66" s="74">
        <f>Afrique!D68</f>
        <v>1</v>
      </c>
      <c r="H66" s="14">
        <f>Amérique!B68</f>
        <v>774</v>
      </c>
      <c r="I66" s="34">
        <f>Amérique!C68</f>
        <v>23</v>
      </c>
      <c r="J66" s="74">
        <f>Amérique!D68</f>
        <v>17</v>
      </c>
      <c r="K66" s="14">
        <f>Asie!B68</f>
        <v>96938</v>
      </c>
      <c r="L66" s="34">
        <f>Asie!C68</f>
        <v>3431</v>
      </c>
      <c r="M66" s="74">
        <f>Asie!D68</f>
        <v>61584</v>
      </c>
      <c r="N66" s="14">
        <f>Europe!B68</f>
        <v>15175</v>
      </c>
      <c r="O66" s="34">
        <f>Europe!C68</f>
        <v>528</v>
      </c>
      <c r="P66" s="74">
        <f>Europe!D68</f>
        <v>809</v>
      </c>
      <c r="Q66" s="14">
        <f>Océanieautres!B68</f>
        <v>96</v>
      </c>
      <c r="R66" s="34">
        <f>Océanieautres!C68</f>
        <v>3</v>
      </c>
      <c r="S66" s="74">
        <f>Océanieautres!D68</f>
        <v>21</v>
      </c>
      <c r="T66" s="82">
        <f>Océanieautres!AB68</f>
        <v>706</v>
      </c>
      <c r="U66" s="94">
        <f>Océanieautres!AC68</f>
        <v>6</v>
      </c>
      <c r="V66" s="108">
        <f>Océanieautres!AD68</f>
        <v>40</v>
      </c>
    </row>
    <row r="67" spans="1:22" ht="12.75">
      <c r="A67" s="13">
        <v>43900</v>
      </c>
      <c r="B67" s="14">
        <f>SUM(E67,H67,K67,N67,Q67,T67)</f>
        <v>118530</v>
      </c>
      <c r="C67" s="34">
        <f>SUM(F67,I67,L67,O67,R67,U67)</f>
        <v>4262</v>
      </c>
      <c r="D67" s="73">
        <f>SUM(G67,J67,M67,P67,S67,V67)</f>
        <v>64383</v>
      </c>
      <c r="E67" s="14">
        <f>Afrique!B69</f>
        <v>104</v>
      </c>
      <c r="F67" s="34">
        <f>Afrique!C69</f>
        <v>2</v>
      </c>
      <c r="G67" s="74">
        <f>Afrique!D69</f>
        <v>2</v>
      </c>
      <c r="H67" s="14">
        <f>Amérique!B69</f>
        <v>1156</v>
      </c>
      <c r="I67" s="34">
        <f>Amérique!C69</f>
        <v>30</v>
      </c>
      <c r="J67" s="74">
        <f>Amérique!D69</f>
        <v>20</v>
      </c>
      <c r="K67" s="14">
        <f>Asie!B69</f>
        <v>98131</v>
      </c>
      <c r="L67" s="34">
        <f>Asie!C69</f>
        <v>3505</v>
      </c>
      <c r="M67" s="74">
        <f>Asie!D69</f>
        <v>63479</v>
      </c>
      <c r="N67" s="14">
        <f>Europe!B69</f>
        <v>18321</v>
      </c>
      <c r="O67" s="34">
        <f>Europe!C69</f>
        <v>716</v>
      </c>
      <c r="P67" s="74">
        <f>Europe!D69</f>
        <v>821</v>
      </c>
      <c r="Q67" s="14">
        <f>Océanieautres!B69</f>
        <v>112</v>
      </c>
      <c r="R67" s="34">
        <f>Océanieautres!C69</f>
        <v>3</v>
      </c>
      <c r="S67" s="74">
        <f>Océanieautres!D69</f>
        <v>21</v>
      </c>
      <c r="T67" s="82">
        <f>Océanieautres!AB69</f>
        <v>706</v>
      </c>
      <c r="U67" s="94">
        <f>Océanieautres!AC69</f>
        <v>6</v>
      </c>
      <c r="V67" s="108">
        <f>Océanieautres!AD69</f>
        <v>40</v>
      </c>
    </row>
    <row r="68" spans="1:22" ht="12.75">
      <c r="A68" s="13">
        <v>43901</v>
      </c>
      <c r="B68" s="14">
        <f>SUM(E68,H68,K68,N68,Q68,T68)</f>
        <v>125927</v>
      </c>
      <c r="C68" s="34">
        <f>SUM(F68,I68,L68,O68,R68,U68)</f>
        <v>4619</v>
      </c>
      <c r="D68" s="73">
        <f>SUM(G68,J68,M68,P68,S68,V68)</f>
        <v>66732</v>
      </c>
      <c r="E68" s="14">
        <f>Afrique!B70</f>
        <v>117</v>
      </c>
      <c r="F68" s="34">
        <f>Afrique!C70</f>
        <v>2</v>
      </c>
      <c r="G68" s="74">
        <f>Afrique!D70</f>
        <v>2</v>
      </c>
      <c r="H68" s="14">
        <f>Amérique!B70</f>
        <v>1550</v>
      </c>
      <c r="I68" s="34">
        <f>Amérique!C70</f>
        <v>39</v>
      </c>
      <c r="J68" s="74">
        <f>Amérique!D70</f>
        <v>20</v>
      </c>
      <c r="K68" s="14">
        <f>Asie!B70</f>
        <v>100046</v>
      </c>
      <c r="L68" s="34">
        <f>Asie!C70</f>
        <v>3608</v>
      </c>
      <c r="M68" s="74">
        <f>Asie!D70</f>
        <v>65344</v>
      </c>
      <c r="N68" s="14">
        <f>Europe!B70</f>
        <v>23375</v>
      </c>
      <c r="O68" s="34">
        <f>Europe!C70</f>
        <v>961</v>
      </c>
      <c r="P68" s="74">
        <f>Europe!D70</f>
        <v>1305</v>
      </c>
      <c r="Q68" s="14">
        <f>Océanieautres!B70</f>
        <v>133</v>
      </c>
      <c r="R68" s="34">
        <f>Océanieautres!C70</f>
        <v>3</v>
      </c>
      <c r="S68" s="74">
        <f>Océanieautres!D70</f>
        <v>21</v>
      </c>
      <c r="T68" s="82">
        <f>Océanieautres!AB70</f>
        <v>706</v>
      </c>
      <c r="U68" s="94">
        <f>Océanieautres!AC70</f>
        <v>6</v>
      </c>
      <c r="V68" s="108">
        <f>Océanieautres!AD70</f>
        <v>40</v>
      </c>
    </row>
    <row r="69" spans="1:22" ht="12.75">
      <c r="A69" s="13">
        <v>43902</v>
      </c>
      <c r="B69" s="14">
        <f>SUM(E69,H69,K69,N69,Q69,T69)</f>
        <v>133082</v>
      </c>
      <c r="C69" s="34">
        <f>SUM(F69,I69,L69,O69,R69,U69)</f>
        <v>4957</v>
      </c>
      <c r="D69" s="73">
        <f>SUM(G69,J69,M69,P69,S69,V69)</f>
        <v>68097</v>
      </c>
      <c r="E69" s="14">
        <f>Afrique!B71</f>
        <v>136</v>
      </c>
      <c r="F69" s="34">
        <f>Afrique!C71</f>
        <v>3</v>
      </c>
      <c r="G69" s="74">
        <f>Afrique!D71</f>
        <v>30</v>
      </c>
      <c r="H69" s="14">
        <f>Amérique!B71</f>
        <v>2001</v>
      </c>
      <c r="I69" s="34">
        <f>Amérique!C71</f>
        <v>43</v>
      </c>
      <c r="J69" s="74">
        <f>Amérique!D71</f>
        <v>24</v>
      </c>
      <c r="K69" s="14">
        <f>Asie!B71</f>
        <v>101352</v>
      </c>
      <c r="L69" s="34">
        <f>Asie!C71</f>
        <v>3703</v>
      </c>
      <c r="M69" s="74">
        <f>Asie!D71</f>
        <v>66676</v>
      </c>
      <c r="N69" s="14">
        <f>Europe!B71</f>
        <v>28754</v>
      </c>
      <c r="O69" s="34">
        <f>Europe!C71</f>
        <v>1199</v>
      </c>
      <c r="P69" s="74">
        <f>Europe!D71</f>
        <v>1306</v>
      </c>
      <c r="Q69" s="14">
        <f>Océanieautres!B71</f>
        <v>133</v>
      </c>
      <c r="R69" s="34">
        <f>Océanieautres!C71</f>
        <v>3</v>
      </c>
      <c r="S69" s="74">
        <f>Océanieautres!D71</f>
        <v>21</v>
      </c>
      <c r="T69" s="82">
        <f>Océanieautres!AB71</f>
        <v>706</v>
      </c>
      <c r="U69" s="94">
        <f>Océanieautres!AC71</f>
        <v>6</v>
      </c>
      <c r="V69" s="108">
        <f>Océanieautres!AD71</f>
        <v>40</v>
      </c>
    </row>
    <row r="70" spans="1:22" ht="12.75">
      <c r="A70" s="13">
        <v>43903</v>
      </c>
      <c r="B70" s="14">
        <f>SUM(E70,H70,K70,N70,Q70,T70)</f>
        <v>142442</v>
      </c>
      <c r="C70" s="34">
        <f>SUM(F70,I70,L70,O70,R70,U70)</f>
        <v>5385</v>
      </c>
      <c r="D70" s="73">
        <f>SUM(G70,J70,M70,P70,S70,V70)</f>
        <v>69993</v>
      </c>
      <c r="E70" s="14">
        <f>Afrique!B72</f>
        <v>168</v>
      </c>
      <c r="F70" s="34">
        <f>Afrique!C72</f>
        <v>6</v>
      </c>
      <c r="G70" s="74">
        <f>Afrique!D72</f>
        <v>30</v>
      </c>
      <c r="H70" s="14">
        <f>Amérique!B72</f>
        <v>2242</v>
      </c>
      <c r="I70" s="34">
        <f>Amérique!C72</f>
        <v>45</v>
      </c>
      <c r="J70" s="74">
        <f>Amérique!D72</f>
        <v>24</v>
      </c>
      <c r="K70" s="14">
        <f>Asie!B72</f>
        <v>102964</v>
      </c>
      <c r="L70" s="34">
        <f>Asie!C72</f>
        <v>3804</v>
      </c>
      <c r="M70" s="74">
        <f>Asie!D72</f>
        <v>68146</v>
      </c>
      <c r="N70" s="14">
        <f>Europe!B72</f>
        <v>36226</v>
      </c>
      <c r="O70" s="34">
        <f>Europe!C72</f>
        <v>1521</v>
      </c>
      <c r="P70" s="74">
        <f>Europe!D72</f>
        <v>1732</v>
      </c>
      <c r="Q70" s="14">
        <f>Océanieautres!B72</f>
        <v>136</v>
      </c>
      <c r="R70" s="34">
        <f>Océanieautres!C72</f>
        <v>3</v>
      </c>
      <c r="S70" s="74">
        <f>Océanieautres!D72</f>
        <v>21</v>
      </c>
      <c r="T70" s="82">
        <f>Océanieautres!AB72</f>
        <v>706</v>
      </c>
      <c r="U70" s="94">
        <f>Océanieautres!AC72</f>
        <v>6</v>
      </c>
      <c r="V70" s="108">
        <f>Océanieautres!AD72</f>
        <v>40</v>
      </c>
    </row>
    <row r="71" spans="1:22" ht="12.75">
      <c r="A71" s="13">
        <v>43904</v>
      </c>
      <c r="B71" s="14">
        <f>SUM(E71,H71,K71,N71,Q71,T71)</f>
        <v>156247</v>
      </c>
      <c r="C71" s="34">
        <f>SUM(F71,I71,L71,O71,R71,U71)</f>
        <v>5814</v>
      </c>
      <c r="D71" s="73">
        <f>SUM(G71,J71,M71,P71,S71,V71)</f>
        <v>72365</v>
      </c>
      <c r="E71" s="14">
        <f>Afrique!B73</f>
        <v>241</v>
      </c>
      <c r="F71" s="34">
        <f>Afrique!C73</f>
        <v>7</v>
      </c>
      <c r="G71" s="74">
        <f>Afrique!D73</f>
        <v>35</v>
      </c>
      <c r="H71" s="14">
        <f>Amérique!B73</f>
        <v>3262</v>
      </c>
      <c r="I71" s="34">
        <f>Amérique!C73</f>
        <v>57</v>
      </c>
      <c r="J71" s="74">
        <f>Amérique!D73</f>
        <v>26</v>
      </c>
      <c r="K71" s="14">
        <f>Asie!B73</f>
        <v>105061</v>
      </c>
      <c r="L71" s="34">
        <f>Asie!C73</f>
        <v>3931</v>
      </c>
      <c r="M71" s="74">
        <f>Asie!D73</f>
        <v>69644</v>
      </c>
      <c r="N71" s="14">
        <f>Europe!B73</f>
        <v>46718</v>
      </c>
      <c r="O71" s="34">
        <f>Europe!C73</f>
        <v>1810</v>
      </c>
      <c r="P71" s="74">
        <f>Europe!D73</f>
        <v>2597</v>
      </c>
      <c r="Q71" s="14">
        <f>Océanieautres!B73</f>
        <v>259</v>
      </c>
      <c r="R71" s="34">
        <f>Océanieautres!C73</f>
        <v>3</v>
      </c>
      <c r="S71" s="74">
        <f>Océanieautres!D73</f>
        <v>23</v>
      </c>
      <c r="T71" s="82">
        <f>Océanieautres!AB73</f>
        <v>706</v>
      </c>
      <c r="U71" s="94">
        <f>Océanieautres!AC73</f>
        <v>6</v>
      </c>
      <c r="V71" s="108">
        <f>Océanieautres!AD73</f>
        <v>40</v>
      </c>
    </row>
    <row r="72" spans="1:22" ht="12.75">
      <c r="A72" s="13">
        <v>43905</v>
      </c>
      <c r="B72" s="14">
        <f>SUM(E72,H72,K72,N72,Q72,T72)</f>
        <v>167698</v>
      </c>
      <c r="C72" s="34">
        <f>SUM(F72,I72,L72,O72,R72,U72)</f>
        <v>6493</v>
      </c>
      <c r="D72" s="73">
        <f>SUM(G72,J72,M72,P72,S72,V72)</f>
        <v>76099</v>
      </c>
      <c r="E72" s="14">
        <f>Afrique!B74</f>
        <v>303</v>
      </c>
      <c r="F72" s="34">
        <f>Afrique!C74</f>
        <v>8</v>
      </c>
      <c r="G72" s="74">
        <f>Afrique!D74</f>
        <v>35</v>
      </c>
      <c r="H72" s="14">
        <f>Amérique!B74</f>
        <v>4066</v>
      </c>
      <c r="I72" s="34">
        <f>Amérique!C74</f>
        <v>71</v>
      </c>
      <c r="J72" s="74">
        <f>Amérique!D74</f>
        <v>26</v>
      </c>
      <c r="K72" s="14">
        <f>Asie!B74</f>
        <v>106808</v>
      </c>
      <c r="L72" s="34">
        <f>Asie!C74</f>
        <v>4061</v>
      </c>
      <c r="M72" s="74">
        <f>Asie!D74</f>
        <v>72976</v>
      </c>
      <c r="N72" s="14">
        <f>Europe!B74</f>
        <v>55507</v>
      </c>
      <c r="O72" s="34">
        <f>Europe!C74</f>
        <v>2344</v>
      </c>
      <c r="P72" s="74">
        <f>Europe!D74</f>
        <v>2999</v>
      </c>
      <c r="Q72" s="14">
        <f>Océanieautres!B74</f>
        <v>308</v>
      </c>
      <c r="R72" s="34">
        <f>Océanieautres!C74</f>
        <v>3</v>
      </c>
      <c r="S72" s="74">
        <f>Océanieautres!D74</f>
        <v>23</v>
      </c>
      <c r="T72" s="82">
        <f>Océanieautres!AB74</f>
        <v>706</v>
      </c>
      <c r="U72" s="94">
        <f>Océanieautres!AC74</f>
        <v>6</v>
      </c>
      <c r="V72" s="108">
        <f>Océanieautres!AD74</f>
        <v>40</v>
      </c>
    </row>
    <row r="73" spans="1:22" ht="12.75">
      <c r="A73" s="13">
        <v>43906</v>
      </c>
      <c r="B73" s="14">
        <f>SUM(E73,H73,K73,N73,Q73,T73)</f>
        <v>181240</v>
      </c>
      <c r="C73" s="34">
        <f>SUM(F73,I73,L73,O73,R73,U73)</f>
        <v>7103</v>
      </c>
      <c r="D73" s="73">
        <f>SUM(G73,J73,M73,P73,S73,V73)</f>
        <v>78251</v>
      </c>
      <c r="E73" s="14">
        <f>Afrique!B75</f>
        <v>389</v>
      </c>
      <c r="F73" s="34">
        <f>Afrique!C75</f>
        <v>8</v>
      </c>
      <c r="G73" s="74">
        <f>Afrique!D75</f>
        <v>42</v>
      </c>
      <c r="H73" s="14">
        <f>Amérique!B75</f>
        <v>5454</v>
      </c>
      <c r="I73" s="34">
        <f>Amérique!C75</f>
        <v>83</v>
      </c>
      <c r="J73" s="74">
        <f>Amérique!D75</f>
        <v>28</v>
      </c>
      <c r="K73" s="14">
        <f>Asie!B75</f>
        <v>108579</v>
      </c>
      <c r="L73" s="34">
        <f>Asie!C75</f>
        <v>4210</v>
      </c>
      <c r="M73" s="74">
        <f>Asie!D75</f>
        <v>74666</v>
      </c>
      <c r="N73" s="14">
        <f>Europe!B75</f>
        <v>65721</v>
      </c>
      <c r="O73" s="34">
        <f>Europe!C75</f>
        <v>2793</v>
      </c>
      <c r="P73" s="74">
        <f>Europe!D75</f>
        <v>3452</v>
      </c>
      <c r="Q73" s="14">
        <f>Océanieautres!B75</f>
        <v>391</v>
      </c>
      <c r="R73" s="34">
        <f>Océanieautres!C75</f>
        <v>3</v>
      </c>
      <c r="S73" s="74">
        <f>Océanieautres!D75</f>
        <v>23</v>
      </c>
      <c r="T73" s="82">
        <f>Océanieautres!AB75</f>
        <v>706</v>
      </c>
      <c r="U73" s="94">
        <f>Océanieautres!AC75</f>
        <v>6</v>
      </c>
      <c r="V73" s="108">
        <f>Océanieautres!AD75</f>
        <v>40</v>
      </c>
    </row>
    <row r="74" spans="1:22" ht="12.75">
      <c r="A74" s="13">
        <v>43907</v>
      </c>
      <c r="B74" s="14">
        <f>SUM(E74,H74,K74,N74,Q74,T74)</f>
        <v>197126</v>
      </c>
      <c r="C74" s="34">
        <f>SUM(F74,I74,L74,O74,R74,U74)</f>
        <v>7942</v>
      </c>
      <c r="D74" s="73">
        <f>SUM(G74,J74,M74,P74,S74,V74)</f>
        <v>81252</v>
      </c>
      <c r="E74" s="14">
        <f>Afrique!B76</f>
        <v>491</v>
      </c>
      <c r="F74" s="34">
        <f>Afrique!C76</f>
        <v>11</v>
      </c>
      <c r="G74" s="74">
        <f>Afrique!D76</f>
        <v>48</v>
      </c>
      <c r="H74" s="14">
        <f>Amérique!B76</f>
        <v>8041</v>
      </c>
      <c r="I74" s="34">
        <f>Amérique!C76</f>
        <v>123</v>
      </c>
      <c r="J74" s="74">
        <f>Amérique!D76</f>
        <v>40</v>
      </c>
      <c r="K74" s="14">
        <f>Asie!B76</f>
        <v>110728</v>
      </c>
      <c r="L74" s="34">
        <f>Asie!C76</f>
        <v>4371</v>
      </c>
      <c r="M74" s="74">
        <f>Asie!D76</f>
        <v>76278</v>
      </c>
      <c r="N74" s="14">
        <f>Europe!B76</f>
        <v>76690</v>
      </c>
      <c r="O74" s="34">
        <f>Europe!C76</f>
        <v>3426</v>
      </c>
      <c r="P74" s="74">
        <f>Europe!D76</f>
        <v>4823</v>
      </c>
      <c r="Q74" s="14">
        <f>Océanieautres!B76</f>
        <v>470</v>
      </c>
      <c r="R74" s="34">
        <f>Océanieautres!C76</f>
        <v>5</v>
      </c>
      <c r="S74" s="74">
        <f>Océanieautres!D76</f>
        <v>23</v>
      </c>
      <c r="T74" s="82">
        <f>Océanieautres!AB76</f>
        <v>706</v>
      </c>
      <c r="U74" s="94">
        <f>Océanieautres!AC76</f>
        <v>6</v>
      </c>
      <c r="V74" s="108">
        <f>Océanieautres!AD76</f>
        <v>40</v>
      </c>
    </row>
    <row r="75" spans="1:22" ht="12.75">
      <c r="A75" s="13">
        <v>43908</v>
      </c>
      <c r="B75" s="14">
        <f>SUM(E75,H75,K75,N75,Q75,T75)</f>
        <v>216420</v>
      </c>
      <c r="C75" s="34">
        <f>SUM(F75,I75,L75,O75,R75,U75)</f>
        <v>8866</v>
      </c>
      <c r="D75" s="73">
        <f>SUM(G75,J75,M75,P75,S75,V75)</f>
        <v>84350</v>
      </c>
      <c r="E75" s="14">
        <f>Afrique!B77</f>
        <v>606</v>
      </c>
      <c r="F75" s="34">
        <f>Afrique!C77</f>
        <v>16</v>
      </c>
      <c r="G75" s="74">
        <f>Afrique!D77</f>
        <v>49</v>
      </c>
      <c r="H75" s="14">
        <f>Amérique!B77</f>
        <v>9947</v>
      </c>
      <c r="I75" s="34">
        <f>Amérique!C77</f>
        <v>140</v>
      </c>
      <c r="J75" s="74">
        <f>Amérique!D77</f>
        <v>129</v>
      </c>
      <c r="K75" s="14">
        <f>Asie!B77</f>
        <v>112748</v>
      </c>
      <c r="L75" s="34">
        <f>Asie!C77</f>
        <v>4554</v>
      </c>
      <c r="M75" s="74">
        <f>Asie!D77</f>
        <v>77408</v>
      </c>
      <c r="N75" s="14">
        <f>Europe!B77</f>
        <v>91811</v>
      </c>
      <c r="O75" s="34">
        <f>Europe!C77</f>
        <v>4143</v>
      </c>
      <c r="P75" s="74">
        <f>Europe!D77</f>
        <v>6416</v>
      </c>
      <c r="Q75" s="14">
        <f>Océanieautres!B77</f>
        <v>596</v>
      </c>
      <c r="R75" s="34">
        <f>Océanieautres!C77</f>
        <v>6</v>
      </c>
      <c r="S75" s="74">
        <f>Océanieautres!D77</f>
        <v>23</v>
      </c>
      <c r="T75" s="82">
        <f>Océanieautres!AB77</f>
        <v>712</v>
      </c>
      <c r="U75" s="94">
        <f>Océanieautres!AC77</f>
        <v>7</v>
      </c>
      <c r="V75" s="108">
        <f>Océanieautres!AD77</f>
        <v>325</v>
      </c>
    </row>
    <row r="76" spans="1:22" ht="12.75">
      <c r="A76" s="13">
        <v>43909</v>
      </c>
      <c r="B76" s="14">
        <f>SUM(E76,H76,K76,N76,Q76,T76)</f>
        <v>243778</v>
      </c>
      <c r="C76" s="34">
        <f>SUM(F76,I76,L76,O76,R76,U76)</f>
        <v>9987</v>
      </c>
      <c r="D76" s="73">
        <f>SUM(G76,J76,M76,P76,S76,V76)</f>
        <v>86353</v>
      </c>
      <c r="E76" s="14">
        <f>Afrique!B78</f>
        <v>793</v>
      </c>
      <c r="F76" s="34">
        <f>Afrique!C78</f>
        <v>19</v>
      </c>
      <c r="G76" s="74">
        <f>Afrique!D78</f>
        <v>61</v>
      </c>
      <c r="H76" s="14">
        <f>Amérique!B78</f>
        <v>16048</v>
      </c>
      <c r="I76" s="34">
        <f>Amérique!C78</f>
        <v>208</v>
      </c>
      <c r="J76" s="74">
        <f>Amérique!D78</f>
        <v>131</v>
      </c>
      <c r="K76" s="14">
        <f>Asie!B78</f>
        <v>115259</v>
      </c>
      <c r="L76" s="34">
        <f>Asie!C78</f>
        <v>4731</v>
      </c>
      <c r="M76" s="74">
        <f>Asie!D78</f>
        <v>78562</v>
      </c>
      <c r="N76" s="14">
        <f>Europe!B78</f>
        <v>110247</v>
      </c>
      <c r="O76" s="34">
        <f>Europe!C78</f>
        <v>5016</v>
      </c>
      <c r="P76" s="74">
        <f>Europe!D78</f>
        <v>7248</v>
      </c>
      <c r="Q76" s="14">
        <f>Océanieautres!B78</f>
        <v>719</v>
      </c>
      <c r="R76" s="34">
        <f>Océanieautres!C78</f>
        <v>6</v>
      </c>
      <c r="S76" s="74">
        <f>Océanieautres!D78</f>
        <v>26</v>
      </c>
      <c r="T76" s="82">
        <f>Océanieautres!AB78</f>
        <v>712</v>
      </c>
      <c r="U76" s="94">
        <f>Océanieautres!AC78</f>
        <v>7</v>
      </c>
      <c r="V76" s="108">
        <f>Océanieautres!AD78</f>
        <v>325</v>
      </c>
    </row>
    <row r="77" spans="1:22" ht="12.75">
      <c r="A77" s="13">
        <v>43910</v>
      </c>
      <c r="B77" s="14">
        <f>SUM(E77,H77,K77,N77,Q77,T77)</f>
        <v>273030</v>
      </c>
      <c r="C77" s="34">
        <f>SUM(F77,I77,L77,O77,R77,U77)</f>
        <v>11298</v>
      </c>
      <c r="D77" s="73">
        <f>SUM(G77,J77,M77,P77,S77,V77)</f>
        <v>89111</v>
      </c>
      <c r="E77" s="14">
        <f>Afrique!B79</f>
        <v>1001</v>
      </c>
      <c r="F77" s="34">
        <f>Afrique!C79</f>
        <v>25</v>
      </c>
      <c r="G77" s="74">
        <f>Afrique!D79</f>
        <v>69</v>
      </c>
      <c r="H77" s="14">
        <f>Amérique!B79</f>
        <v>22419</v>
      </c>
      <c r="I77" s="34">
        <f>Amérique!C79</f>
        <v>273</v>
      </c>
      <c r="J77" s="74">
        <f>Amérique!D79</f>
        <v>176</v>
      </c>
      <c r="K77" s="14">
        <f>Asie!B79</f>
        <v>117544</v>
      </c>
      <c r="L77" s="34">
        <f>Asie!C79</f>
        <v>4909</v>
      </c>
      <c r="M77" s="74">
        <f>Asie!D79</f>
        <v>80416</v>
      </c>
      <c r="N77" s="14">
        <f>Europe!B79</f>
        <v>130514</v>
      </c>
      <c r="O77" s="34">
        <f>Europe!C79</f>
        <v>6077</v>
      </c>
      <c r="P77" s="74">
        <f>Europe!D79</f>
        <v>8099</v>
      </c>
      <c r="Q77" s="14">
        <f>Océanieautres!B79</f>
        <v>840</v>
      </c>
      <c r="R77" s="34">
        <f>Océanieautres!C79</f>
        <v>7</v>
      </c>
      <c r="S77" s="74">
        <f>Océanieautres!D79</f>
        <v>26</v>
      </c>
      <c r="T77" s="82">
        <f>Océanieautres!AB79</f>
        <v>712</v>
      </c>
      <c r="U77" s="94">
        <f>Océanieautres!AC79</f>
        <v>7</v>
      </c>
      <c r="V77" s="108">
        <f>Océanieautres!AD79</f>
        <v>325</v>
      </c>
    </row>
    <row r="78" spans="1:22" ht="12.75">
      <c r="A78" s="13">
        <v>43911</v>
      </c>
      <c r="B78" s="14">
        <f>SUM(E78,H78,K78,N78,Q78,T78)</f>
        <v>304350</v>
      </c>
      <c r="C78" s="34">
        <f>SUM(F78,I78,L78,O78,R78,U78)</f>
        <v>12959</v>
      </c>
      <c r="D78" s="73">
        <f>SUM(G78,J78,M78,P78,S78,V78)</f>
        <v>93567</v>
      </c>
      <c r="E78" s="14">
        <f>Afrique!B80</f>
        <v>1220</v>
      </c>
      <c r="F78" s="34">
        <f>Afrique!C80</f>
        <v>35</v>
      </c>
      <c r="G78" s="74">
        <f>Afrique!D80</f>
        <v>81</v>
      </c>
      <c r="H78" s="14">
        <f>Amérique!B80</f>
        <v>29738</v>
      </c>
      <c r="I78" s="34">
        <f>Amérique!C80</f>
        <v>360</v>
      </c>
      <c r="J78" s="74">
        <f>Amérique!D80</f>
        <v>212</v>
      </c>
      <c r="K78" s="14">
        <f>Asie!B80</f>
        <v>120172</v>
      </c>
      <c r="L78" s="34">
        <f>Asie!C80</f>
        <v>5065</v>
      </c>
      <c r="M78" s="74">
        <f>Asie!D80</f>
        <v>82064</v>
      </c>
      <c r="N78" s="14">
        <f>Europe!B80</f>
        <v>151375</v>
      </c>
      <c r="O78" s="34">
        <f>Europe!C80</f>
        <v>7485</v>
      </c>
      <c r="P78" s="74">
        <f>Europe!D80</f>
        <v>10859</v>
      </c>
      <c r="Q78" s="14">
        <f>Océanieautres!B80</f>
        <v>1133</v>
      </c>
      <c r="R78" s="34">
        <f>Océanieautres!C80</f>
        <v>7</v>
      </c>
      <c r="S78" s="74">
        <f>Océanieautres!D80</f>
        <v>26</v>
      </c>
      <c r="T78" s="82">
        <f>Océanieautres!AB80</f>
        <v>712</v>
      </c>
      <c r="U78" s="94">
        <f>Océanieautres!AC80</f>
        <v>7</v>
      </c>
      <c r="V78" s="108">
        <f>Océanieautres!AD80</f>
        <v>325</v>
      </c>
    </row>
    <row r="79" spans="1:22" ht="12.75">
      <c r="A79" s="13">
        <v>43912</v>
      </c>
      <c r="B79" s="14">
        <f>SUM(E79,H79,K79,N79,Q79,T79)</f>
        <v>336792</v>
      </c>
      <c r="C79" s="34">
        <f>SUM(F79,I79,L79,O79,R79,U79)</f>
        <v>14622</v>
      </c>
      <c r="D79" s="73">
        <f>SUM(G79,J79,M79,P79,S79,V79)</f>
        <v>97935</v>
      </c>
      <c r="E79" s="14">
        <f>Afrique!B81</f>
        <v>1483</v>
      </c>
      <c r="F79" s="34">
        <f>Afrique!C81</f>
        <v>47</v>
      </c>
      <c r="G79" s="74">
        <f>Afrique!D81</f>
        <v>98</v>
      </c>
      <c r="H79" s="14">
        <f>Amérique!B81</f>
        <v>39967</v>
      </c>
      <c r="I79" s="34">
        <f>Amérique!C81</f>
        <v>488</v>
      </c>
      <c r="J79" s="74">
        <f>Amérique!D81</f>
        <v>223</v>
      </c>
      <c r="K79" s="14">
        <f>Asie!B81</f>
        <v>123324</v>
      </c>
      <c r="L79" s="34">
        <f>Asie!C81</f>
        <v>5260</v>
      </c>
      <c r="M79" s="74">
        <f>Asie!D81</f>
        <v>84363</v>
      </c>
      <c r="N79" s="14">
        <f>Europe!B81</f>
        <v>169912</v>
      </c>
      <c r="O79" s="34">
        <f>Europe!C81</f>
        <v>8812</v>
      </c>
      <c r="P79" s="74">
        <f>Europe!D81</f>
        <v>12838</v>
      </c>
      <c r="Q79" s="14">
        <f>Océanieautres!B81</f>
        <v>1394</v>
      </c>
      <c r="R79" s="34">
        <f>Océanieautres!C81</f>
        <v>7</v>
      </c>
      <c r="S79" s="74">
        <f>Océanieautres!D81</f>
        <v>88</v>
      </c>
      <c r="T79" s="82">
        <f>Océanieautres!AB81</f>
        <v>712</v>
      </c>
      <c r="U79" s="94">
        <f>Océanieautres!AC81</f>
        <v>8</v>
      </c>
      <c r="V79" s="108">
        <f>Océanieautres!AD81</f>
        <v>325</v>
      </c>
    </row>
    <row r="80" spans="1:22" ht="12.75">
      <c r="A80" s="13">
        <v>43913</v>
      </c>
      <c r="B80" s="14">
        <f>SUM(E80,H80,K80,N80,Q80,T80)</f>
        <v>376520</v>
      </c>
      <c r="C80" s="34">
        <f>SUM(F80,I80,L80,O80,R80,U80)</f>
        <v>16391</v>
      </c>
      <c r="D80" s="73">
        <f>SUM(G80,J80,M80,P80,S80,V80)</f>
        <v>101605</v>
      </c>
      <c r="E80" s="14">
        <f>Afrique!B82</f>
        <v>1873</v>
      </c>
      <c r="F80" s="34">
        <f>Afrique!C82</f>
        <v>56</v>
      </c>
      <c r="G80" s="74">
        <f>Afrique!D82</f>
        <v>122</v>
      </c>
      <c r="H80" s="14">
        <f>Amérique!B82</f>
        <v>51465</v>
      </c>
      <c r="I80" s="34">
        <f>Amérique!C82</f>
        <v>643</v>
      </c>
      <c r="J80" s="74">
        <f>Amérique!D82</f>
        <v>270</v>
      </c>
      <c r="K80" s="14">
        <f>Asie!B82</f>
        <v>126694</v>
      </c>
      <c r="L80" s="34">
        <f>Asie!C82</f>
        <v>5433</v>
      </c>
      <c r="M80" s="74">
        <f>Asie!D82</f>
        <v>85623</v>
      </c>
      <c r="N80" s="14">
        <f>Europe!B82</f>
        <v>193974</v>
      </c>
      <c r="O80" s="34">
        <f>Europe!C82</f>
        <v>10244</v>
      </c>
      <c r="P80" s="74">
        <f>Europe!D82</f>
        <v>14904</v>
      </c>
      <c r="Q80" s="14">
        <f>Océanieautres!B82</f>
        <v>1802</v>
      </c>
      <c r="R80" s="34">
        <f>Océanieautres!C82</f>
        <v>7</v>
      </c>
      <c r="S80" s="74">
        <f>Océanieautres!D82</f>
        <v>119</v>
      </c>
      <c r="T80" s="82">
        <f>Océanieautres!AB82</f>
        <v>712</v>
      </c>
      <c r="U80" s="94">
        <f>Océanieautres!AC82</f>
        <v>8</v>
      </c>
      <c r="V80" s="108">
        <f>Océanieautres!AD82</f>
        <v>567</v>
      </c>
    </row>
    <row r="81" spans="1:22" ht="12.75">
      <c r="A81" s="13">
        <v>43914</v>
      </c>
      <c r="B81" s="14">
        <f>SUM(E81,H81,K81,N81,Q81,T81)</f>
        <v>418527</v>
      </c>
      <c r="C81" s="34">
        <f>SUM(F81,I81,L81,O81,R81,U81)</f>
        <v>18658</v>
      </c>
      <c r="D81" s="73">
        <f>SUM(G81,J81,M81,P81,S81,V81)</f>
        <v>108270</v>
      </c>
      <c r="E81" s="14">
        <f>Afrique!B83</f>
        <v>2305</v>
      </c>
      <c r="F81" s="34">
        <f>Afrique!C83</f>
        <v>62</v>
      </c>
      <c r="G81" s="74">
        <f>Afrique!D83</f>
        <v>139</v>
      </c>
      <c r="H81" s="14">
        <f>Amérique!B83</f>
        <v>63349</v>
      </c>
      <c r="I81" s="34">
        <f>Amérique!C83</f>
        <v>847</v>
      </c>
      <c r="J81" s="74">
        <f>Amérique!D83</f>
        <v>307</v>
      </c>
      <c r="K81" s="14">
        <f>Asie!B83</f>
        <v>130387</v>
      </c>
      <c r="L81" s="34">
        <f>Asie!C83</f>
        <v>5602</v>
      </c>
      <c r="M81" s="74">
        <f>Asie!D83</f>
        <v>87126</v>
      </c>
      <c r="N81" s="14">
        <f>Europe!B83</f>
        <v>219554</v>
      </c>
      <c r="O81" s="34">
        <f>Europe!C83</f>
        <v>12129</v>
      </c>
      <c r="P81" s="74">
        <f>Europe!D83</f>
        <v>19980</v>
      </c>
      <c r="Q81" s="14">
        <f>Océanieautres!B83</f>
        <v>2220</v>
      </c>
      <c r="R81" s="34">
        <f>Océanieautres!C83</f>
        <v>8</v>
      </c>
      <c r="S81" s="74">
        <f>Océanieautres!D83</f>
        <v>131</v>
      </c>
      <c r="T81" s="82">
        <f>Océanieautres!AB83</f>
        <v>712</v>
      </c>
      <c r="U81" s="94">
        <f>Océanieautres!AC83</f>
        <v>10</v>
      </c>
      <c r="V81" s="108">
        <f>Océanieautres!AD83</f>
        <v>587</v>
      </c>
    </row>
    <row r="82" spans="1:22" ht="12.75">
      <c r="A82" s="13">
        <v>43915</v>
      </c>
      <c r="B82" s="14">
        <f>SUM(E82,H82,K82,N82,Q82,T82)</f>
        <v>467648</v>
      </c>
      <c r="C82" s="34">
        <f>SUM(F82,I82,L82,O82,R82,U82)</f>
        <v>21206</v>
      </c>
      <c r="D82" s="73">
        <f>SUM(G82,J82,M82,P82,S82,V82)</f>
        <v>114069</v>
      </c>
      <c r="E82" s="14">
        <f>Afrique!B84</f>
        <v>2829</v>
      </c>
      <c r="F82" s="34">
        <f>Afrique!C84</f>
        <v>73</v>
      </c>
      <c r="G82" s="74">
        <f>Afrique!D84</f>
        <v>174</v>
      </c>
      <c r="H82" s="14">
        <f>Amérique!B84</f>
        <v>76814</v>
      </c>
      <c r="I82" s="34">
        <f>Amérique!C84</f>
        <v>1102</v>
      </c>
      <c r="J82" s="74">
        <f>Amérique!D84</f>
        <v>674</v>
      </c>
      <c r="K82" s="14">
        <f>Asie!B84</f>
        <v>135412</v>
      </c>
      <c r="L82" s="34">
        <f>Asie!C84</f>
        <v>5796</v>
      </c>
      <c r="M82" s="74">
        <f>Asie!D84</f>
        <v>88740</v>
      </c>
      <c r="N82" s="14">
        <f>Europe!B84</f>
        <v>249286</v>
      </c>
      <c r="O82" s="34">
        <f>Europe!C84</f>
        <v>14217</v>
      </c>
      <c r="P82" s="74">
        <f>Europe!D84</f>
        <v>23753</v>
      </c>
      <c r="Q82" s="14">
        <f>Océanieautres!B84</f>
        <v>2595</v>
      </c>
      <c r="R82" s="34">
        <f>Océanieautres!C84</f>
        <v>8</v>
      </c>
      <c r="S82" s="74">
        <f>Océanieautres!D84</f>
        <v>141</v>
      </c>
      <c r="T82" s="82">
        <f>Océanieautres!AB84</f>
        <v>712</v>
      </c>
      <c r="U82" s="94">
        <f>Océanieautres!AC84</f>
        <v>10</v>
      </c>
      <c r="V82" s="108">
        <f>Océanieautres!AD84</f>
        <v>587</v>
      </c>
    </row>
    <row r="83" spans="1:22" ht="12.75">
      <c r="A83" s="13">
        <v>43916</v>
      </c>
      <c r="B83" s="14">
        <f>SUM(E83,H83,K83,N83,Q83,T83)</f>
        <v>526873</v>
      </c>
      <c r="C83" s="34">
        <f>SUM(F83,I83,L83,O83,R83,U83)</f>
        <v>23703</v>
      </c>
      <c r="D83" s="73">
        <f>SUM(G83,J83,M83,P83,S83,V83)</f>
        <v>122485</v>
      </c>
      <c r="E83" s="14">
        <f>Afrique!B85</f>
        <v>3376</v>
      </c>
      <c r="F83" s="34">
        <f>Afrique!C85</f>
        <v>90</v>
      </c>
      <c r="G83" s="74">
        <f>Afrique!D85</f>
        <v>184</v>
      </c>
      <c r="H83" s="14">
        <f>Amérique!B85</f>
        <v>96122</v>
      </c>
      <c r="I83" s="34">
        <f>Amérique!C85</f>
        <v>1351</v>
      </c>
      <c r="J83" s="74">
        <f>Amérique!D85</f>
        <v>962</v>
      </c>
      <c r="K83" s="14">
        <f>Asie!B85</f>
        <v>140932</v>
      </c>
      <c r="L83" s="34">
        <f>Asie!C85</f>
        <v>6034</v>
      </c>
      <c r="M83" s="74">
        <f>Asie!D85</f>
        <v>90598</v>
      </c>
      <c r="N83" s="14">
        <f>Europe!B85</f>
        <v>282612</v>
      </c>
      <c r="O83" s="34">
        <f>Europe!C85</f>
        <v>16205</v>
      </c>
      <c r="P83" s="74">
        <f>Europe!D85</f>
        <v>29945</v>
      </c>
      <c r="Q83" s="14">
        <f>Océanieautres!B85</f>
        <v>3119</v>
      </c>
      <c r="R83" s="34">
        <f>Océanieautres!C85</f>
        <v>13</v>
      </c>
      <c r="S83" s="74">
        <f>Océanieautres!D85</f>
        <v>199</v>
      </c>
      <c r="T83" s="82">
        <f>Océanieautres!AB85</f>
        <v>712</v>
      </c>
      <c r="U83" s="94">
        <f>Océanieautres!AC85</f>
        <v>10</v>
      </c>
      <c r="V83" s="108">
        <f>Océanieautres!AD85</f>
        <v>597</v>
      </c>
    </row>
    <row r="84" spans="1:22" ht="12.75">
      <c r="A84" s="13">
        <v>43917</v>
      </c>
      <c r="B84" s="14">
        <f>SUM(E84,H84,K84,N84,Q84,T84)</f>
        <v>592705</v>
      </c>
      <c r="C84" s="34">
        <f>SUM(F84,I84,L84,O84,R84,U84)</f>
        <v>27018</v>
      </c>
      <c r="D84" s="73">
        <f>SUM(G84,J84,M84,P84,S84,V84)</f>
        <v>130027</v>
      </c>
      <c r="E84" s="14">
        <f>Afrique!B86</f>
        <v>3943</v>
      </c>
      <c r="F84" s="34">
        <f>Afrique!C86</f>
        <v>114</v>
      </c>
      <c r="G84" s="74">
        <f>Afrique!D86</f>
        <v>208</v>
      </c>
      <c r="H84" s="14">
        <f>Amérique!B86</f>
        <v>117767</v>
      </c>
      <c r="I84" s="34">
        <f>Amérique!C86</f>
        <v>1852</v>
      </c>
      <c r="J84" s="74">
        <f>Amérique!D86</f>
        <v>1333</v>
      </c>
      <c r="K84" s="14">
        <f>Asie!B86</f>
        <v>147947</v>
      </c>
      <c r="L84" s="34">
        <f>Asie!C86</f>
        <v>6247</v>
      </c>
      <c r="M84" s="74">
        <f>Asie!D86</f>
        <v>92443</v>
      </c>
      <c r="N84" s="14">
        <f>Europe!B86</f>
        <v>318798</v>
      </c>
      <c r="O84" s="34">
        <f>Europe!C86</f>
        <v>18782</v>
      </c>
      <c r="P84" s="74">
        <f>Europe!D86</f>
        <v>35215</v>
      </c>
      <c r="Q84" s="14">
        <f>Océanieautres!B86</f>
        <v>3538</v>
      </c>
      <c r="R84" s="34">
        <f>Océanieautres!C86</f>
        <v>13</v>
      </c>
      <c r="S84" s="74">
        <f>Océanieautres!D86</f>
        <v>231</v>
      </c>
      <c r="T84" s="82">
        <f>Océanieautres!AB86</f>
        <v>712</v>
      </c>
      <c r="U84" s="94">
        <f>Océanieautres!AC86</f>
        <v>10</v>
      </c>
      <c r="V84" s="108">
        <f>Océanieautres!AD86</f>
        <v>597</v>
      </c>
    </row>
    <row r="85" spans="1:22" ht="12.75">
      <c r="A85" s="13">
        <v>43918</v>
      </c>
      <c r="B85" s="14">
        <f>SUM(E85,H85,K85,N85,Q85,T85)</f>
        <v>660343</v>
      </c>
      <c r="C85" s="34">
        <f>SUM(F85,I85,L85,O85,R85,U85)</f>
        <v>30531</v>
      </c>
      <c r="D85" s="73">
        <f>SUM(G85,J85,M85,P85,S85,V85)</f>
        <v>136618</v>
      </c>
      <c r="E85" s="14">
        <f>Afrique!B87</f>
        <v>4248</v>
      </c>
      <c r="F85" s="34">
        <f>Afrique!C87</f>
        <v>134</v>
      </c>
      <c r="G85" s="74">
        <f>Afrique!D87</f>
        <v>253</v>
      </c>
      <c r="H85" s="14">
        <f>Amérique!B87</f>
        <v>140305</v>
      </c>
      <c r="I85" s="34">
        <f>Amérique!C87</f>
        <v>2368</v>
      </c>
      <c r="J85" s="74">
        <f>Amérique!D87</f>
        <v>1788</v>
      </c>
      <c r="K85" s="14">
        <f>Asie!B87</f>
        <v>155303</v>
      </c>
      <c r="L85" s="34">
        <f>Asie!C87</f>
        <v>6460</v>
      </c>
      <c r="M85" s="74">
        <f>Asie!D87</f>
        <v>93931</v>
      </c>
      <c r="N85" s="14">
        <f>Europe!B87</f>
        <v>355655</v>
      </c>
      <c r="O85" s="34">
        <f>Europe!C87</f>
        <v>21545</v>
      </c>
      <c r="P85" s="74">
        <f>Europe!D87</f>
        <v>39755</v>
      </c>
      <c r="Q85" s="14">
        <f>Océanieautres!B87</f>
        <v>4118</v>
      </c>
      <c r="R85" s="34">
        <f>Océanieautres!C87</f>
        <v>14</v>
      </c>
      <c r="S85" s="74">
        <f>Océanieautres!D87</f>
        <v>294</v>
      </c>
      <c r="T85" s="82">
        <f>SUM(Océanieautres!AB87,Océanieautres!AE87)</f>
        <v>714</v>
      </c>
      <c r="U85" s="94">
        <f>SUM(Océanieautres!AC87,Océanieautres!AF87)</f>
        <v>10</v>
      </c>
      <c r="V85" s="108">
        <f>SUM(Océanieautres!AD87,Océanieautres!AG87)</f>
        <v>597</v>
      </c>
    </row>
    <row r="86" spans="1:22" ht="12.75">
      <c r="A86" s="13">
        <v>43919</v>
      </c>
      <c r="B86" s="14">
        <f>SUM(E86,H86,K86,N86,Q86,T86)</f>
        <v>716569</v>
      </c>
      <c r="C86" s="34">
        <f>SUM(F86,I86,L86,O86,R86,U86)</f>
        <v>33886</v>
      </c>
      <c r="D86" s="73">
        <f>SUM(G86,J86,M86,P86,S86,V86)</f>
        <v>148120</v>
      </c>
      <c r="E86" s="14">
        <f>Afrique!B88</f>
        <v>4731</v>
      </c>
      <c r="F86" s="34">
        <f>Afrique!C88</f>
        <v>145</v>
      </c>
      <c r="G86" s="74">
        <f>Afrique!D88</f>
        <v>277</v>
      </c>
      <c r="H86" s="14">
        <f>Amérique!B88</f>
        <v>158129</v>
      </c>
      <c r="I86" s="34">
        <f>Amérique!C88</f>
        <v>2807</v>
      </c>
      <c r="J86" s="74">
        <f>Amérique!D88</f>
        <v>3346</v>
      </c>
      <c r="K86" s="14">
        <f>Asie!B88</f>
        <v>162608</v>
      </c>
      <c r="L86" s="34">
        <f>Asie!C88</f>
        <v>6665</v>
      </c>
      <c r="M86" s="74">
        <f>Asie!D88</f>
        <v>95606</v>
      </c>
      <c r="N86" s="14">
        <f>Europe!B88</f>
        <v>385866</v>
      </c>
      <c r="O86" s="34">
        <f>Europe!C88</f>
        <v>24242</v>
      </c>
      <c r="P86" s="74">
        <f>Europe!D88</f>
        <v>47994</v>
      </c>
      <c r="Q86" s="14">
        <f>Océanieautres!B88</f>
        <v>4521</v>
      </c>
      <c r="R86" s="34">
        <f>Océanieautres!C88</f>
        <v>17</v>
      </c>
      <c r="S86" s="74">
        <f>Océanieautres!D88</f>
        <v>300</v>
      </c>
      <c r="T86" s="82">
        <f>SUM(Océanieautres!AB88,Océanieautres!AE88)</f>
        <v>714</v>
      </c>
      <c r="U86" s="94">
        <f>SUM(Océanieautres!AC88,Océanieautres!AF88)</f>
        <v>10</v>
      </c>
      <c r="V86" s="108">
        <f>SUM(Océanieautres!AD88,Océanieautres!AG88)</f>
        <v>597</v>
      </c>
    </row>
    <row r="87" spans="1:22" ht="12.75">
      <c r="A87" s="13">
        <v>43920</v>
      </c>
      <c r="B87" s="14">
        <f>SUM(E87,H87,K87,N87,Q87,T87)</f>
        <v>777865</v>
      </c>
      <c r="C87" s="34">
        <f>SUM(F87,I87,L87,O87,R87,U87)</f>
        <v>37198</v>
      </c>
      <c r="D87" s="73">
        <f>SUM(G87,J87,M87,P87,S87,V87)</f>
        <v>163651</v>
      </c>
      <c r="E87" s="14">
        <f>Afrique!B89</f>
        <v>5202</v>
      </c>
      <c r="F87" s="34">
        <f>Afrique!C89</f>
        <v>168</v>
      </c>
      <c r="G87" s="74">
        <f>Afrique!D89</f>
        <v>316</v>
      </c>
      <c r="H87" s="14">
        <f>Amérique!B89</f>
        <v>183507</v>
      </c>
      <c r="I87" s="34">
        <f>Amérique!C89</f>
        <v>3419</v>
      </c>
      <c r="J87" s="74">
        <f>Amérique!D89</f>
        <v>6719</v>
      </c>
      <c r="K87" s="14">
        <f>Asie!B89</f>
        <v>169591</v>
      </c>
      <c r="L87" s="34">
        <f>Asie!C89</f>
        <v>6875</v>
      </c>
      <c r="M87" s="74">
        <f>Asie!D89</f>
        <v>98233</v>
      </c>
      <c r="N87" s="14">
        <f>Europe!B89</f>
        <v>413874</v>
      </c>
      <c r="O87" s="34">
        <f>Europe!C89</f>
        <v>26708</v>
      </c>
      <c r="P87" s="74">
        <f>Europe!D89</f>
        <v>57460</v>
      </c>
      <c r="Q87" s="14">
        <f>Océanieautres!B89</f>
        <v>4977</v>
      </c>
      <c r="R87" s="34">
        <f>Océanieautres!C89</f>
        <v>18</v>
      </c>
      <c r="S87" s="74">
        <f>Océanieautres!D89</f>
        <v>320</v>
      </c>
      <c r="T87" s="82">
        <f>SUM(Océanieautres!AB89,Océanieautres!AE89)</f>
        <v>714</v>
      </c>
      <c r="U87" s="94">
        <f>SUM(Océanieautres!AC89,Océanieautres!AF89)</f>
        <v>10</v>
      </c>
      <c r="V87" s="108">
        <f>SUM(Océanieautres!AD89,Océanieautres!AG89)</f>
        <v>603</v>
      </c>
    </row>
    <row r="88" spans="1:22" ht="13.5" thickBot="1">
      <c r="A88" s="140">
        <v>43921</v>
      </c>
      <c r="B88" s="141">
        <f>SUM(E88,H88,K88,N88,Q88,T88)</f>
        <v>855439</v>
      </c>
      <c r="C88" s="142">
        <f>SUM(F88,I88,L88,O88,R88,U88)</f>
        <v>41831</v>
      </c>
      <c r="D88" s="143">
        <f>SUM(G88,J88,M88,P88,S88,V88)</f>
        <v>177121</v>
      </c>
      <c r="E88" s="141">
        <f>Afrique!B90</f>
        <v>5829</v>
      </c>
      <c r="F88" s="142">
        <f>Afrique!C90</f>
        <v>201</v>
      </c>
      <c r="G88" s="144">
        <f>Afrique!D90</f>
        <v>371</v>
      </c>
      <c r="H88" s="141">
        <f>Amérique!B90</f>
        <v>213495</v>
      </c>
      <c r="I88" s="142">
        <f>Amérique!C90</f>
        <v>4179</v>
      </c>
      <c r="J88" s="144">
        <f>Amérique!D90</f>
        <v>9394</v>
      </c>
      <c r="K88" s="141">
        <f>Asie!B90</f>
        <v>178123</v>
      </c>
      <c r="L88" s="142">
        <f>Asie!C90</f>
        <v>7119</v>
      </c>
      <c r="M88" s="144">
        <f>Asie!D90</f>
        <v>99985</v>
      </c>
      <c r="N88" s="141">
        <f>Europe!B90</f>
        <v>452045</v>
      </c>
      <c r="O88" s="142">
        <f>Europe!C90</f>
        <v>30303</v>
      </c>
      <c r="P88" s="144">
        <f>Europe!D90</f>
        <v>66336</v>
      </c>
      <c r="Q88" s="141">
        <f>Océanieautres!B90</f>
        <v>5233</v>
      </c>
      <c r="R88" s="142">
        <f>Océanieautres!C90</f>
        <v>19</v>
      </c>
      <c r="S88" s="144">
        <f>Océanieautres!D90</f>
        <v>432</v>
      </c>
      <c r="T88" s="145">
        <f>SUM(Océanieautres!AB90,Océanieautres!AE90)</f>
        <v>714</v>
      </c>
      <c r="U88" s="146">
        <f>SUM(Océanieautres!AC90,Océanieautres!AF90)</f>
        <v>10</v>
      </c>
      <c r="V88" s="147">
        <f>SUM(Océanieautres!AD90,Océanieautres!AG90)</f>
        <v>603</v>
      </c>
    </row>
    <row r="89" spans="1:22" ht="12.75">
      <c r="A89" s="13">
        <v>43922</v>
      </c>
      <c r="B89" s="14">
        <f>SUM(E89,H89,K89,N89,Q89,T89)</f>
        <v>932930</v>
      </c>
      <c r="C89" s="34">
        <f>SUM(F89,I89,L89,O89,R89,U89)</f>
        <v>47212</v>
      </c>
      <c r="D89" s="73">
        <f>SUM(G89,J89,M89,P89,S89,V89)</f>
        <v>191441</v>
      </c>
      <c r="E89" s="14">
        <f>Afrique!B91</f>
        <v>6380</v>
      </c>
      <c r="F89" s="34">
        <f>Afrique!C91</f>
        <v>235</v>
      </c>
      <c r="G89" s="74">
        <f>Afrique!D91</f>
        <v>470</v>
      </c>
      <c r="H89" s="14">
        <f>Amérique!B91</f>
        <v>244636</v>
      </c>
      <c r="I89" s="34">
        <f>Amérique!C91</f>
        <v>5470</v>
      </c>
      <c r="J89" s="74">
        <f>Amérique!D91</f>
        <v>11083</v>
      </c>
      <c r="K89" s="14">
        <f>Asie!B91</f>
        <v>186866</v>
      </c>
      <c r="L89" s="34">
        <f>Asie!C91</f>
        <v>7417</v>
      </c>
      <c r="M89" s="74">
        <f>Asie!D91</f>
        <v>101845</v>
      </c>
      <c r="N89" s="14">
        <f>Europe!B91</f>
        <v>488736</v>
      </c>
      <c r="O89" s="34">
        <f>Europe!C91</f>
        <v>34059</v>
      </c>
      <c r="P89" s="74">
        <f>Europe!D91</f>
        <v>76935</v>
      </c>
      <c r="Q89" s="14">
        <f>Océanieautres!B91</f>
        <v>5598</v>
      </c>
      <c r="R89" s="34">
        <f>Océanieautres!C91</f>
        <v>21</v>
      </c>
      <c r="S89" s="74">
        <f>Océanieautres!D91</f>
        <v>505</v>
      </c>
      <c r="T89" s="82">
        <f>SUM(Océanieautres!AB91,Océanieautres!AE91)</f>
        <v>714</v>
      </c>
      <c r="U89" s="94">
        <f>SUM(Océanieautres!AC91,Océanieautres!AF91)</f>
        <v>10</v>
      </c>
      <c r="V89" s="108">
        <f>SUM(Océanieautres!AD91,Océanieautres!AG91)</f>
        <v>603</v>
      </c>
    </row>
    <row r="90" spans="1:22" ht="12.75">
      <c r="A90" s="13">
        <v>43923</v>
      </c>
      <c r="B90" s="14">
        <f>SUM(E90,H90,K90,N90,Q90,T90)</f>
        <v>1006618</v>
      </c>
      <c r="C90" s="34">
        <f>SUM(F90,I90,L90,O90,R90,U90)</f>
        <v>52690</v>
      </c>
      <c r="D90" s="73">
        <f>SUM(G90,J90,M90,P90,S90,V90)</f>
        <v>207709</v>
      </c>
      <c r="E90" s="14">
        <f>Afrique!B92</f>
        <v>7069</v>
      </c>
      <c r="F90" s="34">
        <f>Afrique!C92</f>
        <v>286</v>
      </c>
      <c r="G90" s="74">
        <f>Afrique!D92</f>
        <v>542</v>
      </c>
      <c r="H90" s="14">
        <f>Amérique!B92</f>
        <v>279247</v>
      </c>
      <c r="I90" s="34">
        <f>Amérique!C92</f>
        <v>6831</v>
      </c>
      <c r="J90" s="74">
        <f>Amérique!D92</f>
        <v>12329</v>
      </c>
      <c r="K90" s="14">
        <f>Asie!B92</f>
        <v>195998</v>
      </c>
      <c r="L90" s="34">
        <f>Asie!C92</f>
        <v>7715</v>
      </c>
      <c r="M90" s="74">
        <f>Asie!D92</f>
        <v>104167</v>
      </c>
      <c r="N90" s="14">
        <f>Europe!B92</f>
        <v>517638</v>
      </c>
      <c r="O90" s="34">
        <f>Europe!C92</f>
        <v>37820</v>
      </c>
      <c r="P90" s="74">
        <f>Europe!D92</f>
        <v>89440</v>
      </c>
      <c r="Q90" s="14">
        <f>Océanieautres!B92</f>
        <v>5945</v>
      </c>
      <c r="R90" s="34">
        <f>Océanieautres!C92</f>
        <v>25</v>
      </c>
      <c r="S90" s="74">
        <f>Océanieautres!D92</f>
        <v>612</v>
      </c>
      <c r="T90" s="82">
        <f>SUM(Océanieautres!AB92,Océanieautres!AE92)</f>
        <v>721</v>
      </c>
      <c r="U90" s="94">
        <f>SUM(Océanieautres!AC92,Océanieautres!AF92)</f>
        <v>13</v>
      </c>
      <c r="V90" s="108">
        <f>SUM(Océanieautres!AD92,Océanieautres!AG92)</f>
        <v>619</v>
      </c>
    </row>
    <row r="91" spans="1:22" ht="12.75">
      <c r="A91" s="13">
        <v>43924</v>
      </c>
      <c r="B91" s="14">
        <f>SUM(E91,H91,K91,N91,Q91,T91)</f>
        <v>1094848</v>
      </c>
      <c r="C91" s="34">
        <f>SUM(F91,I91,L91,O91,R91,U91)</f>
        <v>58830</v>
      </c>
      <c r="D91" s="73">
        <f>SUM(G91,J91,M91,P91,S91,V91)</f>
        <v>217929</v>
      </c>
      <c r="E91" s="14">
        <f>Afrique!B93</f>
        <v>7942</v>
      </c>
      <c r="F91" s="34">
        <f>Afrique!C93</f>
        <v>330</v>
      </c>
      <c r="G91" s="74">
        <f>Afrique!D93</f>
        <v>667</v>
      </c>
      <c r="H91" s="14">
        <f>Amérique!B93</f>
        <v>313263</v>
      </c>
      <c r="I91" s="34">
        <f>Amérique!C93</f>
        <v>8136</v>
      </c>
      <c r="J91" s="74">
        <f>Amérique!D93</f>
        <v>13426</v>
      </c>
      <c r="K91" s="14">
        <f>Asie!B93</f>
        <v>204617</v>
      </c>
      <c r="L91" s="34">
        <f>Asie!C93</f>
        <v>7995</v>
      </c>
      <c r="M91" s="74">
        <f>Asie!D93</f>
        <v>106251</v>
      </c>
      <c r="N91" s="14">
        <f>Europe!B93</f>
        <v>562070</v>
      </c>
      <c r="O91" s="34">
        <f>Europe!C93</f>
        <v>42325</v>
      </c>
      <c r="P91" s="74">
        <f>Europe!D93</f>
        <v>96214</v>
      </c>
      <c r="Q91" s="14">
        <f>Océanieautres!B93</f>
        <v>6230</v>
      </c>
      <c r="R91" s="34">
        <f>Océanieautres!C93</f>
        <v>29</v>
      </c>
      <c r="S91" s="74">
        <f>Océanieautres!D93</f>
        <v>752</v>
      </c>
      <c r="T91" s="82">
        <f>SUM(Océanieautres!AB93,Océanieautres!AE93)</f>
        <v>726</v>
      </c>
      <c r="U91" s="94">
        <f>SUM(Océanieautres!AC93,Océanieautres!AF93)</f>
        <v>15</v>
      </c>
      <c r="V91" s="108">
        <f>SUM(Océanieautres!AD93,Océanieautres!AG93)</f>
        <v>619</v>
      </c>
    </row>
    <row r="92" spans="1:22" ht="12.75">
      <c r="A92" s="13">
        <v>43925</v>
      </c>
      <c r="B92" s="14">
        <f>SUM(E92,H92,K92,N92,Q92,T92)</f>
        <v>1175766</v>
      </c>
      <c r="C92" s="34">
        <f>SUM(F92,I92,L92,O92,R92,U92)</f>
        <v>64578</v>
      </c>
      <c r="D92" s="73">
        <f>SUM(G92,J92,M92,P92,S92,V92)</f>
        <v>241464</v>
      </c>
      <c r="E92" s="14">
        <f>Afrique!B94</f>
        <v>8620</v>
      </c>
      <c r="F92" s="34">
        <f>Afrique!C94</f>
        <v>384</v>
      </c>
      <c r="G92" s="74">
        <f>Afrique!D94</f>
        <v>783</v>
      </c>
      <c r="H92" s="14">
        <f>Amérique!B94</f>
        <v>351237</v>
      </c>
      <c r="I92" s="34">
        <f>Amérique!C94</f>
        <v>9623</v>
      </c>
      <c r="J92" s="74">
        <f>Amérique!D94</f>
        <v>20102</v>
      </c>
      <c r="K92" s="14">
        <f>Asie!B94</f>
        <v>213432</v>
      </c>
      <c r="L92" s="34">
        <f>Asie!C94</f>
        <v>8299</v>
      </c>
      <c r="M92" s="74">
        <f>Asie!D94</f>
        <v>109420</v>
      </c>
      <c r="N92" s="14">
        <f>Europe!B94</f>
        <v>595214</v>
      </c>
      <c r="O92" s="34">
        <f>Europe!C94</f>
        <v>46226</v>
      </c>
      <c r="P92" s="74">
        <f>Europe!D94</f>
        <v>109712</v>
      </c>
      <c r="Q92" s="14">
        <f>Océanieautres!B94</f>
        <v>6537</v>
      </c>
      <c r="R92" s="34">
        <f>Océanieautres!C94</f>
        <v>31</v>
      </c>
      <c r="S92" s="74">
        <f>Océanieautres!D94</f>
        <v>828</v>
      </c>
      <c r="T92" s="82">
        <f>SUM(Océanieautres!AB94,Océanieautres!AE94)</f>
        <v>726</v>
      </c>
      <c r="U92" s="94">
        <f>SUM(Océanieautres!AC94,Océanieautres!AF94)</f>
        <v>15</v>
      </c>
      <c r="V92" s="108">
        <f>SUM(Océanieautres!AD94,Océanieautres!AG94)</f>
        <v>619</v>
      </c>
    </row>
    <row r="93" spans="1:22" ht="12.75">
      <c r="A93" s="13">
        <v>43926</v>
      </c>
      <c r="B93" s="14">
        <f>SUM(E93,H93,K93,N93,Q93,T93)</f>
        <v>1248120</v>
      </c>
      <c r="C93" s="34">
        <f>SUM(F93,I93,L93,O93,R93,U93)</f>
        <v>69354</v>
      </c>
      <c r="D93" s="73">
        <f>SUM(G93,J93,M93,P93,S93,V93)</f>
        <v>255351</v>
      </c>
      <c r="E93" s="14">
        <f>Afrique!B95</f>
        <v>9341</v>
      </c>
      <c r="F93" s="34">
        <f>Afrique!C95</f>
        <v>444</v>
      </c>
      <c r="G93" s="74">
        <f>Afrique!D95</f>
        <v>872</v>
      </c>
      <c r="H93" s="14">
        <f>Amérique!B95</f>
        <v>383440</v>
      </c>
      <c r="I93" s="34">
        <f>Amérique!C95</f>
        <v>10990</v>
      </c>
      <c r="J93" s="74">
        <f>Amérique!D95</f>
        <v>23442</v>
      </c>
      <c r="K93" s="14">
        <f>Asie!B95</f>
        <v>222934</v>
      </c>
      <c r="L93" s="34">
        <f>Asie!C95</f>
        <v>8603</v>
      </c>
      <c r="M93" s="74">
        <f>Asie!D95</f>
        <v>110670</v>
      </c>
      <c r="N93" s="14">
        <f>Europe!B95</f>
        <v>624916</v>
      </c>
      <c r="O93" s="34">
        <f>Europe!C95</f>
        <v>49266</v>
      </c>
      <c r="P93" s="74">
        <f>Europe!D95</f>
        <v>118835</v>
      </c>
      <c r="Q93" s="14">
        <f>Océanieautres!B95</f>
        <v>6763</v>
      </c>
      <c r="R93" s="34">
        <f>Océanieautres!C95</f>
        <v>36</v>
      </c>
      <c r="S93" s="74">
        <f>Océanieautres!D95</f>
        <v>913</v>
      </c>
      <c r="T93" s="82">
        <f>SUM(Océanieautres!AB95,Océanieautres!AE95)</f>
        <v>726</v>
      </c>
      <c r="U93" s="94">
        <f>SUM(Océanieautres!AC95,Océanieautres!AF95)</f>
        <v>15</v>
      </c>
      <c r="V93" s="108">
        <f>SUM(Océanieautres!AD95,Océanieautres!AG95)</f>
        <v>619</v>
      </c>
    </row>
    <row r="94" spans="1:22" ht="12.75">
      <c r="A94" s="13">
        <v>43927</v>
      </c>
      <c r="B94" s="14">
        <f>SUM(E94,H94,K94,N94,Q94,T94)</f>
        <v>1313895</v>
      </c>
      <c r="C94" s="34">
        <f>SUM(F94,I94,L94,O94,R94,U94)</f>
        <v>74119</v>
      </c>
      <c r="D94" s="73">
        <f>SUM(G94,J94,M94,P94,S94,V94)</f>
        <v>269813</v>
      </c>
      <c r="E94" s="14">
        <f>Afrique!B96</f>
        <v>9762</v>
      </c>
      <c r="F94" s="34">
        <f>Afrique!C96</f>
        <v>481</v>
      </c>
      <c r="G94" s="74">
        <f>Afrique!D96</f>
        <v>911</v>
      </c>
      <c r="H94" s="14">
        <f>Amérique!B96</f>
        <v>413840</v>
      </c>
      <c r="I94" s="34">
        <f>Amérique!C96</f>
        <v>12248</v>
      </c>
      <c r="J94" s="74">
        <f>Amérique!D96</f>
        <v>25635</v>
      </c>
      <c r="K94" s="14">
        <f>Asie!B96</f>
        <v>233566</v>
      </c>
      <c r="L94" s="34">
        <f>Asie!C96</f>
        <v>8921</v>
      </c>
      <c r="M94" s="74">
        <f>Asie!D96</f>
        <v>116644</v>
      </c>
      <c r="N94" s="14">
        <f>Europe!B96</f>
        <v>649060</v>
      </c>
      <c r="O94" s="34">
        <f>Europe!C96</f>
        <v>52413</v>
      </c>
      <c r="P94" s="74">
        <f>Europe!D96</f>
        <v>124748</v>
      </c>
      <c r="Q94" s="14">
        <f>Océanieautres!B96</f>
        <v>6941</v>
      </c>
      <c r="R94" s="34">
        <f>Océanieautres!C96</f>
        <v>41</v>
      </c>
      <c r="S94" s="74">
        <f>Océanieautres!D96</f>
        <v>1256</v>
      </c>
      <c r="T94" s="82">
        <f>SUM(Océanieautres!AB96,Océanieautres!AE96)</f>
        <v>726</v>
      </c>
      <c r="U94" s="94">
        <f>SUM(Océanieautres!AC96,Océanieautres!AF96)</f>
        <v>15</v>
      </c>
      <c r="V94" s="108">
        <f>SUM(Océanieautres!AD96,Océanieautres!AG96)</f>
        <v>619</v>
      </c>
    </row>
    <row r="95" spans="1:22" ht="12.75">
      <c r="A95" s="13">
        <v>43928</v>
      </c>
      <c r="B95" s="14">
        <f>SUM(E95,H95,K95,N95,Q95,T95)</f>
        <v>1382988</v>
      </c>
      <c r="C95" s="34">
        <f>SUM(F95,I95,L95,O95,R95,U95)</f>
        <v>81261</v>
      </c>
      <c r="D95" s="73">
        <f>SUM(G95,J95,M95,P95,S95,V95)</f>
        <v>292076</v>
      </c>
      <c r="E95" s="14">
        <f>Afrique!B97</f>
        <v>10555</v>
      </c>
      <c r="F95" s="34">
        <f>Afrique!C97</f>
        <v>531</v>
      </c>
      <c r="G95" s="74">
        <f>Afrique!D97</f>
        <v>1066</v>
      </c>
      <c r="H95" s="14">
        <f>Amérique!B97</f>
        <v>441969</v>
      </c>
      <c r="I95" s="34">
        <f>Amérique!C97</f>
        <v>14135</v>
      </c>
      <c r="J95" s="74">
        <f>Amérique!D97</f>
        <v>27914</v>
      </c>
      <c r="K95" s="14">
        <f>Asie!B97</f>
        <v>242977</v>
      </c>
      <c r="L95" s="34">
        <f>Asie!C97</f>
        <v>9219</v>
      </c>
      <c r="M95" s="74">
        <f>Asie!D97</f>
        <v>120807</v>
      </c>
      <c r="N95" s="14">
        <f>Europe!B97</f>
        <v>679665</v>
      </c>
      <c r="O95" s="34">
        <f>Europe!C97</f>
        <v>57315</v>
      </c>
      <c r="P95" s="74">
        <f>Europe!D97</f>
        <v>140349</v>
      </c>
      <c r="Q95" s="14">
        <f>Océanieautres!B97</f>
        <v>7096</v>
      </c>
      <c r="R95" s="34">
        <f>Océanieautres!C97</f>
        <v>46</v>
      </c>
      <c r="S95" s="74">
        <f>Océanieautres!D97</f>
        <v>1321</v>
      </c>
      <c r="T95" s="82">
        <f>SUM(Océanieautres!AB97,Océanieautres!AE97)</f>
        <v>726</v>
      </c>
      <c r="U95" s="94">
        <f>SUM(Océanieautres!AC97,Océanieautres!AF97)</f>
        <v>15</v>
      </c>
      <c r="V95" s="108">
        <f>SUM(Océanieautres!AD97,Océanieautres!AG97)</f>
        <v>619</v>
      </c>
    </row>
    <row r="96" spans="1:22" ht="12.75">
      <c r="A96" s="13">
        <v>43929</v>
      </c>
      <c r="B96" s="14">
        <f>SUM(E96,H96,K96,N96,Q96,T96)</f>
        <v>1476039</v>
      </c>
      <c r="C96" s="34">
        <f>SUM(F96,I96,L96,O96,R96,U96)</f>
        <v>88366</v>
      </c>
      <c r="D96" s="73">
        <f>SUM(G96,J96,M96,P96,S96,V96)</f>
        <v>311216</v>
      </c>
      <c r="E96" s="14">
        <f>Afrique!B98</f>
        <v>11395</v>
      </c>
      <c r="F96" s="34">
        <f>Afrique!C98</f>
        <v>576</v>
      </c>
      <c r="G96" s="74">
        <f>Afrique!D98</f>
        <v>1374</v>
      </c>
      <c r="H96" s="14">
        <f>Amérique!B98</f>
        <v>488546</v>
      </c>
      <c r="I96" s="34">
        <f>Amérique!C98</f>
        <v>16867</v>
      </c>
      <c r="J96" s="74">
        <f>Amérique!D98</f>
        <v>31942</v>
      </c>
      <c r="K96" s="14">
        <f>Asie!B98</f>
        <v>252560</v>
      </c>
      <c r="L96" s="34">
        <f>Asie!C98</f>
        <v>9518</v>
      </c>
      <c r="M96" s="74">
        <f>Asie!D98</f>
        <v>124796</v>
      </c>
      <c r="N96" s="14">
        <f>Europe!B98</f>
        <v>715551</v>
      </c>
      <c r="O96" s="34">
        <f>Europe!C98</f>
        <v>61339</v>
      </c>
      <c r="P96" s="74">
        <f>Europe!D98</f>
        <v>151123</v>
      </c>
      <c r="Q96" s="14">
        <f>Océanieautres!B98</f>
        <v>7261</v>
      </c>
      <c r="R96" s="34">
        <f>Océanieautres!C98</f>
        <v>51</v>
      </c>
      <c r="S96" s="74">
        <f>Océanieautres!D98</f>
        <v>1362</v>
      </c>
      <c r="T96" s="82">
        <f>SUM(Océanieautres!AB98,Océanieautres!AE98)</f>
        <v>726</v>
      </c>
      <c r="U96" s="94">
        <f>SUM(Océanieautres!AC98,Océanieautres!AF98)</f>
        <v>15</v>
      </c>
      <c r="V96" s="108">
        <f>SUM(Océanieautres!AD98,Océanieautres!AG98)</f>
        <v>619</v>
      </c>
    </row>
    <row r="97" spans="1:22" ht="12.75">
      <c r="A97" s="13">
        <v>43930</v>
      </c>
      <c r="B97" s="14">
        <f>SUM(E97,H97,K97,N97,Q97,T97)</f>
        <v>1555914</v>
      </c>
      <c r="C97" s="34">
        <f>SUM(F97,I97,L97,O97,R97,U97)</f>
        <v>94912</v>
      </c>
      <c r="D97" s="73">
        <f>SUM(G97,J97,M97,P97,S97,V97)</f>
        <v>345654</v>
      </c>
      <c r="E97" s="14">
        <f>Afrique!B99</f>
        <v>12303</v>
      </c>
      <c r="F97" s="34">
        <f>Afrique!C99</f>
        <v>630</v>
      </c>
      <c r="G97" s="74">
        <f>Afrique!D99</f>
        <v>1624</v>
      </c>
      <c r="H97" s="14">
        <f>Amérique!B99</f>
        <v>526020</v>
      </c>
      <c r="I97" s="34">
        <f>Amérique!C99</f>
        <v>18800</v>
      </c>
      <c r="J97" s="74">
        <f>Amérique!D99</f>
        <v>35006</v>
      </c>
      <c r="K97" s="14">
        <f>Asie!B99</f>
        <v>262838</v>
      </c>
      <c r="L97" s="34">
        <f>Asie!C99</f>
        <v>9882</v>
      </c>
      <c r="M97" s="74">
        <f>Asie!D99</f>
        <v>128951</v>
      </c>
      <c r="N97" s="14">
        <f>Europe!B99</f>
        <v>746639</v>
      </c>
      <c r="O97" s="34">
        <f>Europe!C99</f>
        <v>65533</v>
      </c>
      <c r="P97" s="74">
        <f>Europe!D99</f>
        <v>177665</v>
      </c>
      <c r="Q97" s="14">
        <f>Océanieautres!B99</f>
        <v>7388</v>
      </c>
      <c r="R97" s="34">
        <f>Océanieautres!C99</f>
        <v>52</v>
      </c>
      <c r="S97" s="74">
        <f>Océanieautres!D99</f>
        <v>1789</v>
      </c>
      <c r="T97" s="82">
        <f>SUM(Océanieautres!AB99,Océanieautres!AE99)</f>
        <v>726</v>
      </c>
      <c r="U97" s="94">
        <f>SUM(Océanieautres!AC99,Océanieautres!AF99)</f>
        <v>15</v>
      </c>
      <c r="V97" s="108">
        <f>SUM(Océanieautres!AD99,Océanieautres!AG99)</f>
        <v>619</v>
      </c>
    </row>
    <row r="98" spans="1:22" ht="12.75">
      <c r="A98" s="13">
        <v>43931</v>
      </c>
      <c r="B98" s="14">
        <f>SUM(E98,H98,K98,N98,Q98,T98)</f>
        <v>1647995</v>
      </c>
      <c r="C98" s="34">
        <f>SUM(F98,I98,L98,O98,R98,U98)</f>
        <v>102072</v>
      </c>
      <c r="D98" s="73">
        <f>SUM(G98,J98,M98,P98,S98,V98)</f>
        <v>366313</v>
      </c>
      <c r="E98" s="14">
        <f>Afrique!B100</f>
        <v>12931</v>
      </c>
      <c r="F98" s="34">
        <f>Afrique!C100</f>
        <v>672</v>
      </c>
      <c r="G98" s="74">
        <f>Afrique!D100</f>
        <v>2128</v>
      </c>
      <c r="H98" s="14">
        <f>Amérique!B100</f>
        <v>568455</v>
      </c>
      <c r="I98" s="34">
        <f>Amérique!C100</f>
        <v>21127</v>
      </c>
      <c r="J98" s="74">
        <f>Amérique!D100</f>
        <v>38898</v>
      </c>
      <c r="K98" s="14">
        <f>Asie!B100</f>
        <v>274153</v>
      </c>
      <c r="L98" s="34">
        <f>Asie!C100</f>
        <v>10212</v>
      </c>
      <c r="M98" s="74">
        <f>Asie!D100</f>
        <v>133988</v>
      </c>
      <c r="N98" s="14">
        <f>Europe!B100</f>
        <v>784234</v>
      </c>
      <c r="O98" s="34">
        <f>Europe!C100</f>
        <v>69990</v>
      </c>
      <c r="P98" s="74">
        <f>Europe!D100</f>
        <v>188514</v>
      </c>
      <c r="Q98" s="14">
        <f>Océanieautres!B100</f>
        <v>7496</v>
      </c>
      <c r="R98" s="34">
        <f>Océanieautres!C100</f>
        <v>56</v>
      </c>
      <c r="S98" s="74">
        <f>Océanieautres!D100</f>
        <v>2166</v>
      </c>
      <c r="T98" s="82">
        <f>SUM(Océanieautres!AB100,Océanieautres!AE100)</f>
        <v>726</v>
      </c>
      <c r="U98" s="94">
        <f>SUM(Océanieautres!AC100,Océanieautres!AF100)</f>
        <v>15</v>
      </c>
      <c r="V98" s="108">
        <f>SUM(Océanieautres!AD100,Océanieautres!AG100)</f>
        <v>619</v>
      </c>
    </row>
    <row r="99" spans="1:22" ht="12.75">
      <c r="A99" s="13">
        <v>43932</v>
      </c>
      <c r="B99" s="14">
        <f>SUM(E99,H99,K99,N99,Q99,T99)</f>
        <v>1729124</v>
      </c>
      <c r="C99" s="34">
        <f>SUM(F99,I99,L99,O99,R99,U99)</f>
        <v>108226</v>
      </c>
      <c r="D99" s="73">
        <f>SUM(G99,J99,M99,P99,S99,V99)</f>
        <v>392059</v>
      </c>
      <c r="E99" s="14">
        <f>Afrique!B101</f>
        <v>13585</v>
      </c>
      <c r="F99" s="34">
        <f>Afrique!C101</f>
        <v>742</v>
      </c>
      <c r="G99" s="74">
        <f>Afrique!D101</f>
        <v>2348</v>
      </c>
      <c r="H99" s="14">
        <f>Amérique!B101</f>
        <v>604903</v>
      </c>
      <c r="I99" s="34">
        <f>Amérique!C101</f>
        <v>23379</v>
      </c>
      <c r="J99" s="74">
        <f>Amérique!D101</f>
        <v>43366</v>
      </c>
      <c r="K99" s="14">
        <f>Asie!B101</f>
        <v>286025</v>
      </c>
      <c r="L99" s="34">
        <f>Asie!C101</f>
        <v>10581</v>
      </c>
      <c r="M99" s="74">
        <f>Asie!D101</f>
        <v>142472</v>
      </c>
      <c r="N99" s="14">
        <f>Europe!B101</f>
        <v>816228</v>
      </c>
      <c r="O99" s="34">
        <f>Europe!C101</f>
        <v>73448</v>
      </c>
      <c r="P99" s="74">
        <f>Europe!D101</f>
        <v>201026</v>
      </c>
      <c r="Q99" s="14">
        <f>Océanieautres!B101</f>
        <v>7657</v>
      </c>
      <c r="R99" s="34">
        <f>Océanieautres!C101</f>
        <v>61</v>
      </c>
      <c r="S99" s="74">
        <f>Océanieautres!D101</f>
        <v>2228</v>
      </c>
      <c r="T99" s="82">
        <f>SUM(Océanieautres!AB101,Océanieautres!AE101)</f>
        <v>726</v>
      </c>
      <c r="U99" s="94">
        <f>SUM(Océanieautres!AC101,Océanieautres!AF101)</f>
        <v>15</v>
      </c>
      <c r="V99" s="108">
        <f>SUM(Océanieautres!AD101,Océanieautres!AG101)</f>
        <v>619</v>
      </c>
    </row>
    <row r="100" spans="1:22" ht="12.75">
      <c r="A100" s="13">
        <v>43933</v>
      </c>
      <c r="B100" s="14">
        <f>SUM(E100,H100,K100,N100,Q100,T100)</f>
        <v>1808748</v>
      </c>
      <c r="C100" s="34">
        <f>SUM(F100,I100,L100,O100,R100,U100)</f>
        <v>113827</v>
      </c>
      <c r="D100" s="73">
        <f>SUM(G100,J100,M100,P100,S100,V100)</f>
        <v>411175</v>
      </c>
      <c r="E100" s="14">
        <f>Afrique!B102</f>
        <v>15068</v>
      </c>
      <c r="F100" s="34">
        <f>Afrique!C102</f>
        <v>791</v>
      </c>
      <c r="G100" s="74">
        <f>Afrique!D102</f>
        <v>2822</v>
      </c>
      <c r="H100" s="14">
        <f>Amérique!B102</f>
        <v>643206</v>
      </c>
      <c r="I100" s="34">
        <f>Amérique!C102</f>
        <v>25438</v>
      </c>
      <c r="J100" s="74">
        <f>Amérique!D102</f>
        <v>47902</v>
      </c>
      <c r="K100" s="14">
        <f>Asie!B102</f>
        <v>297696</v>
      </c>
      <c r="L100" s="34">
        <f>Asie!C102</f>
        <v>10979</v>
      </c>
      <c r="M100" s="74">
        <f>Asie!D102</f>
        <v>145919</v>
      </c>
      <c r="N100" s="14">
        <f>Europe!B102</f>
        <v>844315</v>
      </c>
      <c r="O100" s="34">
        <f>Europe!C102</f>
        <v>76540</v>
      </c>
      <c r="P100" s="74">
        <f>Europe!D102</f>
        <v>211636</v>
      </c>
      <c r="Q100" s="14">
        <f>Océanieautres!B102</f>
        <v>7737</v>
      </c>
      <c r="R100" s="34">
        <f>Océanieautres!C102</f>
        <v>64</v>
      </c>
      <c r="S100" s="74">
        <f>Océanieautres!D102</f>
        <v>2277</v>
      </c>
      <c r="T100" s="82">
        <f>SUM(Océanieautres!AB102,Océanieautres!AE102)</f>
        <v>726</v>
      </c>
      <c r="U100" s="94">
        <f>SUM(Océanieautres!AC102,Océanieautres!AF102)</f>
        <v>15</v>
      </c>
      <c r="V100" s="108">
        <f>SUM(Océanieautres!AD102,Océanieautres!AG102)</f>
        <v>619</v>
      </c>
    </row>
    <row r="101" spans="1:22" ht="12.75">
      <c r="A101" s="13">
        <v>43934</v>
      </c>
      <c r="B101" s="14">
        <f>SUM(E101,H101,K101,N101,Q101,T101)</f>
        <v>1873012</v>
      </c>
      <c r="C101" s="34">
        <f>SUM(F101,I101,L101,O101,R101,U101)</f>
        <v>118677</v>
      </c>
      <c r="D101" s="73">
        <f>SUM(G101,J101,M101,P101,S101,V101)</f>
        <v>435943</v>
      </c>
      <c r="E101" s="14">
        <f>Afrique!B103</f>
        <v>15828</v>
      </c>
      <c r="F101" s="34">
        <f>Afrique!C103</f>
        <v>837</v>
      </c>
      <c r="G101" s="74">
        <f>Afrique!D103</f>
        <v>2929</v>
      </c>
      <c r="H101" s="14">
        <f>Amérique!B103</f>
        <v>671278</v>
      </c>
      <c r="I101" s="34">
        <f>Amérique!C103</f>
        <v>26801</v>
      </c>
      <c r="J101" s="74">
        <f>Amérique!D103</f>
        <v>58347</v>
      </c>
      <c r="K101" s="14">
        <f>Asie!B103</f>
        <v>309513</v>
      </c>
      <c r="L101" s="34">
        <f>Asie!C103</f>
        <v>11322</v>
      </c>
      <c r="M101" s="74">
        <f>Asie!D103</f>
        <v>150565</v>
      </c>
      <c r="N101" s="14">
        <f>Europe!B103</f>
        <v>867875</v>
      </c>
      <c r="O101" s="34">
        <f>Europe!C103</f>
        <v>79636</v>
      </c>
      <c r="P101" s="74">
        <f>Europe!D103</f>
        <v>221131</v>
      </c>
      <c r="Q101" s="14">
        <f>Océanieautres!B103</f>
        <v>7792</v>
      </c>
      <c r="R101" s="34">
        <f>Océanieautres!C103</f>
        <v>66</v>
      </c>
      <c r="S101" s="74">
        <f>Océanieautres!D103</f>
        <v>2352</v>
      </c>
      <c r="T101" s="82">
        <f>SUM(Océanieautres!AB103,Océanieautres!AE103)</f>
        <v>726</v>
      </c>
      <c r="U101" s="94">
        <f>SUM(Océanieautres!AC103,Océanieautres!AF103)</f>
        <v>15</v>
      </c>
      <c r="V101" s="108">
        <f>SUM(Océanieautres!AD103,Océanieautres!AG103)</f>
        <v>619</v>
      </c>
    </row>
    <row r="102" spans="1:22" ht="12.75">
      <c r="A102" s="13">
        <v>43935</v>
      </c>
      <c r="B102" s="14">
        <f>SUM(E102,H102,K102,N102,Q102,T102)</f>
        <v>1944698</v>
      </c>
      <c r="C102" s="34">
        <f>SUM(F102,I102,L102,O102,R102,U102)</f>
        <v>125581</v>
      </c>
      <c r="D102" s="73">
        <f>SUM(G102,J102,M102,P102,S102,V102)</f>
        <v>462393</v>
      </c>
      <c r="E102" s="14">
        <f>Afrique!B104</f>
        <v>16746</v>
      </c>
      <c r="F102" s="34">
        <f>Afrique!C104</f>
        <v>873</v>
      </c>
      <c r="G102" s="74">
        <f>Afrique!D104</f>
        <v>3175</v>
      </c>
      <c r="H102" s="14">
        <f>Amérique!B104</f>
        <v>701782</v>
      </c>
      <c r="I102" s="34">
        <f>Amérique!C104</f>
        <v>29515</v>
      </c>
      <c r="J102" s="74">
        <f>Amérique!D104</f>
        <v>67800</v>
      </c>
      <c r="K102" s="14">
        <f>Asie!B104</f>
        <v>320600</v>
      </c>
      <c r="L102" s="34">
        <f>Asie!C104</f>
        <v>11712</v>
      </c>
      <c r="M102" s="74">
        <f>Asie!D104</f>
        <v>155686</v>
      </c>
      <c r="N102" s="14">
        <f>Europe!B104</f>
        <v>896971</v>
      </c>
      <c r="O102" s="34">
        <f>Europe!C104</f>
        <v>83394</v>
      </c>
      <c r="P102" s="74">
        <f>Europe!D104</f>
        <v>232279</v>
      </c>
      <c r="Q102" s="14">
        <f>Océanieautres!B104</f>
        <v>7873</v>
      </c>
      <c r="R102" s="34">
        <f>Océanieautres!C104</f>
        <v>71</v>
      </c>
      <c r="S102" s="74">
        <f>Océanieautres!D104</f>
        <v>2814</v>
      </c>
      <c r="T102" s="82">
        <f>SUM(Océanieautres!AB104,Océanieautres!AE104)</f>
        <v>726</v>
      </c>
      <c r="U102" s="94">
        <f>SUM(Océanieautres!AC104,Océanieautres!AF104)</f>
        <v>16</v>
      </c>
      <c r="V102" s="108">
        <f>SUM(Océanieautres!AD104,Océanieautres!AG104)</f>
        <v>639</v>
      </c>
    </row>
    <row r="103" spans="1:22" ht="12.75">
      <c r="A103" s="13">
        <v>43936</v>
      </c>
      <c r="B103" s="14">
        <f>SUM(E103,H103,K103,N103,Q103,T103)</f>
        <v>2027733</v>
      </c>
      <c r="C103" s="34">
        <f>SUM(F103,I103,L103,O103,R103,U103)</f>
        <v>133861</v>
      </c>
      <c r="D103" s="73">
        <f>SUM(G103,J103,M103,P103,S103,V103)</f>
        <v>498906</v>
      </c>
      <c r="E103" s="14">
        <f>Afrique!B105</f>
        <v>17650</v>
      </c>
      <c r="F103" s="34">
        <f>Afrique!C105</f>
        <v>910</v>
      </c>
      <c r="G103" s="74">
        <f>Afrique!D105</f>
        <v>3406</v>
      </c>
      <c r="H103" s="14">
        <f>Amérique!B105</f>
        <v>742940</v>
      </c>
      <c r="I103" s="34">
        <f>Amérique!C105</f>
        <v>32915</v>
      </c>
      <c r="J103" s="74">
        <f>Amérique!D105</f>
        <v>86102</v>
      </c>
      <c r="K103" s="14">
        <f>Asie!B105</f>
        <v>332025</v>
      </c>
      <c r="L103" s="34">
        <f>Asie!C105</f>
        <v>12010</v>
      </c>
      <c r="M103" s="74">
        <f>Asie!D105</f>
        <v>159958</v>
      </c>
      <c r="N103" s="14">
        <f>Europe!B105</f>
        <v>926474</v>
      </c>
      <c r="O103" s="34">
        <f>Europe!C105</f>
        <v>87938</v>
      </c>
      <c r="P103" s="74">
        <f>Europe!D105</f>
        <v>245887</v>
      </c>
      <c r="Q103" s="14">
        <f>Océanieautres!B105</f>
        <v>7918</v>
      </c>
      <c r="R103" s="34">
        <f>Océanieautres!C105</f>
        <v>72</v>
      </c>
      <c r="S103" s="74">
        <f>Océanieautres!D105</f>
        <v>2914</v>
      </c>
      <c r="T103" s="82">
        <f>SUM(Océanieautres!AB105,Océanieautres!AE105)</f>
        <v>726</v>
      </c>
      <c r="U103" s="94">
        <f>SUM(Océanieautres!AC105,Océanieautres!AF105)</f>
        <v>16</v>
      </c>
      <c r="V103" s="108">
        <f>SUM(Océanieautres!AD105,Océanieautres!AG105)</f>
        <v>639</v>
      </c>
    </row>
    <row r="104" spans="1:22" ht="12.75">
      <c r="A104" s="13">
        <v>43937</v>
      </c>
      <c r="B104" s="14">
        <f>SUM(E104,H104,K104,N104,Q104,T104)</f>
        <v>2111126</v>
      </c>
      <c r="C104" s="34">
        <f>SUM(F104,I104,L104,O104,R104,U104)</f>
        <v>143451</v>
      </c>
      <c r="D104" s="73">
        <f>SUM(G104,J104,M104,P104,S104,V104)</f>
        <v>529006</v>
      </c>
      <c r="E104" s="14">
        <f>Afrique!B106</f>
        <v>18898</v>
      </c>
      <c r="F104" s="34">
        <f>Afrique!C106</f>
        <v>967</v>
      </c>
      <c r="G104" s="74">
        <f>Afrique!D106</f>
        <v>4279</v>
      </c>
      <c r="H104" s="14">
        <f>Amérique!B106</f>
        <v>781618</v>
      </c>
      <c r="I104" s="34">
        <f>Amérique!C106</f>
        <v>38018</v>
      </c>
      <c r="J104" s="74">
        <f>Amérique!D106</f>
        <v>92769</v>
      </c>
      <c r="K104" s="14">
        <f>Asie!B106</f>
        <v>344143</v>
      </c>
      <c r="L104" s="34">
        <f>Asie!C106</f>
        <v>12380</v>
      </c>
      <c r="M104" s="74">
        <f>Asie!D106</f>
        <v>165440</v>
      </c>
      <c r="N104" s="14">
        <f>Europe!B106</f>
        <v>957785</v>
      </c>
      <c r="O104" s="34">
        <f>Europe!C106</f>
        <v>91998</v>
      </c>
      <c r="P104" s="74">
        <f>Europe!D106</f>
        <v>262749</v>
      </c>
      <c r="Q104" s="14">
        <f>Océanieautres!B106</f>
        <v>7956</v>
      </c>
      <c r="R104" s="34">
        <f>Océanieautres!C106</f>
        <v>72</v>
      </c>
      <c r="S104" s="74">
        <f>Océanieautres!D106</f>
        <v>3125</v>
      </c>
      <c r="T104" s="82">
        <f>SUM(Océanieautres!AB106,Océanieautres!AE106)</f>
        <v>726</v>
      </c>
      <c r="U104" s="94">
        <f>SUM(Océanieautres!AC106,Océanieautres!AF106)</f>
        <v>16</v>
      </c>
      <c r="V104" s="108">
        <f>SUM(Océanieautres!AD106,Océanieautres!AG106)</f>
        <v>644</v>
      </c>
    </row>
    <row r="105" spans="1:22" ht="12.75">
      <c r="A105" s="13">
        <v>43938</v>
      </c>
      <c r="B105" s="14">
        <f>SUM(E105,H105,K105,N105,Q105,T105)</f>
        <v>2197098</v>
      </c>
      <c r="C105" s="34">
        <f>SUM(F105,I105,L105,O105,R105,U105)</f>
        <v>153332</v>
      </c>
      <c r="D105" s="73">
        <f>SUM(G105,J105,M105,P105,S105,V105)</f>
        <v>553406</v>
      </c>
      <c r="E105" s="14">
        <f>Afrique!B107</f>
        <v>20253</v>
      </c>
      <c r="F105" s="34">
        <f>Afrique!C107</f>
        <v>1014</v>
      </c>
      <c r="G105" s="74">
        <f>Afrique!D107</f>
        <v>4597</v>
      </c>
      <c r="H105" s="14">
        <f>Amérique!B107</f>
        <v>822536</v>
      </c>
      <c r="I105" s="34">
        <f>Amérique!C107</f>
        <v>42386</v>
      </c>
      <c r="J105" s="74">
        <f>Amérique!D107</f>
        <v>98334</v>
      </c>
      <c r="K105" s="14">
        <f>Asie!B107</f>
        <v>357619</v>
      </c>
      <c r="L105" s="34">
        <f>Asie!C107</f>
        <v>14057</v>
      </c>
      <c r="M105" s="74">
        <f>Asie!D107</f>
        <v>169927</v>
      </c>
      <c r="N105" s="14">
        <f>Europe!B107</f>
        <v>987935</v>
      </c>
      <c r="O105" s="34">
        <f>Europe!C107</f>
        <v>95781</v>
      </c>
      <c r="P105" s="74">
        <f>Europe!D107</f>
        <v>275285</v>
      </c>
      <c r="Q105" s="14">
        <f>Océanieautres!B107</f>
        <v>8029</v>
      </c>
      <c r="R105" s="34">
        <f>Océanieautres!C107</f>
        <v>77</v>
      </c>
      <c r="S105" s="74">
        <f>Océanieautres!D107</f>
        <v>4619</v>
      </c>
      <c r="T105" s="82">
        <f>SUM(Océanieautres!AB107,Océanieautres!AE107)</f>
        <v>726</v>
      </c>
      <c r="U105" s="94">
        <f>SUM(Océanieautres!AC107,Océanieautres!AF107)</f>
        <v>17</v>
      </c>
      <c r="V105" s="108">
        <f>SUM(Océanieautres!AD107,Océanieautres!AG107)</f>
        <v>644</v>
      </c>
    </row>
    <row r="106" spans="1:22" ht="12.75">
      <c r="A106" s="13">
        <v>43939</v>
      </c>
      <c r="B106" s="14">
        <f>SUM(E106,H106,K106,N106,Q106,T106)</f>
        <v>2279171</v>
      </c>
      <c r="C106" s="34">
        <f>SUM(F106,I106,L106,O106,R106,U106)</f>
        <v>159385</v>
      </c>
      <c r="D106" s="73">
        <f>SUM(G106,J106,M106,P106,S106,V106)</f>
        <v>577915</v>
      </c>
      <c r="E106" s="14">
        <f>Afrique!B108</f>
        <v>21525</v>
      </c>
      <c r="F106" s="34">
        <f>Afrique!C108</f>
        <v>1056</v>
      </c>
      <c r="G106" s="74">
        <f>Afrique!D108</f>
        <v>4953</v>
      </c>
      <c r="H106" s="14">
        <f>Amérique!B108</f>
        <v>862242</v>
      </c>
      <c r="I106" s="34">
        <f>Amérique!C108</f>
        <v>44677</v>
      </c>
      <c r="J106" s="74">
        <f>Amérique!D108</f>
        <v>106140</v>
      </c>
      <c r="K106" s="14">
        <f>Asie!B108</f>
        <v>368125</v>
      </c>
      <c r="L106" s="34">
        <f>Asie!C108</f>
        <v>14327</v>
      </c>
      <c r="M106" s="74">
        <f>Asie!D108</f>
        <v>175530</v>
      </c>
      <c r="N106" s="14">
        <f>Europe!B108</f>
        <v>1018486</v>
      </c>
      <c r="O106" s="34">
        <f>Europe!C108</f>
        <v>99230</v>
      </c>
      <c r="P106" s="74">
        <f>Europe!D108</f>
        <v>285657</v>
      </c>
      <c r="Q106" s="14">
        <f>Océanieautres!B108</f>
        <v>8067</v>
      </c>
      <c r="R106" s="34">
        <f>Océanieautres!C108</f>
        <v>78</v>
      </c>
      <c r="S106" s="74">
        <f>Océanieautres!D108</f>
        <v>4991</v>
      </c>
      <c r="T106" s="82">
        <f>SUM(Océanieautres!AB108,Océanieautres!AE108)</f>
        <v>726</v>
      </c>
      <c r="U106" s="94">
        <f>SUM(Océanieautres!AC108,Océanieautres!AF108)</f>
        <v>17</v>
      </c>
      <c r="V106" s="108">
        <f>SUM(Océanieautres!AD108,Océanieautres!AG108)</f>
        <v>644</v>
      </c>
    </row>
    <row r="107" spans="1:22" ht="12.75">
      <c r="A107" s="13">
        <v>43940</v>
      </c>
      <c r="B107" s="14">
        <f>SUM(E107,H107,K107,N107,Q107,T107)</f>
        <v>2354265</v>
      </c>
      <c r="C107" s="34">
        <f>SUM(F107,I107,L107,O107,R107,U107)</f>
        <v>164961</v>
      </c>
      <c r="D107" s="73">
        <f>SUM(G107,J107,M107,P107,S107,V107)</f>
        <v>597809</v>
      </c>
      <c r="E107" s="14">
        <f>Afrique!B109</f>
        <v>22557</v>
      </c>
      <c r="F107" s="34">
        <f>Afrique!C109</f>
        <v>1122</v>
      </c>
      <c r="G107" s="74">
        <f>Afrique!D109</f>
        <v>5482</v>
      </c>
      <c r="H107" s="14">
        <f>Amérique!B109</f>
        <v>892450</v>
      </c>
      <c r="I107" s="34">
        <f>Amérique!C109</f>
        <v>46982</v>
      </c>
      <c r="J107" s="74">
        <f>Amérique!D109</f>
        <v>110314</v>
      </c>
      <c r="K107" s="14">
        <f>Asie!B109</f>
        <v>382572</v>
      </c>
      <c r="L107" s="34">
        <f>Asie!C109</f>
        <v>14777</v>
      </c>
      <c r="M107" s="74">
        <f>Asie!D109</f>
        <v>180610</v>
      </c>
      <c r="N107" s="14">
        <f>Europe!B109</f>
        <v>1047884</v>
      </c>
      <c r="O107" s="34">
        <f>Europe!C109</f>
        <v>101984</v>
      </c>
      <c r="P107" s="74">
        <f>Europe!D109</f>
        <v>295723</v>
      </c>
      <c r="Q107" s="14">
        <f>Océanieautres!B109</f>
        <v>8076</v>
      </c>
      <c r="R107" s="34">
        <f>Océanieautres!C109</f>
        <v>79</v>
      </c>
      <c r="S107" s="74">
        <f>Océanieautres!D109</f>
        <v>5036</v>
      </c>
      <c r="T107" s="82">
        <f>SUM(Océanieautres!AB109,Océanieautres!AE109)</f>
        <v>726</v>
      </c>
      <c r="U107" s="94">
        <f>SUM(Océanieautres!AC109,Océanieautres!AF109)</f>
        <v>17</v>
      </c>
      <c r="V107" s="108">
        <f>SUM(Océanieautres!AD109,Océanieautres!AG109)</f>
        <v>644</v>
      </c>
    </row>
    <row r="108" spans="1:22" ht="12.75">
      <c r="A108" s="13">
        <v>43941</v>
      </c>
      <c r="B108" s="14">
        <f>SUM(E108,H108,K108,N108,Q108,T108)</f>
        <v>2428256</v>
      </c>
      <c r="C108" s="34">
        <f>SUM(F108,I108,L108,O108,R108,U108)</f>
        <v>169803</v>
      </c>
      <c r="D108" s="73">
        <f>SUM(G108,J108,M108,P108,S108,V108)</f>
        <v>630093</v>
      </c>
      <c r="E108" s="14">
        <f>Afrique!B110</f>
        <v>23897</v>
      </c>
      <c r="F108" s="34">
        <f>Afrique!C110</f>
        <v>1161</v>
      </c>
      <c r="G108" s="74">
        <f>Afrique!D110</f>
        <v>5986</v>
      </c>
      <c r="H108" s="14">
        <f>Amérique!B110</f>
        <v>928026</v>
      </c>
      <c r="I108" s="34">
        <f>Amérique!C110</f>
        <v>49103</v>
      </c>
      <c r="J108" s="74">
        <f>Amérique!D110</f>
        <v>125200</v>
      </c>
      <c r="K108" s="14">
        <f>Asie!B110</f>
        <v>394500</v>
      </c>
      <c r="L108" s="34">
        <f>Asie!C110</f>
        <v>15063</v>
      </c>
      <c r="M108" s="74">
        <f>Asie!D110</f>
        <v>186193</v>
      </c>
      <c r="N108" s="14">
        <f>Europe!B110</f>
        <v>1073021</v>
      </c>
      <c r="O108" s="34">
        <f>Europe!C110</f>
        <v>104380</v>
      </c>
      <c r="P108" s="74">
        <f>Europe!D110</f>
        <v>306969</v>
      </c>
      <c r="Q108" s="14">
        <f>Océanieautres!B110</f>
        <v>8086</v>
      </c>
      <c r="R108" s="34">
        <f>Océanieautres!C110</f>
        <v>79</v>
      </c>
      <c r="S108" s="74">
        <f>Océanieautres!D110</f>
        <v>5101</v>
      </c>
      <c r="T108" s="82">
        <f>SUM(Océanieautres!AB110,Océanieautres!AE110)</f>
        <v>726</v>
      </c>
      <c r="U108" s="94">
        <f>SUM(Océanieautres!AC110,Océanieautres!AF110)</f>
        <v>17</v>
      </c>
      <c r="V108" s="108">
        <f>SUM(Océanieautres!AD110,Océanieautres!AG110)</f>
        <v>644</v>
      </c>
    </row>
    <row r="109" spans="1:22" ht="12.75">
      <c r="A109" s="188"/>
      <c r="B109" s="190"/>
      <c r="C109" s="254"/>
      <c r="D109" s="254"/>
    </row>
    <row r="110" spans="1:22" ht="12.75">
      <c r="A110" s="188"/>
      <c r="B110" s="190"/>
      <c r="C110" s="254"/>
      <c r="D110" s="254"/>
    </row>
    <row r="111" spans="1:22" ht="12.75">
      <c r="A111" s="188"/>
      <c r="B111" s="190"/>
      <c r="C111" s="254"/>
      <c r="D111" s="254"/>
    </row>
    <row r="112" spans="1:22" ht="12.75">
      <c r="A112" s="188"/>
      <c r="B112" s="190"/>
      <c r="C112" s="254"/>
      <c r="D112" s="254"/>
    </row>
    <row r="113" spans="1:4" ht="12.75">
      <c r="A113" s="188"/>
      <c r="B113" s="190"/>
      <c r="C113" s="254"/>
      <c r="D113" s="254"/>
    </row>
    <row r="114" spans="1:4" ht="12.75">
      <c r="A114" s="188"/>
      <c r="B114" s="190"/>
      <c r="C114" s="254"/>
      <c r="D114" s="254"/>
    </row>
    <row r="115" spans="1:4" ht="12.75">
      <c r="A115" s="188"/>
      <c r="B115" s="190"/>
      <c r="C115" s="254"/>
      <c r="D115" s="254"/>
    </row>
    <row r="116" spans="1:4" ht="12.75">
      <c r="A116" s="188"/>
      <c r="B116" s="190"/>
      <c r="C116" s="254"/>
      <c r="D116" s="254"/>
    </row>
    <row r="117" spans="1:4" ht="12.75">
      <c r="A117" s="188"/>
      <c r="B117" s="190"/>
      <c r="C117" s="254"/>
      <c r="D117" s="254"/>
    </row>
    <row r="118" spans="1:4" ht="12.75">
      <c r="A118" s="188"/>
      <c r="B118" s="190"/>
      <c r="C118" s="254"/>
      <c r="D118" s="254"/>
    </row>
    <row r="119" spans="1:4" ht="12.75">
      <c r="A119" s="188"/>
      <c r="B119" s="190"/>
      <c r="C119" s="254"/>
      <c r="D119" s="254"/>
    </row>
    <row r="120" spans="1:4" ht="12.75">
      <c r="A120" s="188"/>
      <c r="B120" s="190"/>
      <c r="C120" s="190"/>
      <c r="D120" s="190"/>
    </row>
    <row r="121" spans="1:4" ht="12.75">
      <c r="A121" s="188"/>
      <c r="B121" s="190"/>
      <c r="C121" s="190"/>
      <c r="D121" s="190"/>
    </row>
    <row r="122" spans="1:4" ht="12.75">
      <c r="A122" s="188"/>
      <c r="B122" s="190"/>
      <c r="C122" s="190"/>
      <c r="D122" s="190"/>
    </row>
    <row r="123" spans="1:4" ht="12.75">
      <c r="A123" s="188"/>
      <c r="B123" s="190"/>
      <c r="C123" s="190"/>
      <c r="D123" s="190"/>
    </row>
    <row r="124" spans="1:4" ht="12.75">
      <c r="A124" s="188"/>
      <c r="B124" s="190"/>
      <c r="C124" s="190"/>
      <c r="D124" s="190"/>
    </row>
    <row r="125" spans="1:4" ht="12.75">
      <c r="A125" s="188"/>
      <c r="B125" s="190"/>
      <c r="C125" s="190"/>
      <c r="D125" s="190"/>
    </row>
    <row r="126" spans="1:4" ht="12.75">
      <c r="A126" s="188"/>
      <c r="B126" s="190"/>
      <c r="C126" s="190"/>
      <c r="D126" s="190"/>
    </row>
    <row r="127" spans="1:4" ht="12.75">
      <c r="A127" s="188"/>
      <c r="B127" s="190"/>
      <c r="C127" s="190"/>
      <c r="D127" s="190"/>
    </row>
    <row r="128" spans="1:4" ht="12.75">
      <c r="A128" s="188"/>
      <c r="B128" s="190"/>
      <c r="C128" s="190"/>
      <c r="D128" s="190"/>
    </row>
    <row r="129" spans="1:4" ht="12.75">
      <c r="A129" s="188"/>
      <c r="B129" s="190"/>
      <c r="C129" s="190"/>
      <c r="D129" s="190"/>
    </row>
    <row r="130" spans="1:4" ht="12.75">
      <c r="A130" s="188"/>
      <c r="B130" s="190"/>
      <c r="C130" s="190"/>
      <c r="D130" s="190"/>
    </row>
    <row r="131" spans="1:4" ht="12.75">
      <c r="A131" s="188"/>
      <c r="B131" s="190"/>
      <c r="C131" s="190"/>
      <c r="D131" s="190"/>
    </row>
    <row r="132" spans="1:4" ht="12.75">
      <c r="A132" s="188"/>
      <c r="B132" s="190"/>
      <c r="C132" s="190"/>
      <c r="D132" s="190"/>
    </row>
    <row r="133" spans="1:4" ht="12.75">
      <c r="A133" s="188"/>
      <c r="B133" s="190"/>
      <c r="C133" s="190"/>
      <c r="D133" s="190"/>
    </row>
    <row r="134" spans="1:4" ht="12.75">
      <c r="A134" s="188"/>
      <c r="B134" s="190"/>
      <c r="C134" s="190"/>
      <c r="D134" s="190"/>
    </row>
    <row r="135" spans="1:4" ht="12.75">
      <c r="A135" s="188"/>
      <c r="B135" s="190"/>
      <c r="C135" s="190"/>
      <c r="D135" s="190"/>
    </row>
    <row r="136" spans="1:4" ht="12.75">
      <c r="A136" s="188"/>
      <c r="B136" s="190"/>
      <c r="C136" s="190"/>
      <c r="D136" s="190"/>
    </row>
    <row r="137" spans="1:4" ht="12.75">
      <c r="A137" s="188"/>
      <c r="B137" s="190"/>
      <c r="C137" s="190"/>
      <c r="D137" s="190"/>
    </row>
    <row r="138" spans="1:4" ht="12.75">
      <c r="A138" s="188"/>
      <c r="B138" s="190"/>
      <c r="C138" s="190"/>
      <c r="D138" s="190"/>
    </row>
    <row r="139" spans="1:4" ht="12.75">
      <c r="A139" s="188"/>
      <c r="B139" s="190"/>
      <c r="C139" s="190"/>
      <c r="D139" s="190"/>
    </row>
    <row r="140" spans="1:4" ht="12.75">
      <c r="A140" s="188"/>
      <c r="B140" s="190"/>
      <c r="C140" s="190"/>
      <c r="D140" s="190"/>
    </row>
    <row r="141" spans="1:4" ht="12.75">
      <c r="A141" s="188"/>
      <c r="B141" s="190"/>
      <c r="C141" s="190"/>
      <c r="D141" s="190"/>
    </row>
    <row r="142" spans="1:4" ht="12.75">
      <c r="A142" s="188"/>
      <c r="B142" s="190"/>
      <c r="C142" s="190"/>
      <c r="D142" s="190"/>
    </row>
    <row r="143" spans="1:4" ht="12.75">
      <c r="A143" s="188"/>
      <c r="B143" s="190"/>
      <c r="C143" s="190"/>
      <c r="D143" s="190"/>
    </row>
    <row r="144" spans="1:4" ht="12.75">
      <c r="A144" s="188"/>
      <c r="B144" s="190"/>
      <c r="C144" s="190"/>
      <c r="D144" s="190"/>
    </row>
    <row r="145" spans="1:4" ht="12.75">
      <c r="A145" s="188"/>
      <c r="B145" s="190"/>
      <c r="C145" s="190"/>
      <c r="D145" s="190"/>
    </row>
    <row r="146" spans="1:4" ht="12.75">
      <c r="A146" s="188"/>
      <c r="B146" s="190"/>
      <c r="C146" s="190"/>
      <c r="D146" s="190"/>
    </row>
    <row r="147" spans="1:4" ht="12.75">
      <c r="A147" s="188"/>
      <c r="B147" s="190"/>
      <c r="C147" s="190"/>
      <c r="D147" s="190"/>
    </row>
    <row r="148" spans="1:4" ht="12.75">
      <c r="A148" s="188"/>
      <c r="B148" s="190"/>
      <c r="C148" s="190"/>
      <c r="D148" s="190"/>
    </row>
    <row r="149" spans="1:4" ht="12.75">
      <c r="A149" s="188"/>
      <c r="B149" s="190"/>
      <c r="C149" s="190"/>
      <c r="D149" s="190"/>
    </row>
    <row r="150" spans="1:4" ht="12.75">
      <c r="A150" s="188"/>
      <c r="B150" s="190"/>
      <c r="C150" s="190"/>
      <c r="D150" s="190"/>
    </row>
    <row r="151" spans="1:4" ht="12.75">
      <c r="A151" s="188"/>
      <c r="B151" s="190"/>
      <c r="C151" s="190"/>
      <c r="D151" s="190"/>
    </row>
    <row r="152" spans="1:4" ht="12.75">
      <c r="A152" s="188"/>
      <c r="B152" s="190"/>
      <c r="C152" s="190"/>
      <c r="D152" s="190"/>
    </row>
    <row r="153" spans="1:4" ht="12.75">
      <c r="A153" s="188"/>
      <c r="B153" s="190"/>
      <c r="C153" s="190"/>
      <c r="D153" s="190"/>
    </row>
    <row r="154" spans="1:4" ht="12.75">
      <c r="A154" s="188"/>
      <c r="B154" s="190"/>
      <c r="C154" s="190"/>
      <c r="D154" s="190"/>
    </row>
    <row r="155" spans="1:4" ht="12.75">
      <c r="A155" s="188"/>
      <c r="B155" s="190"/>
      <c r="C155" s="190"/>
      <c r="D155" s="190"/>
    </row>
    <row r="156" spans="1:4" ht="12.75">
      <c r="A156" s="188"/>
      <c r="B156" s="190"/>
      <c r="C156" s="190"/>
      <c r="D156" s="190"/>
    </row>
    <row r="157" spans="1:4" ht="12.75">
      <c r="A157" s="188"/>
      <c r="B157" s="190"/>
      <c r="C157" s="190"/>
      <c r="D157" s="190"/>
    </row>
    <row r="158" spans="1:4" ht="12.75">
      <c r="A158" s="188"/>
      <c r="B158" s="190"/>
      <c r="C158" s="190"/>
      <c r="D158" s="190"/>
    </row>
    <row r="159" spans="1:4" ht="12.75">
      <c r="A159" s="188"/>
      <c r="B159" s="190"/>
      <c r="C159" s="190"/>
      <c r="D159" s="190"/>
    </row>
    <row r="160" spans="1:4" ht="12.75">
      <c r="A160" s="188"/>
      <c r="B160" s="190"/>
      <c r="C160" s="190"/>
      <c r="D160" s="190"/>
    </row>
    <row r="161" spans="1:4" ht="12.75">
      <c r="A161" s="188"/>
      <c r="B161" s="190"/>
      <c r="C161" s="190"/>
      <c r="D161" s="190"/>
    </row>
    <row r="162" spans="1:4" ht="12.75">
      <c r="A162" s="188"/>
      <c r="B162" s="190"/>
      <c r="C162" s="190"/>
      <c r="D162" s="190"/>
    </row>
    <row r="163" spans="1:4" ht="12.75">
      <c r="A163" s="188"/>
      <c r="B163" s="190"/>
      <c r="C163" s="190"/>
      <c r="D163" s="190"/>
    </row>
    <row r="164" spans="1:4" ht="12.75">
      <c r="A164" s="188"/>
      <c r="B164" s="190"/>
      <c r="C164" s="190"/>
      <c r="D164" s="190"/>
    </row>
    <row r="165" spans="1:4" ht="12.75">
      <c r="A165" s="188"/>
      <c r="B165" s="190"/>
      <c r="C165" s="190"/>
      <c r="D165" s="190"/>
    </row>
    <row r="166" spans="1:4" ht="12.75">
      <c r="A166" s="188"/>
      <c r="B166" s="190"/>
      <c r="C166" s="190"/>
      <c r="D166" s="190"/>
    </row>
    <row r="167" spans="1:4" ht="12.75">
      <c r="A167" s="188"/>
      <c r="B167" s="190"/>
      <c r="C167" s="190"/>
      <c r="D167" s="190"/>
    </row>
    <row r="168" spans="1:4" ht="12.75">
      <c r="A168" s="188"/>
      <c r="B168" s="190"/>
      <c r="C168" s="190"/>
      <c r="D168" s="190"/>
    </row>
    <row r="169" spans="1:4" ht="12.75">
      <c r="A169" s="188"/>
      <c r="B169" s="190"/>
      <c r="C169" s="190"/>
      <c r="D169" s="190"/>
    </row>
    <row r="170" spans="1:4" ht="12.75">
      <c r="A170" s="188"/>
      <c r="B170" s="190"/>
      <c r="C170" s="190"/>
      <c r="D170" s="190"/>
    </row>
    <row r="171" spans="1:4" ht="12.75">
      <c r="A171" s="188"/>
      <c r="B171" s="190"/>
      <c r="C171" s="190"/>
      <c r="D171" s="190"/>
    </row>
    <row r="172" spans="1:4" ht="12.75">
      <c r="A172" s="188"/>
      <c r="B172" s="190"/>
      <c r="C172" s="190"/>
      <c r="D172" s="190"/>
    </row>
    <row r="173" spans="1:4" ht="12.75">
      <c r="A173" s="188"/>
      <c r="B173" s="190"/>
      <c r="C173" s="190"/>
      <c r="D173" s="190"/>
    </row>
    <row r="174" spans="1:4" ht="12.75">
      <c r="A174" s="188"/>
      <c r="B174" s="190"/>
      <c r="C174" s="190"/>
      <c r="D174" s="190"/>
    </row>
    <row r="175" spans="1:4" ht="12.75">
      <c r="A175" s="188"/>
      <c r="B175" s="190"/>
      <c r="C175" s="190"/>
      <c r="D175" s="190"/>
    </row>
    <row r="176" spans="1:4" ht="12.75">
      <c r="A176" s="188"/>
      <c r="B176" s="190"/>
      <c r="C176" s="190"/>
      <c r="D176" s="190"/>
    </row>
    <row r="177" spans="1:4" ht="12.75">
      <c r="A177" s="188"/>
      <c r="B177" s="190"/>
      <c r="C177" s="190"/>
      <c r="D177" s="190"/>
    </row>
    <row r="178" spans="1:4" ht="12.75">
      <c r="A178" s="188"/>
      <c r="B178" s="190"/>
      <c r="C178" s="190"/>
      <c r="D178" s="190"/>
    </row>
    <row r="179" spans="1:4" ht="12.75">
      <c r="A179" s="188"/>
      <c r="B179" s="190"/>
      <c r="C179" s="190"/>
      <c r="D179" s="190"/>
    </row>
    <row r="180" spans="1:4" ht="12.75">
      <c r="A180" s="188"/>
      <c r="B180" s="190"/>
      <c r="C180" s="190"/>
      <c r="D180" s="190"/>
    </row>
    <row r="181" spans="1:4" ht="12.75">
      <c r="A181" s="188"/>
      <c r="B181" s="190"/>
      <c r="C181" s="190"/>
      <c r="D181" s="190"/>
    </row>
    <row r="182" spans="1:4" ht="12.75">
      <c r="A182" s="188"/>
      <c r="B182" s="190"/>
      <c r="C182" s="190"/>
      <c r="D182" s="190"/>
    </row>
    <row r="183" spans="1:4" ht="12.75">
      <c r="A183" s="188"/>
      <c r="B183" s="190"/>
      <c r="C183" s="190"/>
      <c r="D183" s="190"/>
    </row>
    <row r="184" spans="1:4" ht="12.75">
      <c r="A184" s="188"/>
      <c r="B184" s="190"/>
      <c r="C184" s="190"/>
      <c r="D184" s="190"/>
    </row>
    <row r="185" spans="1:4" ht="12.75">
      <c r="A185" s="188"/>
      <c r="B185" s="190"/>
      <c r="C185" s="190"/>
      <c r="D185" s="190"/>
    </row>
    <row r="186" spans="1:4" ht="12.75">
      <c r="A186" s="188"/>
      <c r="B186" s="190"/>
      <c r="C186" s="190"/>
      <c r="D186" s="190"/>
    </row>
    <row r="187" spans="1:4" ht="12.75">
      <c r="A187" s="188"/>
      <c r="B187" s="190"/>
      <c r="C187" s="190"/>
      <c r="D187" s="190"/>
    </row>
    <row r="188" spans="1:4" ht="12.75">
      <c r="A188" s="188"/>
      <c r="B188" s="190"/>
      <c r="C188" s="190"/>
      <c r="D188" s="190"/>
    </row>
    <row r="189" spans="1:4" ht="12.75">
      <c r="A189" s="188"/>
      <c r="B189" s="190"/>
      <c r="C189" s="190"/>
      <c r="D189" s="190"/>
    </row>
    <row r="190" spans="1:4" ht="12.75">
      <c r="A190" s="188"/>
      <c r="B190" s="190"/>
      <c r="C190" s="190"/>
      <c r="D190" s="190"/>
    </row>
    <row r="191" spans="1:4" ht="12.75">
      <c r="A191" s="188"/>
      <c r="B191" s="190"/>
      <c r="C191" s="190"/>
      <c r="D191" s="190"/>
    </row>
    <row r="192" spans="1:4" ht="12.75">
      <c r="A192" s="188"/>
      <c r="B192" s="190"/>
      <c r="C192" s="190"/>
      <c r="D192" s="190"/>
    </row>
    <row r="193" spans="1:4" ht="12.75">
      <c r="A193" s="188"/>
      <c r="B193" s="190"/>
      <c r="C193" s="190"/>
      <c r="D193" s="190"/>
    </row>
    <row r="194" spans="1:4" ht="12.75">
      <c r="A194" s="188"/>
      <c r="B194" s="190"/>
      <c r="C194" s="190"/>
      <c r="D194" s="190"/>
    </row>
    <row r="195" spans="1:4" ht="12.75">
      <c r="A195" s="188"/>
      <c r="B195" s="190"/>
      <c r="C195" s="190"/>
      <c r="D195" s="190"/>
    </row>
    <row r="196" spans="1:4" ht="12.75">
      <c r="A196" s="188"/>
      <c r="B196" s="190"/>
      <c r="C196" s="190"/>
      <c r="D196" s="190"/>
    </row>
    <row r="197" spans="1:4" ht="12.75">
      <c r="A197" s="188"/>
      <c r="B197" s="190"/>
      <c r="C197" s="190"/>
      <c r="D197" s="190"/>
    </row>
    <row r="198" spans="1:4" ht="12.75">
      <c r="A198" s="188"/>
      <c r="B198" s="190"/>
      <c r="C198" s="190"/>
      <c r="D198" s="190"/>
    </row>
    <row r="199" spans="1:4" ht="12.75">
      <c r="A199" s="188"/>
      <c r="B199" s="190"/>
      <c r="C199" s="190"/>
      <c r="D199" s="190"/>
    </row>
    <row r="200" spans="1:4" ht="12.75">
      <c r="A200" s="188"/>
      <c r="B200" s="190"/>
      <c r="C200" s="190"/>
      <c r="D200" s="190"/>
    </row>
    <row r="201" spans="1:4" ht="12.75">
      <c r="A201" s="188"/>
      <c r="B201" s="190"/>
      <c r="C201" s="190"/>
      <c r="D201" s="190"/>
    </row>
    <row r="202" spans="1:4" ht="12.75">
      <c r="A202" s="188"/>
      <c r="B202" s="190"/>
      <c r="C202" s="190"/>
      <c r="D202" s="190"/>
    </row>
    <row r="203" spans="1:4" ht="12.75">
      <c r="A203" s="188"/>
      <c r="B203" s="190"/>
      <c r="C203" s="190"/>
      <c r="D203" s="190"/>
    </row>
    <row r="204" spans="1:4" ht="12.75">
      <c r="A204" s="188"/>
      <c r="B204" s="190"/>
      <c r="C204" s="190"/>
      <c r="D204" s="190"/>
    </row>
    <row r="205" spans="1:4" ht="12.75">
      <c r="A205" s="188"/>
      <c r="B205" s="190"/>
      <c r="C205" s="190"/>
      <c r="D205" s="190"/>
    </row>
    <row r="206" spans="1:4" ht="12.75">
      <c r="A206" s="188"/>
      <c r="B206" s="190"/>
      <c r="C206" s="190"/>
      <c r="D206" s="190"/>
    </row>
    <row r="207" spans="1:4" ht="12.75">
      <c r="A207" s="188"/>
      <c r="B207" s="190"/>
      <c r="C207" s="190"/>
      <c r="D207" s="190"/>
    </row>
    <row r="208" spans="1:4" ht="12.75">
      <c r="A208" s="188"/>
      <c r="B208" s="190"/>
      <c r="C208" s="190"/>
      <c r="D208" s="190"/>
    </row>
    <row r="209" spans="1:4" ht="12.75">
      <c r="A209" s="188"/>
      <c r="B209" s="190"/>
      <c r="C209" s="190"/>
      <c r="D209" s="190"/>
    </row>
    <row r="210" spans="1:4" ht="12.75">
      <c r="A210" s="188"/>
      <c r="B210" s="190"/>
      <c r="C210" s="190"/>
      <c r="D210" s="190"/>
    </row>
    <row r="211" spans="1:4" ht="12.75">
      <c r="A211" s="188"/>
      <c r="B211" s="190"/>
      <c r="C211" s="190"/>
      <c r="D211" s="190"/>
    </row>
    <row r="212" spans="1:4" ht="12.75">
      <c r="A212" s="188"/>
      <c r="B212" s="190"/>
      <c r="C212" s="190"/>
      <c r="D212" s="190"/>
    </row>
    <row r="213" spans="1:4" ht="12.75">
      <c r="A213" s="188"/>
      <c r="B213" s="190"/>
      <c r="C213" s="190"/>
      <c r="D213" s="190"/>
    </row>
    <row r="214" spans="1:4" ht="12.75">
      <c r="A214" s="188"/>
      <c r="B214" s="190"/>
      <c r="C214" s="190"/>
      <c r="D214" s="190"/>
    </row>
    <row r="215" spans="1:4" ht="12.75">
      <c r="A215" s="188"/>
      <c r="B215" s="190"/>
      <c r="C215" s="190"/>
      <c r="D215" s="190"/>
    </row>
    <row r="216" spans="1:4" ht="12.75">
      <c r="A216" s="188"/>
      <c r="B216" s="190"/>
      <c r="C216" s="190"/>
      <c r="D216" s="190"/>
    </row>
    <row r="217" spans="1:4" ht="12.75">
      <c r="A217" s="188"/>
      <c r="B217" s="190"/>
      <c r="C217" s="190"/>
      <c r="D217" s="190"/>
    </row>
    <row r="218" spans="1:4" ht="12.75">
      <c r="A218" s="188"/>
      <c r="B218" s="190"/>
      <c r="C218" s="190"/>
      <c r="D218" s="190"/>
    </row>
    <row r="219" spans="1:4" ht="12.75">
      <c r="A219" s="188"/>
      <c r="B219" s="190"/>
      <c r="C219" s="190"/>
      <c r="D219" s="190"/>
    </row>
    <row r="220" spans="1:4" ht="12.75">
      <c r="A220" s="188"/>
      <c r="B220" s="190"/>
      <c r="C220" s="190"/>
      <c r="D220" s="190"/>
    </row>
    <row r="221" spans="1:4" ht="12.75">
      <c r="A221" s="188"/>
      <c r="B221" s="190"/>
      <c r="C221" s="190"/>
      <c r="D221" s="190"/>
    </row>
    <row r="222" spans="1:4" ht="12.75">
      <c r="A222" s="188"/>
      <c r="B222" s="190"/>
      <c r="C222" s="190"/>
      <c r="D222" s="190"/>
    </row>
    <row r="223" spans="1:4" ht="12.75">
      <c r="A223" s="188"/>
      <c r="B223" s="190"/>
      <c r="C223" s="190"/>
      <c r="D223" s="190"/>
    </row>
    <row r="224" spans="1:4" ht="12.75">
      <c r="A224" s="188"/>
      <c r="B224" s="190"/>
      <c r="C224" s="190"/>
      <c r="D224" s="190"/>
    </row>
    <row r="225" spans="1:4" ht="12.75">
      <c r="A225" s="188"/>
      <c r="B225" s="190"/>
      <c r="C225" s="190"/>
      <c r="D225" s="190"/>
    </row>
    <row r="226" spans="1:4" ht="12.75">
      <c r="A226" s="188"/>
      <c r="B226" s="190"/>
      <c r="C226" s="190"/>
      <c r="D226" s="190"/>
    </row>
    <row r="227" spans="1:4" ht="12.75">
      <c r="A227" s="188"/>
      <c r="B227" s="190"/>
      <c r="C227" s="190"/>
      <c r="D227" s="190"/>
    </row>
    <row r="228" spans="1:4" ht="12.75">
      <c r="A228" s="188"/>
      <c r="B228" s="190"/>
      <c r="C228" s="190"/>
      <c r="D228" s="190"/>
    </row>
    <row r="229" spans="1:4" ht="12.75">
      <c r="A229" s="188"/>
      <c r="B229" s="190"/>
      <c r="C229" s="190"/>
      <c r="D229" s="190"/>
    </row>
    <row r="230" spans="1:4" ht="12.75">
      <c r="A230" s="188"/>
      <c r="B230" s="190"/>
      <c r="C230" s="190"/>
      <c r="D230" s="190"/>
    </row>
    <row r="231" spans="1:4" ht="12.75">
      <c r="A231" s="188"/>
      <c r="B231" s="190"/>
      <c r="C231" s="190"/>
      <c r="D231" s="190"/>
    </row>
    <row r="232" spans="1:4" ht="12.75">
      <c r="A232" s="188"/>
      <c r="B232" s="190"/>
      <c r="C232" s="190"/>
      <c r="D232" s="190"/>
    </row>
    <row r="233" spans="1:4" ht="12.75">
      <c r="A233" s="188"/>
      <c r="B233" s="190"/>
      <c r="C233" s="190"/>
      <c r="D233" s="190"/>
    </row>
    <row r="234" spans="1:4" ht="12.75">
      <c r="A234" s="188"/>
      <c r="B234" s="190"/>
      <c r="C234" s="190"/>
      <c r="D234" s="190"/>
    </row>
    <row r="235" spans="1:4" ht="12.75">
      <c r="A235" s="188"/>
      <c r="B235" s="190"/>
      <c r="C235" s="190"/>
      <c r="D235" s="190"/>
    </row>
    <row r="236" spans="1:4" ht="12.75">
      <c r="A236" s="188"/>
      <c r="B236" s="190"/>
      <c r="C236" s="190"/>
      <c r="D236" s="190"/>
    </row>
    <row r="237" spans="1:4" ht="12.75">
      <c r="A237" s="188"/>
      <c r="B237" s="190"/>
      <c r="C237" s="190"/>
      <c r="D237" s="190"/>
    </row>
    <row r="238" spans="1:4" ht="12.75">
      <c r="A238" s="188"/>
      <c r="B238" s="190"/>
      <c r="C238" s="190"/>
      <c r="D238" s="190"/>
    </row>
    <row r="239" spans="1:4" ht="12.75">
      <c r="A239" s="188"/>
      <c r="B239" s="190"/>
      <c r="C239" s="190"/>
      <c r="D239" s="190"/>
    </row>
    <row r="240" spans="1:4" ht="12.75">
      <c r="A240" s="188"/>
      <c r="B240" s="190"/>
      <c r="C240" s="190"/>
      <c r="D240" s="190"/>
    </row>
    <row r="241" spans="1:4" ht="12.75">
      <c r="A241" s="188"/>
      <c r="B241" s="190"/>
      <c r="C241" s="190"/>
      <c r="D241" s="190"/>
    </row>
    <row r="242" spans="1:4" ht="12.75">
      <c r="A242" s="188"/>
      <c r="B242" s="190"/>
      <c r="C242" s="190"/>
      <c r="D242" s="190"/>
    </row>
    <row r="243" spans="1:4" ht="12.75">
      <c r="A243" s="188"/>
      <c r="B243" s="190"/>
      <c r="C243" s="190"/>
      <c r="D243" s="190"/>
    </row>
    <row r="244" spans="1:4" ht="12.75">
      <c r="A244" s="188"/>
      <c r="B244" s="190"/>
      <c r="C244" s="190"/>
      <c r="D244" s="190"/>
    </row>
    <row r="245" spans="1:4" ht="12.75">
      <c r="A245" s="188"/>
      <c r="B245" s="190"/>
      <c r="C245" s="190"/>
      <c r="D245" s="190"/>
    </row>
    <row r="246" spans="1:4" ht="12.75">
      <c r="A246" s="188"/>
      <c r="B246" s="190"/>
      <c r="C246" s="190"/>
      <c r="D246" s="190"/>
    </row>
    <row r="247" spans="1:4" ht="12.75">
      <c r="A247" s="188"/>
      <c r="B247" s="190"/>
      <c r="C247" s="190"/>
      <c r="D247" s="190"/>
    </row>
    <row r="248" spans="1:4" ht="12.75">
      <c r="A248" s="188"/>
      <c r="B248" s="190"/>
      <c r="C248" s="190"/>
      <c r="D248" s="190"/>
    </row>
    <row r="249" spans="1:4" ht="12.75">
      <c r="A249" s="188"/>
      <c r="B249" s="190"/>
      <c r="C249" s="190"/>
      <c r="D249" s="190"/>
    </row>
    <row r="250" spans="1:4" ht="12.75">
      <c r="A250" s="188"/>
      <c r="B250" s="190"/>
      <c r="C250" s="190"/>
      <c r="D250" s="190"/>
    </row>
    <row r="251" spans="1:4" ht="12.75">
      <c r="A251" s="188"/>
      <c r="B251" s="190"/>
      <c r="C251" s="190"/>
      <c r="D251" s="190"/>
    </row>
    <row r="252" spans="1:4" ht="12.75">
      <c r="A252" s="188"/>
      <c r="B252" s="190"/>
      <c r="C252" s="190"/>
      <c r="D252" s="190"/>
    </row>
    <row r="253" spans="1:4" ht="12.75">
      <c r="A253" s="188"/>
      <c r="B253" s="190"/>
      <c r="C253" s="190"/>
      <c r="D253" s="190"/>
    </row>
    <row r="254" spans="1:4" ht="12.75">
      <c r="A254" s="188"/>
      <c r="B254" s="190"/>
      <c r="C254" s="190"/>
      <c r="D254" s="190"/>
    </row>
    <row r="255" spans="1:4" ht="12.75">
      <c r="A255" s="188"/>
      <c r="B255" s="190"/>
      <c r="C255" s="190"/>
      <c r="D255" s="190"/>
    </row>
    <row r="256" spans="1:4" ht="12.75">
      <c r="A256" s="188"/>
      <c r="B256" s="190"/>
      <c r="C256" s="190"/>
      <c r="D256" s="190"/>
    </row>
    <row r="257" spans="1:4" ht="12.75">
      <c r="A257" s="188"/>
      <c r="B257" s="190"/>
      <c r="C257" s="190"/>
      <c r="D257" s="190"/>
    </row>
    <row r="258" spans="1:4" ht="12.75">
      <c r="A258" s="188"/>
      <c r="B258" s="190"/>
      <c r="C258" s="190"/>
      <c r="D258" s="190"/>
    </row>
    <row r="259" spans="1:4" ht="12.75">
      <c r="A259" s="188"/>
      <c r="B259" s="190"/>
      <c r="C259" s="190"/>
      <c r="D259" s="190"/>
    </row>
    <row r="260" spans="1:4" ht="12.75">
      <c r="A260" s="188"/>
      <c r="B260" s="190"/>
      <c r="C260" s="190"/>
      <c r="D260" s="190"/>
    </row>
    <row r="261" spans="1:4" ht="12.75">
      <c r="A261" s="188"/>
      <c r="B261" s="190"/>
      <c r="C261" s="190"/>
      <c r="D261" s="190"/>
    </row>
    <row r="262" spans="1:4" ht="12.75">
      <c r="A262" s="188"/>
      <c r="B262" s="190"/>
      <c r="C262" s="190"/>
      <c r="D262" s="190"/>
    </row>
    <row r="263" spans="1:4" ht="12.75">
      <c r="A263" s="188"/>
      <c r="B263" s="190"/>
      <c r="C263" s="190"/>
      <c r="D263" s="190"/>
    </row>
    <row r="264" spans="1:4" ht="12.75">
      <c r="A264" s="188"/>
      <c r="B264" s="190"/>
      <c r="C264" s="190"/>
      <c r="D264" s="190"/>
    </row>
    <row r="265" spans="1:4" ht="12.75">
      <c r="A265" s="188"/>
      <c r="B265" s="190"/>
      <c r="C265" s="190"/>
      <c r="D265" s="190"/>
    </row>
    <row r="266" spans="1:4" ht="12.75">
      <c r="A266" s="188"/>
      <c r="B266" s="190"/>
      <c r="C266" s="190"/>
      <c r="D266" s="190"/>
    </row>
    <row r="267" spans="1:4" ht="12.75">
      <c r="A267" s="188"/>
      <c r="B267" s="190"/>
      <c r="C267" s="190"/>
      <c r="D267" s="190"/>
    </row>
    <row r="268" spans="1:4" ht="12.75">
      <c r="A268" s="188"/>
      <c r="B268" s="190"/>
      <c r="C268" s="190"/>
      <c r="D268" s="190"/>
    </row>
    <row r="269" spans="1:4" ht="12.75">
      <c r="A269" s="188"/>
      <c r="B269" s="190"/>
      <c r="C269" s="190"/>
      <c r="D269" s="190"/>
    </row>
    <row r="270" spans="1:4" ht="12.75">
      <c r="A270" s="188"/>
      <c r="B270" s="190"/>
      <c r="C270" s="190"/>
      <c r="D270" s="190"/>
    </row>
    <row r="271" spans="1:4" ht="12.75">
      <c r="A271" s="188"/>
      <c r="B271" s="190"/>
      <c r="C271" s="190"/>
      <c r="D271" s="190"/>
    </row>
    <row r="272" spans="1:4" ht="12.75">
      <c r="A272" s="188"/>
      <c r="B272" s="190"/>
      <c r="C272" s="190"/>
      <c r="D272" s="190"/>
    </row>
    <row r="273" spans="1:4" ht="12.75">
      <c r="A273" s="188"/>
      <c r="B273" s="190"/>
      <c r="C273" s="190"/>
      <c r="D273" s="190"/>
    </row>
    <row r="274" spans="1:4" ht="12.75">
      <c r="A274" s="188"/>
      <c r="B274" s="190"/>
      <c r="C274" s="190"/>
      <c r="D274" s="190"/>
    </row>
    <row r="275" spans="1:4" ht="12.75">
      <c r="A275" s="188"/>
      <c r="B275" s="190"/>
      <c r="C275" s="190"/>
      <c r="D275" s="190"/>
    </row>
    <row r="276" spans="1:4" ht="12.75">
      <c r="A276" s="188"/>
      <c r="B276" s="190"/>
      <c r="C276" s="190"/>
      <c r="D276" s="190"/>
    </row>
    <row r="277" spans="1:4" ht="12.75">
      <c r="A277" s="188"/>
      <c r="B277" s="190"/>
      <c r="C277" s="190"/>
      <c r="D277" s="190"/>
    </row>
    <row r="278" spans="1:4" ht="12.75">
      <c r="A278" s="188"/>
      <c r="B278" s="190"/>
      <c r="C278" s="190"/>
      <c r="D278" s="190"/>
    </row>
    <row r="279" spans="1:4" ht="12.75">
      <c r="A279" s="188"/>
      <c r="B279" s="190"/>
      <c r="C279" s="190"/>
      <c r="D279" s="190"/>
    </row>
    <row r="280" spans="1:4" ht="12.75">
      <c r="A280" s="188"/>
      <c r="B280" s="190"/>
      <c r="C280" s="190"/>
      <c r="D280" s="190"/>
    </row>
    <row r="281" spans="1:4" ht="12.75">
      <c r="A281" s="188"/>
      <c r="B281" s="190"/>
      <c r="C281" s="190"/>
      <c r="D281" s="190"/>
    </row>
    <row r="282" spans="1:4" ht="12.75">
      <c r="A282" s="188"/>
      <c r="B282" s="190"/>
      <c r="C282" s="190"/>
      <c r="D282" s="190"/>
    </row>
    <row r="283" spans="1:4" ht="12.75">
      <c r="A283" s="188"/>
      <c r="B283" s="190"/>
      <c r="C283" s="190"/>
      <c r="D283" s="190"/>
    </row>
    <row r="284" spans="1:4" ht="12.75">
      <c r="A284" s="188"/>
      <c r="B284" s="190"/>
      <c r="C284" s="190"/>
      <c r="D284" s="190"/>
    </row>
    <row r="285" spans="1:4" ht="12.75">
      <c r="A285" s="188"/>
      <c r="B285" s="190"/>
      <c r="C285" s="190"/>
      <c r="D285" s="190"/>
    </row>
    <row r="286" spans="1:4" ht="12.75">
      <c r="A286" s="188"/>
      <c r="B286" s="190"/>
      <c r="C286" s="190"/>
      <c r="D286" s="190"/>
    </row>
    <row r="287" spans="1:4" ht="12.75">
      <c r="A287" s="188"/>
      <c r="B287" s="190"/>
      <c r="C287" s="190"/>
      <c r="D287" s="190"/>
    </row>
    <row r="288" spans="1:4" ht="12.75">
      <c r="A288" s="188"/>
      <c r="B288" s="190"/>
      <c r="C288" s="190"/>
      <c r="D288" s="190"/>
    </row>
    <row r="289" spans="1:4" ht="12.75">
      <c r="A289" s="188"/>
      <c r="B289" s="190"/>
      <c r="C289" s="190"/>
      <c r="D289" s="190"/>
    </row>
    <row r="290" spans="1:4" ht="12.75">
      <c r="A290" s="188"/>
      <c r="B290" s="190"/>
      <c r="C290" s="190"/>
      <c r="D290" s="190"/>
    </row>
    <row r="291" spans="1:4" ht="12.75">
      <c r="A291" s="188"/>
      <c r="B291" s="190"/>
      <c r="C291" s="190"/>
      <c r="D291" s="190"/>
    </row>
    <row r="292" spans="1:4" ht="12.75">
      <c r="A292" s="188"/>
      <c r="B292" s="190"/>
      <c r="C292" s="190"/>
      <c r="D292" s="190"/>
    </row>
    <row r="293" spans="1:4" ht="12.75">
      <c r="A293" s="188"/>
      <c r="B293" s="190"/>
      <c r="C293" s="190"/>
      <c r="D293" s="190"/>
    </row>
    <row r="294" spans="1:4" ht="12.75">
      <c r="A294" s="188"/>
      <c r="B294" s="190"/>
      <c r="C294" s="190"/>
      <c r="D294" s="190"/>
    </row>
    <row r="295" spans="1:4" ht="12.75">
      <c r="A295" s="188"/>
      <c r="B295" s="190"/>
      <c r="C295" s="190"/>
      <c r="D295" s="190"/>
    </row>
    <row r="296" spans="1:4" ht="12.75">
      <c r="A296" s="188"/>
      <c r="B296" s="190"/>
      <c r="C296" s="190"/>
      <c r="D296" s="190"/>
    </row>
    <row r="297" spans="1:4" ht="12.75">
      <c r="A297" s="188"/>
      <c r="B297" s="190"/>
      <c r="C297" s="190"/>
      <c r="D297" s="190"/>
    </row>
    <row r="298" spans="1:4" ht="12.75">
      <c r="A298" s="188"/>
      <c r="B298" s="190"/>
      <c r="C298" s="190"/>
      <c r="D298" s="190"/>
    </row>
    <row r="299" spans="1:4" ht="12.75">
      <c r="A299" s="188"/>
      <c r="B299" s="190"/>
      <c r="C299" s="190"/>
      <c r="D299" s="190"/>
    </row>
    <row r="300" spans="1:4" ht="12.75">
      <c r="A300" s="188"/>
      <c r="B300" s="190"/>
      <c r="C300" s="190"/>
      <c r="D300" s="190"/>
    </row>
    <row r="301" spans="1:4" ht="12.75">
      <c r="A301" s="188"/>
      <c r="B301" s="190"/>
      <c r="C301" s="190"/>
      <c r="D301" s="190"/>
    </row>
    <row r="302" spans="1:4" ht="12.75">
      <c r="A302" s="188"/>
      <c r="B302" s="190"/>
      <c r="C302" s="190"/>
      <c r="D302" s="190"/>
    </row>
    <row r="303" spans="1:4" ht="12.75">
      <c r="A303" s="188"/>
      <c r="B303" s="190"/>
      <c r="C303" s="190"/>
      <c r="D303" s="190"/>
    </row>
    <row r="304" spans="1:4" ht="12.75">
      <c r="A304" s="188"/>
      <c r="B304" s="190"/>
      <c r="C304" s="190"/>
      <c r="D304" s="190"/>
    </row>
    <row r="305" spans="1:4" ht="12.75">
      <c r="A305" s="188"/>
      <c r="B305" s="190"/>
      <c r="C305" s="190"/>
      <c r="D305" s="190"/>
    </row>
    <row r="306" spans="1:4" ht="12.75">
      <c r="A306" s="188"/>
      <c r="B306" s="190"/>
      <c r="C306" s="190"/>
      <c r="D306" s="190"/>
    </row>
    <row r="307" spans="1:4" ht="12.75">
      <c r="A307" s="188"/>
      <c r="B307" s="190"/>
      <c r="C307" s="190"/>
      <c r="D307" s="190"/>
    </row>
    <row r="308" spans="1:4" ht="12.75">
      <c r="A308" s="188"/>
      <c r="B308" s="190"/>
      <c r="C308" s="190"/>
      <c r="D308" s="190"/>
    </row>
    <row r="309" spans="1:4" ht="12.75">
      <c r="A309" s="188"/>
      <c r="B309" s="190"/>
      <c r="C309" s="190"/>
      <c r="D309" s="190"/>
    </row>
    <row r="310" spans="1:4" ht="12.75">
      <c r="A310" s="188"/>
      <c r="B310" s="190"/>
      <c r="C310" s="190"/>
      <c r="D310" s="190"/>
    </row>
    <row r="311" spans="1:4" ht="12.75">
      <c r="A311" s="188"/>
      <c r="B311" s="190"/>
      <c r="C311" s="190"/>
      <c r="D311" s="190"/>
    </row>
    <row r="312" spans="1:4" ht="12.75">
      <c r="A312" s="188"/>
      <c r="B312" s="190"/>
      <c r="C312" s="190"/>
      <c r="D312" s="190"/>
    </row>
    <row r="313" spans="1:4" ht="12.75">
      <c r="A313" s="188"/>
      <c r="B313" s="190"/>
      <c r="C313" s="190"/>
      <c r="D313" s="190"/>
    </row>
    <row r="314" spans="1:4" ht="12.75">
      <c r="A314" s="188"/>
      <c r="B314" s="190"/>
      <c r="C314" s="190"/>
      <c r="D314" s="190"/>
    </row>
    <row r="315" spans="1:4" ht="12.75">
      <c r="A315" s="188"/>
      <c r="B315" s="190"/>
      <c r="C315" s="190"/>
      <c r="D315" s="190"/>
    </row>
    <row r="316" spans="1:4" ht="12.75">
      <c r="A316" s="188"/>
      <c r="B316" s="190"/>
      <c r="C316" s="190"/>
      <c r="D316" s="190"/>
    </row>
    <row r="317" spans="1:4" ht="12.75">
      <c r="A317" s="188"/>
      <c r="B317" s="190"/>
      <c r="C317" s="190"/>
      <c r="D317" s="190"/>
    </row>
    <row r="318" spans="1:4" ht="12.75">
      <c r="A318" s="188"/>
      <c r="B318" s="190"/>
      <c r="C318" s="190"/>
      <c r="D318" s="190"/>
    </row>
    <row r="319" spans="1:4" ht="12.75">
      <c r="A319" s="188"/>
      <c r="B319" s="190"/>
      <c r="C319" s="190"/>
      <c r="D319" s="190"/>
    </row>
    <row r="320" spans="1:4" ht="12.75">
      <c r="A320" s="188"/>
      <c r="B320" s="190"/>
      <c r="C320" s="190"/>
      <c r="D320" s="190"/>
    </row>
    <row r="321" spans="1:4" ht="12.75">
      <c r="A321" s="188"/>
      <c r="B321" s="190"/>
      <c r="C321" s="190"/>
      <c r="D321" s="190"/>
    </row>
    <row r="322" spans="1:4" ht="12.75">
      <c r="A322" s="188"/>
      <c r="B322" s="190"/>
      <c r="C322" s="190"/>
      <c r="D322" s="190"/>
    </row>
    <row r="323" spans="1:4" ht="12.75">
      <c r="A323" s="188"/>
      <c r="B323" s="190"/>
      <c r="C323" s="190"/>
      <c r="D323" s="190"/>
    </row>
    <row r="324" spans="1:4" ht="12.75">
      <c r="A324" s="188"/>
      <c r="B324" s="190"/>
      <c r="C324" s="190"/>
      <c r="D324" s="190"/>
    </row>
    <row r="325" spans="1:4" ht="12.75">
      <c r="A325" s="188"/>
      <c r="B325" s="190"/>
      <c r="C325" s="190"/>
      <c r="D325" s="190"/>
    </row>
    <row r="326" spans="1:4" ht="12.75">
      <c r="A326" s="188"/>
      <c r="B326" s="190"/>
      <c r="C326" s="190"/>
      <c r="D326" s="190"/>
    </row>
    <row r="327" spans="1:4" ht="12.75">
      <c r="A327" s="188"/>
      <c r="B327" s="190"/>
      <c r="C327" s="190"/>
      <c r="D327" s="190"/>
    </row>
    <row r="328" spans="1:4" ht="12.75">
      <c r="A328" s="188"/>
      <c r="B328" s="190"/>
      <c r="C328" s="190"/>
      <c r="D328" s="190"/>
    </row>
    <row r="329" spans="1:4" ht="12.75">
      <c r="A329" s="188"/>
      <c r="B329" s="190"/>
      <c r="C329" s="190"/>
      <c r="D329" s="190"/>
    </row>
    <row r="330" spans="1:4" ht="12.75">
      <c r="A330" s="188"/>
      <c r="B330" s="190"/>
      <c r="C330" s="190"/>
      <c r="D330" s="190"/>
    </row>
    <row r="331" spans="1:4" ht="12.75">
      <c r="A331" s="188"/>
      <c r="B331" s="190"/>
      <c r="C331" s="190"/>
      <c r="D331" s="190"/>
    </row>
    <row r="332" spans="1:4" ht="12.75">
      <c r="A332" s="188"/>
      <c r="B332" s="190"/>
      <c r="C332" s="190"/>
      <c r="D332" s="190"/>
    </row>
    <row r="333" spans="1:4" ht="12.75">
      <c r="A333" s="188"/>
      <c r="B333" s="190"/>
      <c r="C333" s="190"/>
      <c r="D333" s="190"/>
    </row>
    <row r="334" spans="1:4" ht="12.75">
      <c r="A334" s="188"/>
      <c r="B334" s="190"/>
      <c r="C334" s="190"/>
      <c r="D334" s="190"/>
    </row>
    <row r="335" spans="1:4" ht="12.75">
      <c r="A335" s="188"/>
      <c r="B335" s="190"/>
      <c r="C335" s="190"/>
      <c r="D335" s="190"/>
    </row>
    <row r="336" spans="1:4" ht="12.75">
      <c r="A336" s="188"/>
      <c r="B336" s="190"/>
      <c r="C336" s="190"/>
      <c r="D336" s="190"/>
    </row>
    <row r="337" spans="1:4" ht="12.75">
      <c r="A337" s="188"/>
      <c r="B337" s="190"/>
      <c r="C337" s="190"/>
      <c r="D337" s="190"/>
    </row>
    <row r="338" spans="1:4" ht="12.75">
      <c r="A338" s="188"/>
      <c r="B338" s="190"/>
      <c r="C338" s="190"/>
      <c r="D338" s="190"/>
    </row>
    <row r="339" spans="1:4" ht="12.75">
      <c r="A339" s="188"/>
      <c r="B339" s="190"/>
      <c r="C339" s="190"/>
      <c r="D339" s="190"/>
    </row>
    <row r="340" spans="1:4" ht="12.75">
      <c r="A340" s="188"/>
      <c r="B340" s="190"/>
      <c r="C340" s="190"/>
      <c r="D340" s="190"/>
    </row>
    <row r="341" spans="1:4" ht="12.75">
      <c r="A341" s="188"/>
      <c r="B341" s="190"/>
      <c r="C341" s="190"/>
      <c r="D341" s="190"/>
    </row>
    <row r="342" spans="1:4" ht="12.75">
      <c r="A342" s="188"/>
      <c r="B342" s="190"/>
      <c r="C342" s="190"/>
      <c r="D342" s="190"/>
    </row>
    <row r="343" spans="1:4" ht="12.75">
      <c r="A343" s="188"/>
      <c r="B343" s="190"/>
      <c r="C343" s="190"/>
      <c r="D343" s="190"/>
    </row>
    <row r="344" spans="1:4" ht="12.75">
      <c r="A344" s="188"/>
      <c r="B344" s="190"/>
      <c r="C344" s="190"/>
      <c r="D344" s="190"/>
    </row>
    <row r="345" spans="1:4" ht="12.75">
      <c r="A345" s="188"/>
      <c r="B345" s="190"/>
      <c r="C345" s="190"/>
      <c r="D345" s="190"/>
    </row>
    <row r="346" spans="1:4" ht="12.75">
      <c r="A346" s="188"/>
      <c r="B346" s="190"/>
      <c r="C346" s="190"/>
      <c r="D346" s="190"/>
    </row>
    <row r="347" spans="1:4" ht="12.75">
      <c r="A347" s="188"/>
      <c r="B347" s="190"/>
      <c r="C347" s="190"/>
      <c r="D347" s="190"/>
    </row>
    <row r="348" spans="1:4" ht="12.75">
      <c r="A348" s="188"/>
      <c r="B348" s="190"/>
      <c r="C348" s="190"/>
      <c r="D348" s="190"/>
    </row>
    <row r="349" spans="1:4" ht="12.75">
      <c r="A349" s="188"/>
      <c r="B349" s="190"/>
      <c r="C349" s="190"/>
      <c r="D349" s="190"/>
    </row>
    <row r="350" spans="1:4" ht="12.75">
      <c r="A350" s="188"/>
      <c r="B350" s="190"/>
      <c r="C350" s="190"/>
      <c r="D350" s="190"/>
    </row>
    <row r="351" spans="1:4" ht="12.75">
      <c r="A351" s="188"/>
      <c r="B351" s="190"/>
      <c r="C351" s="190"/>
      <c r="D351" s="190"/>
    </row>
    <row r="352" spans="1:4" ht="12.75">
      <c r="A352" s="188"/>
      <c r="B352" s="190"/>
      <c r="C352" s="190"/>
      <c r="D352" s="190"/>
    </row>
    <row r="353" spans="1:4" ht="12.75">
      <c r="A353" s="188"/>
      <c r="B353" s="190"/>
      <c r="C353" s="190"/>
      <c r="D353" s="190"/>
    </row>
    <row r="354" spans="1:4" ht="12.75">
      <c r="A354" s="188"/>
      <c r="B354" s="190"/>
      <c r="C354" s="190"/>
      <c r="D354" s="190"/>
    </row>
    <row r="355" spans="1:4" ht="12.75">
      <c r="A355" s="188"/>
      <c r="B355" s="190"/>
      <c r="C355" s="190"/>
      <c r="D355" s="190"/>
    </row>
    <row r="356" spans="1:4" ht="12.75">
      <c r="A356" s="188"/>
      <c r="B356" s="190"/>
      <c r="C356" s="190"/>
      <c r="D356" s="190"/>
    </row>
    <row r="357" spans="1:4" ht="12.75">
      <c r="A357" s="188"/>
      <c r="B357" s="190"/>
      <c r="C357" s="190"/>
      <c r="D357" s="190"/>
    </row>
    <row r="358" spans="1:4" ht="12.75">
      <c r="A358" s="188"/>
      <c r="B358" s="190"/>
      <c r="C358" s="190"/>
      <c r="D358" s="190"/>
    </row>
    <row r="359" spans="1:4" ht="12.75">
      <c r="A359" s="188"/>
      <c r="B359" s="190"/>
      <c r="C359" s="190"/>
      <c r="D359" s="190"/>
    </row>
    <row r="360" spans="1:4" ht="12.75">
      <c r="A360" s="188"/>
      <c r="B360" s="190"/>
      <c r="C360" s="190"/>
      <c r="D360" s="190"/>
    </row>
    <row r="361" spans="1:4" ht="12.75">
      <c r="A361" s="188"/>
      <c r="B361" s="190"/>
      <c r="C361" s="190"/>
      <c r="D361" s="190"/>
    </row>
    <row r="362" spans="1:4" ht="12.75">
      <c r="A362" s="188"/>
      <c r="B362" s="190"/>
      <c r="C362" s="190"/>
      <c r="D362" s="190"/>
    </row>
    <row r="363" spans="1:4" ht="12.75">
      <c r="A363" s="188"/>
      <c r="B363" s="190"/>
      <c r="C363" s="190"/>
      <c r="D363" s="190"/>
    </row>
    <row r="364" spans="1:4" ht="12.75">
      <c r="A364" s="188"/>
      <c r="B364" s="190"/>
      <c r="C364" s="190"/>
      <c r="D364" s="190"/>
    </row>
    <row r="365" spans="1:4" ht="12.75">
      <c r="A365" s="188"/>
      <c r="B365" s="190"/>
      <c r="C365" s="190"/>
      <c r="D365" s="190"/>
    </row>
    <row r="366" spans="1:4" ht="12.75">
      <c r="A366" s="188"/>
      <c r="B366" s="190"/>
      <c r="C366" s="190"/>
      <c r="D366" s="190"/>
    </row>
    <row r="367" spans="1:4" ht="12.75">
      <c r="A367" s="188"/>
      <c r="B367" s="190"/>
      <c r="C367" s="190"/>
      <c r="D367" s="190"/>
    </row>
    <row r="368" spans="1:4" ht="12.75">
      <c r="A368" s="188"/>
      <c r="B368" s="190"/>
      <c r="C368" s="190"/>
      <c r="D368" s="190"/>
    </row>
    <row r="369" spans="1:4" ht="12.75">
      <c r="A369" s="188"/>
      <c r="B369" s="190"/>
      <c r="C369" s="190"/>
      <c r="D369" s="190"/>
    </row>
    <row r="370" spans="1:4" ht="12.75">
      <c r="A370" s="188"/>
      <c r="B370" s="190"/>
      <c r="C370" s="190"/>
      <c r="D370" s="190"/>
    </row>
    <row r="371" spans="1:4" ht="12.75">
      <c r="A371" s="188"/>
      <c r="B371" s="190"/>
      <c r="C371" s="190"/>
      <c r="D371" s="190"/>
    </row>
    <row r="372" spans="1:4" ht="12.75">
      <c r="A372" s="188"/>
      <c r="B372" s="190"/>
      <c r="C372" s="190"/>
      <c r="D372" s="190"/>
    </row>
    <row r="373" spans="1:4" ht="12.75">
      <c r="A373" s="188"/>
      <c r="B373" s="190"/>
      <c r="C373" s="190"/>
      <c r="D373" s="190"/>
    </row>
    <row r="374" spans="1:4" ht="12.75">
      <c r="A374" s="188"/>
      <c r="B374" s="190"/>
      <c r="C374" s="190"/>
      <c r="D374" s="190"/>
    </row>
    <row r="375" spans="1:4" ht="12.75">
      <c r="A375" s="188"/>
      <c r="B375" s="190"/>
      <c r="C375" s="190"/>
      <c r="D375" s="190"/>
    </row>
    <row r="376" spans="1:4" ht="12.75">
      <c r="A376" s="188"/>
      <c r="B376" s="190"/>
      <c r="C376" s="190"/>
      <c r="D376" s="190"/>
    </row>
    <row r="377" spans="1:4" ht="12.75">
      <c r="A377" s="188"/>
      <c r="B377" s="190"/>
      <c r="C377" s="190"/>
      <c r="D377" s="190"/>
    </row>
    <row r="378" spans="1:4" ht="12.75">
      <c r="A378" s="188"/>
      <c r="B378" s="190"/>
      <c r="C378" s="190"/>
      <c r="D378" s="190"/>
    </row>
    <row r="379" spans="1:4" ht="12.75">
      <c r="A379" s="188"/>
      <c r="B379" s="190"/>
      <c r="C379" s="190"/>
      <c r="D379" s="190"/>
    </row>
    <row r="380" spans="1:4" ht="12.75">
      <c r="A380" s="188"/>
      <c r="B380" s="190"/>
      <c r="C380" s="190"/>
      <c r="D380" s="190"/>
    </row>
    <row r="381" spans="1:4" ht="12.75">
      <c r="A381" s="188"/>
      <c r="B381" s="190"/>
      <c r="C381" s="190"/>
      <c r="D381" s="190"/>
    </row>
    <row r="382" spans="1:4" ht="12.75">
      <c r="A382" s="188"/>
      <c r="B382" s="190"/>
      <c r="C382" s="190"/>
      <c r="D382" s="190"/>
    </row>
    <row r="383" spans="1:4" ht="12.75">
      <c r="A383" s="188"/>
      <c r="B383" s="190"/>
      <c r="C383" s="190"/>
      <c r="D383" s="190"/>
    </row>
    <row r="384" spans="1:4" ht="12.75">
      <c r="A384" s="188"/>
      <c r="B384" s="190"/>
      <c r="C384" s="190"/>
      <c r="D384" s="190"/>
    </row>
    <row r="385" spans="1:4" ht="12.75">
      <c r="A385" s="188"/>
      <c r="B385" s="190"/>
      <c r="C385" s="190"/>
      <c r="D385" s="190"/>
    </row>
    <row r="386" spans="1:4" ht="12.75">
      <c r="A386" s="188"/>
      <c r="B386" s="190"/>
      <c r="C386" s="190"/>
      <c r="D386" s="190"/>
    </row>
    <row r="387" spans="1:4" ht="12.75">
      <c r="A387" s="188"/>
      <c r="B387" s="190"/>
      <c r="C387" s="190"/>
      <c r="D387" s="190"/>
    </row>
    <row r="388" spans="1:4" ht="12.75">
      <c r="A388" s="188"/>
      <c r="B388" s="190"/>
      <c r="C388" s="190"/>
      <c r="D388" s="190"/>
    </row>
    <row r="389" spans="1:4" ht="12.75">
      <c r="A389" s="188"/>
      <c r="B389" s="190"/>
      <c r="C389" s="190"/>
      <c r="D389" s="190"/>
    </row>
    <row r="390" spans="1:4" ht="12.75">
      <c r="A390" s="188"/>
      <c r="B390" s="190"/>
      <c r="C390" s="190"/>
      <c r="D390" s="190"/>
    </row>
    <row r="391" spans="1:4" ht="12.75">
      <c r="A391" s="188"/>
      <c r="B391" s="190"/>
      <c r="C391" s="190"/>
      <c r="D391" s="190"/>
    </row>
    <row r="392" spans="1:4" ht="12.75">
      <c r="A392" s="188"/>
      <c r="B392" s="190"/>
      <c r="C392" s="190"/>
      <c r="D392" s="190"/>
    </row>
    <row r="393" spans="1:4" ht="12.75">
      <c r="A393" s="188"/>
      <c r="B393" s="190"/>
      <c r="C393" s="190"/>
      <c r="D393" s="190"/>
    </row>
    <row r="394" spans="1:4" ht="12.75">
      <c r="A394" s="188"/>
      <c r="B394" s="190"/>
      <c r="C394" s="190"/>
      <c r="D394" s="190"/>
    </row>
    <row r="395" spans="1:4" ht="12.75">
      <c r="A395" s="188"/>
      <c r="B395" s="190"/>
      <c r="C395" s="190"/>
      <c r="D395" s="190"/>
    </row>
    <row r="396" spans="1:4" ht="12.75">
      <c r="A396" s="188"/>
      <c r="B396" s="190"/>
      <c r="C396" s="190"/>
      <c r="D396" s="190"/>
    </row>
    <row r="397" spans="1:4" ht="12.75">
      <c r="A397" s="188"/>
      <c r="B397" s="190"/>
      <c r="C397" s="190"/>
      <c r="D397" s="190"/>
    </row>
    <row r="398" spans="1:4" ht="12.75">
      <c r="A398" s="188"/>
      <c r="B398" s="190"/>
      <c r="C398" s="190"/>
      <c r="D398" s="190"/>
    </row>
    <row r="399" spans="1:4" ht="12.75">
      <c r="A399" s="188"/>
      <c r="B399" s="190"/>
      <c r="C399" s="190"/>
      <c r="D399" s="190"/>
    </row>
    <row r="400" spans="1:4" ht="12.75">
      <c r="A400" s="188"/>
      <c r="B400" s="190"/>
      <c r="C400" s="190"/>
      <c r="D400" s="190"/>
    </row>
    <row r="401" spans="1:4" ht="12.75">
      <c r="A401" s="188"/>
      <c r="B401" s="190"/>
      <c r="C401" s="190"/>
      <c r="D401" s="190"/>
    </row>
    <row r="402" spans="1:4" ht="12.75">
      <c r="A402" s="188"/>
      <c r="B402" s="190"/>
      <c r="C402" s="190"/>
      <c r="D402" s="190"/>
    </row>
    <row r="403" spans="1:4" ht="12.75">
      <c r="A403" s="188"/>
      <c r="B403" s="190"/>
      <c r="C403" s="190"/>
      <c r="D403" s="190"/>
    </row>
    <row r="404" spans="1:4" ht="12.75">
      <c r="A404" s="188"/>
      <c r="B404" s="190"/>
      <c r="C404" s="190"/>
      <c r="D404" s="190"/>
    </row>
    <row r="405" spans="1:4" ht="12.75">
      <c r="A405" s="188"/>
      <c r="B405" s="190"/>
      <c r="C405" s="190"/>
      <c r="D405" s="190"/>
    </row>
    <row r="406" spans="1:4" ht="12.75">
      <c r="A406" s="188"/>
      <c r="B406" s="190"/>
      <c r="C406" s="190"/>
      <c r="D406" s="190"/>
    </row>
    <row r="407" spans="1:4" ht="12.75">
      <c r="A407" s="188"/>
      <c r="B407" s="190"/>
      <c r="C407" s="190"/>
      <c r="D407" s="190"/>
    </row>
    <row r="408" spans="1:4" ht="12.75">
      <c r="A408" s="188"/>
      <c r="B408" s="190"/>
      <c r="C408" s="190"/>
      <c r="D408" s="190"/>
    </row>
    <row r="409" spans="1:4" ht="12.75">
      <c r="A409" s="188"/>
      <c r="B409" s="190"/>
      <c r="C409" s="190"/>
      <c r="D409" s="190"/>
    </row>
    <row r="410" spans="1:4" ht="12.75">
      <c r="A410" s="188"/>
      <c r="B410" s="190"/>
      <c r="C410" s="190"/>
      <c r="D410" s="190"/>
    </row>
    <row r="411" spans="1:4" ht="12.75">
      <c r="A411" s="188"/>
      <c r="B411" s="190"/>
      <c r="C411" s="190"/>
      <c r="D411" s="190"/>
    </row>
    <row r="412" spans="1:4" ht="12.75">
      <c r="A412" s="188"/>
      <c r="B412" s="190"/>
      <c r="C412" s="190"/>
      <c r="D412" s="190"/>
    </row>
    <row r="413" spans="1:4" ht="12.75">
      <c r="A413" s="188"/>
      <c r="B413" s="190"/>
      <c r="C413" s="190"/>
      <c r="D413" s="190"/>
    </row>
    <row r="414" spans="1:4" ht="12.75">
      <c r="A414" s="188"/>
      <c r="B414" s="190"/>
      <c r="C414" s="190"/>
      <c r="D414" s="190"/>
    </row>
    <row r="415" spans="1:4" ht="12.75">
      <c r="A415" s="188"/>
      <c r="B415" s="190"/>
      <c r="C415" s="190"/>
      <c r="D415" s="190"/>
    </row>
    <row r="416" spans="1:4" ht="12.75">
      <c r="A416" s="188"/>
      <c r="B416" s="190"/>
      <c r="C416" s="190"/>
      <c r="D416" s="190"/>
    </row>
    <row r="417" spans="1:4" ht="12.75">
      <c r="A417" s="188"/>
      <c r="B417" s="190"/>
      <c r="C417" s="190"/>
      <c r="D417" s="190"/>
    </row>
    <row r="418" spans="1:4" ht="12.75">
      <c r="A418" s="188"/>
      <c r="B418" s="190"/>
      <c r="C418" s="190"/>
      <c r="D418" s="190"/>
    </row>
    <row r="419" spans="1:4" ht="12.75">
      <c r="A419" s="188"/>
      <c r="B419" s="190"/>
      <c r="C419" s="190"/>
      <c r="D419" s="190"/>
    </row>
    <row r="420" spans="1:4" ht="12.75">
      <c r="A420" s="188"/>
      <c r="B420" s="190"/>
      <c r="C420" s="190"/>
      <c r="D420" s="190"/>
    </row>
    <row r="421" spans="1:4" ht="12.75">
      <c r="A421" s="188"/>
      <c r="B421" s="190"/>
      <c r="C421" s="190"/>
      <c r="D421" s="190"/>
    </row>
    <row r="422" spans="1:4" ht="12.75">
      <c r="A422" s="188"/>
      <c r="B422" s="190"/>
      <c r="C422" s="190"/>
      <c r="D422" s="190"/>
    </row>
    <row r="423" spans="1:4" ht="12.75">
      <c r="A423" s="188"/>
      <c r="B423" s="190"/>
      <c r="C423" s="190"/>
      <c r="D423" s="190"/>
    </row>
    <row r="424" spans="1:4" ht="12.75">
      <c r="A424" s="188"/>
      <c r="B424" s="190"/>
      <c r="C424" s="190"/>
      <c r="D424" s="190"/>
    </row>
    <row r="425" spans="1:4" ht="12.75">
      <c r="A425" s="188"/>
      <c r="B425" s="190"/>
      <c r="C425" s="190"/>
      <c r="D425" s="190"/>
    </row>
    <row r="426" spans="1:4" ht="12.75">
      <c r="A426" s="188"/>
      <c r="B426" s="190"/>
      <c r="C426" s="190"/>
      <c r="D426" s="190"/>
    </row>
    <row r="427" spans="1:4" ht="12.75">
      <c r="A427" s="188"/>
      <c r="B427" s="190"/>
      <c r="C427" s="190"/>
      <c r="D427" s="190"/>
    </row>
    <row r="428" spans="1:4" ht="12.75">
      <c r="A428" s="188"/>
      <c r="B428" s="190"/>
      <c r="C428" s="190"/>
      <c r="D428" s="190"/>
    </row>
    <row r="429" spans="1:4" ht="12.75">
      <c r="A429" s="188"/>
      <c r="B429" s="190"/>
      <c r="C429" s="190"/>
      <c r="D429" s="190"/>
    </row>
    <row r="430" spans="1:4" ht="12.75">
      <c r="A430" s="188"/>
      <c r="B430" s="190"/>
      <c r="C430" s="190"/>
      <c r="D430" s="190"/>
    </row>
    <row r="431" spans="1:4" ht="12.75">
      <c r="A431" s="188"/>
      <c r="B431" s="190"/>
      <c r="C431" s="190"/>
      <c r="D431" s="190"/>
    </row>
    <row r="432" spans="1:4" ht="12.75">
      <c r="A432" s="188"/>
      <c r="B432" s="190"/>
      <c r="C432" s="190"/>
      <c r="D432" s="190"/>
    </row>
    <row r="433" spans="1:4" ht="12.75">
      <c r="A433" s="188"/>
      <c r="B433" s="190"/>
      <c r="C433" s="190"/>
      <c r="D433" s="190"/>
    </row>
    <row r="434" spans="1:4" ht="12.75">
      <c r="A434" s="188"/>
      <c r="B434" s="190"/>
      <c r="C434" s="190"/>
      <c r="D434" s="190"/>
    </row>
    <row r="435" spans="1:4" ht="12.75">
      <c r="A435" s="188"/>
      <c r="B435" s="190"/>
      <c r="C435" s="190"/>
      <c r="D435" s="190"/>
    </row>
    <row r="436" spans="1:4" ht="12.75">
      <c r="A436" s="188"/>
      <c r="B436" s="190"/>
      <c r="C436" s="190"/>
      <c r="D436" s="190"/>
    </row>
    <row r="437" spans="1:4" ht="12.75">
      <c r="A437" s="188"/>
      <c r="B437" s="190"/>
      <c r="C437" s="190"/>
      <c r="D437" s="190"/>
    </row>
    <row r="438" spans="1:4" ht="12.75">
      <c r="A438" s="188"/>
      <c r="B438" s="190"/>
      <c r="C438" s="190"/>
      <c r="D438" s="190"/>
    </row>
    <row r="439" spans="1:4" ht="12.75">
      <c r="A439" s="188"/>
      <c r="B439" s="190"/>
      <c r="C439" s="190"/>
      <c r="D439" s="190"/>
    </row>
    <row r="440" spans="1:4" ht="12.75">
      <c r="A440" s="188"/>
      <c r="B440" s="190"/>
      <c r="C440" s="190"/>
      <c r="D440" s="190"/>
    </row>
    <row r="441" spans="1:4" ht="12.75">
      <c r="A441" s="188"/>
      <c r="B441" s="190"/>
      <c r="C441" s="190"/>
      <c r="D441" s="190"/>
    </row>
    <row r="442" spans="1:4" ht="12.75">
      <c r="A442" s="188"/>
      <c r="B442" s="190"/>
      <c r="C442" s="190"/>
      <c r="D442" s="190"/>
    </row>
    <row r="443" spans="1:4" ht="12.75">
      <c r="A443" s="188"/>
      <c r="B443" s="190"/>
      <c r="C443" s="190"/>
      <c r="D443" s="190"/>
    </row>
    <row r="444" spans="1:4" ht="12.75">
      <c r="A444" s="188"/>
      <c r="B444" s="190"/>
      <c r="C444" s="190"/>
      <c r="D444" s="190"/>
    </row>
    <row r="445" spans="1:4" ht="12.75">
      <c r="A445" s="188"/>
      <c r="B445" s="190"/>
      <c r="C445" s="190"/>
      <c r="D445" s="190"/>
    </row>
    <row r="446" spans="1:4" ht="12.75">
      <c r="A446" s="188"/>
      <c r="B446" s="190"/>
      <c r="C446" s="190"/>
      <c r="D446" s="190"/>
    </row>
    <row r="447" spans="1:4" ht="12.75">
      <c r="A447" s="188"/>
      <c r="B447" s="190"/>
      <c r="C447" s="190"/>
      <c r="D447" s="190"/>
    </row>
    <row r="448" spans="1:4" ht="12.75">
      <c r="A448" s="188"/>
      <c r="B448" s="190"/>
      <c r="C448" s="190"/>
      <c r="D448" s="190"/>
    </row>
    <row r="449" spans="1:4" ht="12.75">
      <c r="A449" s="188"/>
      <c r="B449" s="190"/>
      <c r="C449" s="190"/>
      <c r="D449" s="190"/>
    </row>
    <row r="450" spans="1:4" ht="12.75">
      <c r="A450" s="188"/>
      <c r="B450" s="190"/>
      <c r="C450" s="190"/>
      <c r="D450" s="190"/>
    </row>
    <row r="451" spans="1:4" ht="12.75">
      <c r="A451" s="188"/>
      <c r="B451" s="190"/>
      <c r="C451" s="190"/>
      <c r="D451" s="190"/>
    </row>
    <row r="452" spans="1:4" ht="12.75">
      <c r="A452" s="188"/>
      <c r="B452" s="190"/>
      <c r="C452" s="190"/>
      <c r="D452" s="190"/>
    </row>
    <row r="453" spans="1:4" ht="12.75">
      <c r="A453" s="188"/>
      <c r="B453" s="190"/>
      <c r="C453" s="190"/>
      <c r="D453" s="190"/>
    </row>
    <row r="454" spans="1:4" ht="12.75">
      <c r="A454" s="188"/>
      <c r="B454" s="190"/>
      <c r="C454" s="190"/>
      <c r="D454" s="190"/>
    </row>
    <row r="455" spans="1:4" ht="12.75">
      <c r="A455" s="188"/>
      <c r="B455" s="190"/>
      <c r="C455" s="190"/>
      <c r="D455" s="190"/>
    </row>
    <row r="456" spans="1:4" ht="12.75">
      <c r="A456" s="188"/>
      <c r="B456" s="190"/>
      <c r="C456" s="190"/>
      <c r="D456" s="190"/>
    </row>
    <row r="457" spans="1:4" ht="12.75">
      <c r="A457" s="188"/>
      <c r="B457" s="190"/>
      <c r="C457" s="190"/>
      <c r="D457" s="190"/>
    </row>
    <row r="458" spans="1:4" ht="12.75">
      <c r="A458" s="188"/>
      <c r="B458" s="190"/>
      <c r="C458" s="190"/>
      <c r="D458" s="190"/>
    </row>
    <row r="459" spans="1:4" ht="12.75">
      <c r="A459" s="188"/>
      <c r="B459" s="190"/>
      <c r="C459" s="190"/>
      <c r="D459" s="190"/>
    </row>
    <row r="460" spans="1:4" ht="12.75">
      <c r="A460" s="188"/>
      <c r="B460" s="190"/>
      <c r="C460" s="190"/>
      <c r="D460" s="190"/>
    </row>
    <row r="461" spans="1:4" ht="12.75">
      <c r="A461" s="188"/>
      <c r="B461" s="190"/>
      <c r="C461" s="190"/>
      <c r="D461" s="190"/>
    </row>
    <row r="462" spans="1:4" ht="12.75">
      <c r="A462" s="188"/>
      <c r="B462" s="190"/>
      <c r="C462" s="190"/>
      <c r="D462" s="190"/>
    </row>
    <row r="463" spans="1:4" ht="12.75">
      <c r="A463" s="188"/>
      <c r="B463" s="190"/>
      <c r="C463" s="190"/>
      <c r="D463" s="190"/>
    </row>
    <row r="464" spans="1:4" ht="12.75">
      <c r="A464" s="188"/>
      <c r="B464" s="190"/>
      <c r="C464" s="190"/>
      <c r="D464" s="190"/>
    </row>
    <row r="465" spans="1:4" ht="12.75">
      <c r="A465" s="188"/>
      <c r="B465" s="190"/>
      <c r="C465" s="190"/>
      <c r="D465" s="190"/>
    </row>
    <row r="466" spans="1:4" ht="12.75">
      <c r="A466" s="188"/>
      <c r="B466" s="190"/>
      <c r="C466" s="190"/>
      <c r="D466" s="190"/>
    </row>
    <row r="467" spans="1:4" ht="12.75">
      <c r="A467" s="188"/>
      <c r="B467" s="190"/>
      <c r="C467" s="190"/>
      <c r="D467" s="190"/>
    </row>
    <row r="468" spans="1:4" ht="12.75">
      <c r="A468" s="188"/>
      <c r="B468" s="190"/>
      <c r="C468" s="190"/>
      <c r="D468" s="190"/>
    </row>
    <row r="469" spans="1:4" ht="12.75">
      <c r="A469" s="188"/>
      <c r="B469" s="190"/>
      <c r="C469" s="190"/>
      <c r="D469" s="190"/>
    </row>
    <row r="470" spans="1:4" ht="12.75">
      <c r="A470" s="188"/>
      <c r="B470" s="190"/>
      <c r="C470" s="190"/>
      <c r="D470" s="190"/>
    </row>
    <row r="471" spans="1:4" ht="12.75">
      <c r="A471" s="188"/>
      <c r="B471" s="190"/>
      <c r="C471" s="190"/>
      <c r="D471" s="190"/>
    </row>
    <row r="472" spans="1:4" ht="12.75">
      <c r="A472" s="188"/>
      <c r="B472" s="190"/>
      <c r="C472" s="190"/>
      <c r="D472" s="190"/>
    </row>
    <row r="473" spans="1:4" ht="12.75">
      <c r="A473" s="188"/>
      <c r="B473" s="190"/>
      <c r="C473" s="190"/>
      <c r="D473" s="190"/>
    </row>
    <row r="474" spans="1:4" ht="12.75">
      <c r="A474" s="188"/>
      <c r="B474" s="190"/>
      <c r="C474" s="190"/>
      <c r="D474" s="190"/>
    </row>
    <row r="475" spans="1:4" ht="12.75">
      <c r="A475" s="188"/>
      <c r="B475" s="190"/>
      <c r="C475" s="190"/>
      <c r="D475" s="190"/>
    </row>
    <row r="476" spans="1:4" ht="12.75">
      <c r="A476" s="188"/>
      <c r="B476" s="190"/>
      <c r="C476" s="190"/>
      <c r="D476" s="190"/>
    </row>
    <row r="477" spans="1:4" ht="12.75">
      <c r="A477" s="188"/>
      <c r="B477" s="190"/>
      <c r="C477" s="190"/>
      <c r="D477" s="190"/>
    </row>
    <row r="478" spans="1:4" ht="12.75">
      <c r="A478" s="188"/>
      <c r="B478" s="190"/>
      <c r="C478" s="190"/>
      <c r="D478" s="190"/>
    </row>
    <row r="479" spans="1:4" ht="12.75">
      <c r="A479" s="188"/>
      <c r="B479" s="190"/>
      <c r="C479" s="190"/>
      <c r="D479" s="190"/>
    </row>
    <row r="480" spans="1:4" ht="12.75">
      <c r="A480" s="188"/>
      <c r="B480" s="190"/>
      <c r="C480" s="190"/>
      <c r="D480" s="190"/>
    </row>
    <row r="481" spans="1:4" ht="12.75">
      <c r="A481" s="188"/>
      <c r="B481" s="190"/>
      <c r="C481" s="190"/>
      <c r="D481" s="190"/>
    </row>
    <row r="482" spans="1:4" ht="12.75">
      <c r="A482" s="188"/>
      <c r="B482" s="190"/>
      <c r="C482" s="190"/>
      <c r="D482" s="190"/>
    </row>
    <row r="483" spans="1:4" ht="12.75">
      <c r="A483" s="188"/>
      <c r="B483" s="190"/>
      <c r="C483" s="190"/>
      <c r="D483" s="190"/>
    </row>
    <row r="484" spans="1:4" ht="12.75">
      <c r="A484" s="188"/>
      <c r="B484" s="190"/>
      <c r="C484" s="190"/>
      <c r="D484" s="190"/>
    </row>
    <row r="485" spans="1:4" ht="12.75">
      <c r="A485" s="188"/>
      <c r="B485" s="190"/>
      <c r="C485" s="190"/>
      <c r="D485" s="190"/>
    </row>
    <row r="486" spans="1:4" ht="12.75">
      <c r="A486" s="188"/>
      <c r="B486" s="190"/>
      <c r="C486" s="190"/>
      <c r="D486" s="190"/>
    </row>
    <row r="487" spans="1:4" ht="12.75">
      <c r="A487" s="188"/>
      <c r="B487" s="190"/>
      <c r="C487" s="190"/>
      <c r="D487" s="190"/>
    </row>
    <row r="488" spans="1:4" ht="12.75">
      <c r="A488" s="188"/>
      <c r="B488" s="190"/>
      <c r="C488" s="190"/>
      <c r="D488" s="190"/>
    </row>
    <row r="489" spans="1:4" ht="12.75">
      <c r="A489" s="188"/>
      <c r="B489" s="190"/>
      <c r="C489" s="190"/>
      <c r="D489" s="190"/>
    </row>
    <row r="490" spans="1:4" ht="12.75">
      <c r="A490" s="188"/>
      <c r="B490" s="190"/>
      <c r="C490" s="190"/>
      <c r="D490" s="190"/>
    </row>
    <row r="491" spans="1:4" ht="12.75">
      <c r="A491" s="188"/>
      <c r="B491" s="190"/>
      <c r="C491" s="190"/>
      <c r="D491" s="190"/>
    </row>
    <row r="492" spans="1:4" ht="12.75">
      <c r="A492" s="188"/>
      <c r="B492" s="190"/>
      <c r="C492" s="190"/>
      <c r="D492" s="190"/>
    </row>
    <row r="493" spans="1:4" ht="12.75">
      <c r="A493" s="188"/>
      <c r="B493" s="190"/>
      <c r="C493" s="190"/>
      <c r="D493" s="190"/>
    </row>
    <row r="494" spans="1:4" ht="12.75">
      <c r="A494" s="188"/>
      <c r="B494" s="190"/>
      <c r="C494" s="190"/>
      <c r="D494" s="190"/>
    </row>
    <row r="495" spans="1:4" ht="12.75">
      <c r="A495" s="188"/>
      <c r="B495" s="190"/>
      <c r="C495" s="190"/>
      <c r="D495" s="190"/>
    </row>
    <row r="496" spans="1:4" ht="12.75">
      <c r="A496" s="188"/>
      <c r="B496" s="190"/>
      <c r="C496" s="190"/>
      <c r="D496" s="190"/>
    </row>
    <row r="497" spans="1:4" ht="12.75">
      <c r="A497" s="188"/>
      <c r="B497" s="190"/>
      <c r="C497" s="190"/>
      <c r="D497" s="190"/>
    </row>
    <row r="498" spans="1:4" ht="12.75">
      <c r="A498" s="188"/>
      <c r="B498" s="190"/>
      <c r="C498" s="190"/>
      <c r="D498" s="190"/>
    </row>
    <row r="499" spans="1:4" ht="12.75">
      <c r="A499" s="188"/>
      <c r="B499" s="190"/>
      <c r="C499" s="190"/>
      <c r="D499" s="190"/>
    </row>
    <row r="500" spans="1:4" ht="12.75">
      <c r="A500" s="188"/>
      <c r="B500" s="190"/>
      <c r="C500" s="190"/>
      <c r="D500" s="190"/>
    </row>
    <row r="501" spans="1:4" ht="12.75">
      <c r="A501" s="188"/>
      <c r="B501" s="190"/>
      <c r="C501" s="190"/>
      <c r="D501" s="190"/>
    </row>
    <row r="502" spans="1:4" ht="12.75">
      <c r="A502" s="188"/>
      <c r="B502" s="190"/>
      <c r="C502" s="190"/>
      <c r="D502" s="190"/>
    </row>
    <row r="503" spans="1:4" ht="12.75">
      <c r="A503" s="188"/>
      <c r="B503" s="190"/>
      <c r="C503" s="190"/>
      <c r="D503" s="190"/>
    </row>
    <row r="504" spans="1:4" ht="12.75">
      <c r="A504" s="188"/>
      <c r="B504" s="190"/>
      <c r="C504" s="190"/>
      <c r="D504" s="190"/>
    </row>
    <row r="505" spans="1:4" ht="12.75">
      <c r="A505" s="188"/>
      <c r="B505" s="190"/>
      <c r="C505" s="190"/>
      <c r="D505" s="190"/>
    </row>
    <row r="506" spans="1:4" ht="12.75">
      <c r="A506" s="188"/>
      <c r="B506" s="190"/>
      <c r="C506" s="190"/>
      <c r="D506" s="190"/>
    </row>
    <row r="507" spans="1:4" ht="12.75">
      <c r="A507" s="188"/>
      <c r="B507" s="190"/>
      <c r="C507" s="190"/>
      <c r="D507" s="190"/>
    </row>
    <row r="508" spans="1:4" ht="12.75">
      <c r="A508" s="188"/>
      <c r="B508" s="190"/>
      <c r="C508" s="190"/>
      <c r="D508" s="190"/>
    </row>
    <row r="509" spans="1:4" ht="12.75">
      <c r="A509" s="188"/>
      <c r="B509" s="190"/>
      <c r="C509" s="190"/>
      <c r="D509" s="190"/>
    </row>
    <row r="510" spans="1:4" ht="12.75">
      <c r="A510" s="188"/>
      <c r="B510" s="190"/>
      <c r="C510" s="190"/>
      <c r="D510" s="190"/>
    </row>
    <row r="511" spans="1:4" ht="12.75">
      <c r="A511" s="188"/>
      <c r="B511" s="190"/>
      <c r="C511" s="190"/>
      <c r="D511" s="190"/>
    </row>
    <row r="512" spans="1:4" ht="12.75">
      <c r="A512" s="188"/>
      <c r="B512" s="190"/>
      <c r="C512" s="190"/>
      <c r="D512" s="190"/>
    </row>
    <row r="513" spans="1:4" ht="12.75">
      <c r="A513" s="188"/>
      <c r="B513" s="190"/>
      <c r="C513" s="190"/>
      <c r="D513" s="190"/>
    </row>
    <row r="514" spans="1:4" ht="12.75">
      <c r="A514" s="188"/>
      <c r="B514" s="190"/>
      <c r="C514" s="190"/>
      <c r="D514" s="190"/>
    </row>
    <row r="515" spans="1:4" ht="12.75">
      <c r="A515" s="188"/>
      <c r="B515" s="190"/>
      <c r="C515" s="190"/>
      <c r="D515" s="190"/>
    </row>
    <row r="516" spans="1:4" ht="12.75">
      <c r="A516" s="188"/>
      <c r="B516" s="190"/>
      <c r="C516" s="190"/>
      <c r="D516" s="190"/>
    </row>
    <row r="517" spans="1:4" ht="12.75">
      <c r="A517" s="188"/>
      <c r="B517" s="190"/>
      <c r="C517" s="190"/>
      <c r="D517" s="190"/>
    </row>
    <row r="518" spans="1:4" ht="12.75">
      <c r="A518" s="188"/>
      <c r="B518" s="190"/>
      <c r="C518" s="190"/>
      <c r="D518" s="190"/>
    </row>
    <row r="519" spans="1:4" ht="12.75">
      <c r="A519" s="188"/>
      <c r="B519" s="190"/>
      <c r="C519" s="190"/>
      <c r="D519" s="190"/>
    </row>
    <row r="520" spans="1:4" ht="12.75">
      <c r="A520" s="188"/>
      <c r="B520" s="190"/>
      <c r="C520" s="190"/>
      <c r="D520" s="190"/>
    </row>
    <row r="521" spans="1:4" ht="12.75">
      <c r="A521" s="188"/>
      <c r="B521" s="190"/>
      <c r="C521" s="190"/>
      <c r="D521" s="190"/>
    </row>
    <row r="522" spans="1:4" ht="12.75">
      <c r="A522" s="188"/>
      <c r="B522" s="190"/>
      <c r="C522" s="190"/>
      <c r="D522" s="190"/>
    </row>
    <row r="523" spans="1:4" ht="12.75">
      <c r="A523" s="188"/>
      <c r="B523" s="190"/>
      <c r="C523" s="190"/>
      <c r="D523" s="190"/>
    </row>
    <row r="524" spans="1:4" ht="12.75">
      <c r="A524" s="188"/>
      <c r="B524" s="190"/>
      <c r="C524" s="190"/>
      <c r="D524" s="190"/>
    </row>
    <row r="525" spans="1:4" ht="12.75">
      <c r="A525" s="188"/>
      <c r="B525" s="190"/>
      <c r="C525" s="190"/>
      <c r="D525" s="190"/>
    </row>
    <row r="526" spans="1:4" ht="12.75">
      <c r="A526" s="188"/>
      <c r="B526" s="190"/>
      <c r="C526" s="190"/>
      <c r="D526" s="190"/>
    </row>
    <row r="527" spans="1:4" ht="12.75">
      <c r="A527" s="188"/>
      <c r="B527" s="190"/>
      <c r="C527" s="190"/>
      <c r="D527" s="190"/>
    </row>
    <row r="528" spans="1:4" ht="12.75">
      <c r="A528" s="188"/>
      <c r="B528" s="190"/>
      <c r="C528" s="190"/>
      <c r="D528" s="190"/>
    </row>
    <row r="529" spans="1:4" ht="12.75">
      <c r="A529" s="188"/>
      <c r="B529" s="190"/>
      <c r="C529" s="190"/>
      <c r="D529" s="190"/>
    </row>
    <row r="530" spans="1:4" ht="12.75">
      <c r="A530" s="188"/>
      <c r="B530" s="190"/>
      <c r="C530" s="190"/>
      <c r="D530" s="190"/>
    </row>
    <row r="531" spans="1:4" ht="12.75">
      <c r="A531" s="188"/>
      <c r="B531" s="190"/>
      <c r="C531" s="190"/>
      <c r="D531" s="190"/>
    </row>
    <row r="532" spans="1:4" ht="12.75">
      <c r="A532" s="188"/>
      <c r="B532" s="190"/>
      <c r="C532" s="190"/>
      <c r="D532" s="190"/>
    </row>
    <row r="533" spans="1:4" ht="12.75">
      <c r="A533" s="188"/>
      <c r="B533" s="190"/>
      <c r="C533" s="190"/>
      <c r="D533" s="190"/>
    </row>
    <row r="534" spans="1:4" ht="12.75">
      <c r="A534" s="188"/>
      <c r="B534" s="190"/>
      <c r="C534" s="190"/>
      <c r="D534" s="190"/>
    </row>
    <row r="535" spans="1:4" ht="12.75">
      <c r="A535" s="188"/>
      <c r="B535" s="190"/>
      <c r="C535" s="190"/>
      <c r="D535" s="190"/>
    </row>
    <row r="536" spans="1:4" ht="12.75">
      <c r="A536" s="188"/>
      <c r="B536" s="190"/>
      <c r="C536" s="190"/>
      <c r="D536" s="190"/>
    </row>
    <row r="537" spans="1:4" ht="12.75">
      <c r="A537" s="188"/>
      <c r="B537" s="190"/>
      <c r="C537" s="190"/>
      <c r="D537" s="190"/>
    </row>
    <row r="538" spans="1:4" ht="12.75">
      <c r="A538" s="188"/>
      <c r="B538" s="190"/>
      <c r="C538" s="190"/>
      <c r="D538" s="190"/>
    </row>
    <row r="539" spans="1:4" ht="12.75">
      <c r="A539" s="188"/>
      <c r="B539" s="190"/>
      <c r="C539" s="190"/>
      <c r="D539" s="190"/>
    </row>
    <row r="540" spans="1:4" ht="12.75">
      <c r="A540" s="188"/>
      <c r="B540" s="190"/>
      <c r="C540" s="190"/>
      <c r="D540" s="190"/>
    </row>
    <row r="541" spans="1:4" ht="12.75">
      <c r="A541" s="188"/>
      <c r="B541" s="190"/>
      <c r="C541" s="190"/>
      <c r="D541" s="190"/>
    </row>
    <row r="542" spans="1:4" ht="12.75">
      <c r="A542" s="188"/>
      <c r="B542" s="190"/>
      <c r="C542" s="190"/>
      <c r="D542" s="190"/>
    </row>
    <row r="543" spans="1:4" ht="12.75">
      <c r="A543" s="188"/>
      <c r="B543" s="190"/>
      <c r="C543" s="190"/>
      <c r="D543" s="190"/>
    </row>
    <row r="544" spans="1:4" ht="12.75">
      <c r="A544" s="188"/>
      <c r="B544" s="190"/>
      <c r="C544" s="190"/>
      <c r="D544" s="190"/>
    </row>
    <row r="545" spans="1:4" ht="12.75">
      <c r="A545" s="188"/>
      <c r="B545" s="190"/>
      <c r="C545" s="190"/>
      <c r="D545" s="190"/>
    </row>
    <row r="546" spans="1:4" ht="12.75">
      <c r="A546" s="188"/>
      <c r="B546" s="190"/>
      <c r="C546" s="190"/>
      <c r="D546" s="190"/>
    </row>
    <row r="547" spans="1:4" ht="12.75">
      <c r="A547" s="188"/>
      <c r="B547" s="190"/>
      <c r="C547" s="190"/>
      <c r="D547" s="190"/>
    </row>
    <row r="548" spans="1:4" ht="12.75">
      <c r="A548" s="188"/>
      <c r="B548" s="190"/>
      <c r="C548" s="190"/>
      <c r="D548" s="190"/>
    </row>
    <row r="549" spans="1:4" ht="12.75">
      <c r="A549" s="188"/>
      <c r="B549" s="190"/>
      <c r="C549" s="190"/>
      <c r="D549" s="190"/>
    </row>
    <row r="550" spans="1:4" ht="12.75">
      <c r="A550" s="188"/>
      <c r="B550" s="190"/>
      <c r="C550" s="190"/>
      <c r="D550" s="190"/>
    </row>
    <row r="551" spans="1:4" ht="12.75">
      <c r="A551" s="188"/>
      <c r="B551" s="190"/>
      <c r="C551" s="190"/>
      <c r="D551" s="190"/>
    </row>
    <row r="552" spans="1:4" ht="12.75">
      <c r="A552" s="188"/>
      <c r="B552" s="190"/>
      <c r="C552" s="190"/>
      <c r="D552" s="190"/>
    </row>
    <row r="553" spans="1:4" ht="12.75">
      <c r="A553" s="188"/>
      <c r="B553" s="190"/>
      <c r="C553" s="190"/>
      <c r="D553" s="190"/>
    </row>
    <row r="554" spans="1:4" ht="12.75">
      <c r="A554" s="188"/>
      <c r="B554" s="190"/>
      <c r="C554" s="190"/>
      <c r="D554" s="190"/>
    </row>
    <row r="555" spans="1:4" ht="12.75">
      <c r="A555" s="188"/>
      <c r="B555" s="190"/>
      <c r="C555" s="190"/>
      <c r="D555" s="190"/>
    </row>
    <row r="556" spans="1:4" ht="12.75">
      <c r="A556" s="188"/>
      <c r="B556" s="190"/>
      <c r="C556" s="190"/>
      <c r="D556" s="190"/>
    </row>
    <row r="557" spans="1:4" ht="12.75">
      <c r="A557" s="188"/>
      <c r="B557" s="190"/>
      <c r="C557" s="190"/>
      <c r="D557" s="190"/>
    </row>
    <row r="558" spans="1:4" ht="12.75">
      <c r="A558" s="188"/>
      <c r="B558" s="190"/>
      <c r="C558" s="190"/>
      <c r="D558" s="190"/>
    </row>
    <row r="559" spans="1:4" ht="12.75">
      <c r="A559" s="188"/>
      <c r="B559" s="190"/>
      <c r="C559" s="190"/>
      <c r="D559" s="190"/>
    </row>
    <row r="560" spans="1:4" ht="12.75">
      <c r="A560" s="188"/>
      <c r="B560" s="190"/>
      <c r="C560" s="190"/>
      <c r="D560" s="190"/>
    </row>
    <row r="561" spans="1:4" ht="12.75">
      <c r="A561" s="188"/>
      <c r="B561" s="190"/>
      <c r="C561" s="190"/>
      <c r="D561" s="190"/>
    </row>
    <row r="562" spans="1:4" ht="12.75">
      <c r="A562" s="188"/>
      <c r="B562" s="190"/>
      <c r="C562" s="190"/>
      <c r="D562" s="190"/>
    </row>
    <row r="563" spans="1:4" ht="12.75">
      <c r="A563" s="188"/>
      <c r="B563" s="190"/>
      <c r="C563" s="190"/>
      <c r="D563" s="190"/>
    </row>
    <row r="564" spans="1:4" ht="12.75">
      <c r="A564" s="188"/>
      <c r="B564" s="190"/>
      <c r="C564" s="190"/>
      <c r="D564" s="190"/>
    </row>
    <row r="565" spans="1:4" ht="12.75">
      <c r="A565" s="188"/>
      <c r="B565" s="190"/>
      <c r="C565" s="190"/>
      <c r="D565" s="190"/>
    </row>
    <row r="566" spans="1:4" ht="12.75">
      <c r="A566" s="188"/>
      <c r="B566" s="190"/>
      <c r="C566" s="190"/>
      <c r="D566" s="190"/>
    </row>
    <row r="567" spans="1:4" ht="12.75">
      <c r="A567" s="188"/>
      <c r="B567" s="190"/>
      <c r="C567" s="190"/>
      <c r="D567" s="190"/>
    </row>
    <row r="568" spans="1:4" ht="12.75">
      <c r="A568" s="188"/>
      <c r="B568" s="190"/>
      <c r="C568" s="190"/>
      <c r="D568" s="190"/>
    </row>
    <row r="569" spans="1:4" ht="12.75">
      <c r="A569" s="188"/>
      <c r="B569" s="190"/>
      <c r="C569" s="190"/>
      <c r="D569" s="190"/>
    </row>
    <row r="570" spans="1:4" ht="12.75">
      <c r="A570" s="188"/>
      <c r="B570" s="190"/>
      <c r="C570" s="190"/>
      <c r="D570" s="190"/>
    </row>
    <row r="571" spans="1:4" ht="12.75">
      <c r="A571" s="188"/>
      <c r="B571" s="190"/>
      <c r="C571" s="190"/>
      <c r="D571" s="190"/>
    </row>
    <row r="572" spans="1:4" ht="12.75">
      <c r="A572" s="188"/>
      <c r="B572" s="190"/>
      <c r="C572" s="190"/>
      <c r="D572" s="190"/>
    </row>
    <row r="573" spans="1:4" ht="12.75">
      <c r="A573" s="188"/>
      <c r="B573" s="190"/>
      <c r="C573" s="190"/>
      <c r="D573" s="190"/>
    </row>
    <row r="574" spans="1:4" ht="12.75">
      <c r="A574" s="188"/>
      <c r="B574" s="190"/>
      <c r="C574" s="190"/>
      <c r="D574" s="190"/>
    </row>
    <row r="575" spans="1:4" ht="12.75">
      <c r="A575" s="188"/>
      <c r="B575" s="190"/>
      <c r="C575" s="190"/>
      <c r="D575" s="190"/>
    </row>
    <row r="576" spans="1:4" ht="12.75">
      <c r="A576" s="188"/>
      <c r="B576" s="190"/>
      <c r="C576" s="190"/>
      <c r="D576" s="190"/>
    </row>
    <row r="577" spans="1:4" ht="12.75">
      <c r="A577" s="188"/>
      <c r="B577" s="190"/>
      <c r="C577" s="190"/>
      <c r="D577" s="190"/>
    </row>
    <row r="578" spans="1:4" ht="12.75">
      <c r="A578" s="188"/>
      <c r="B578" s="190"/>
      <c r="C578" s="190"/>
      <c r="D578" s="190"/>
    </row>
    <row r="579" spans="1:4" ht="12.75">
      <c r="A579" s="188"/>
      <c r="B579" s="190"/>
      <c r="C579" s="190"/>
      <c r="D579" s="190"/>
    </row>
    <row r="580" spans="1:4" ht="12.75">
      <c r="A580" s="188"/>
      <c r="B580" s="190"/>
      <c r="C580" s="190"/>
      <c r="D580" s="190"/>
    </row>
    <row r="581" spans="1:4" ht="12.75">
      <c r="A581" s="188"/>
      <c r="B581" s="190"/>
      <c r="C581" s="190"/>
      <c r="D581" s="190"/>
    </row>
    <row r="582" spans="1:4" ht="12.75">
      <c r="A582" s="188"/>
      <c r="B582" s="190"/>
      <c r="C582" s="190"/>
      <c r="D582" s="190"/>
    </row>
    <row r="583" spans="1:4" ht="12.75">
      <c r="A583" s="188"/>
      <c r="B583" s="190"/>
      <c r="C583" s="190"/>
      <c r="D583" s="190"/>
    </row>
    <row r="584" spans="1:4" ht="12.75">
      <c r="A584" s="188"/>
      <c r="B584" s="190"/>
      <c r="C584" s="190"/>
      <c r="D584" s="190"/>
    </row>
    <row r="585" spans="1:4" ht="12.75">
      <c r="A585" s="188"/>
      <c r="B585" s="190"/>
      <c r="C585" s="190"/>
      <c r="D585" s="190"/>
    </row>
    <row r="586" spans="1:4" ht="12.75">
      <c r="A586" s="188"/>
      <c r="B586" s="190"/>
      <c r="C586" s="190"/>
      <c r="D586" s="190"/>
    </row>
    <row r="587" spans="1:4" ht="12.75">
      <c r="A587" s="188"/>
      <c r="B587" s="190"/>
      <c r="C587" s="190"/>
      <c r="D587" s="190"/>
    </row>
    <row r="588" spans="1:4" ht="12.75">
      <c r="A588" s="188"/>
      <c r="B588" s="190"/>
      <c r="C588" s="190"/>
      <c r="D588" s="190"/>
    </row>
    <row r="589" spans="1:4" ht="12.75">
      <c r="A589" s="188"/>
      <c r="B589" s="190"/>
      <c r="C589" s="190"/>
      <c r="D589" s="190"/>
    </row>
    <row r="590" spans="1:4" ht="12.75">
      <c r="A590" s="188"/>
      <c r="B590" s="190"/>
      <c r="C590" s="190"/>
      <c r="D590" s="190"/>
    </row>
    <row r="591" spans="1:4" ht="12.75">
      <c r="A591" s="188"/>
      <c r="B591" s="190"/>
      <c r="C591" s="190"/>
      <c r="D591" s="190"/>
    </row>
    <row r="592" spans="1:4" ht="12.75">
      <c r="A592" s="188"/>
      <c r="B592" s="190"/>
      <c r="C592" s="190"/>
      <c r="D592" s="190"/>
    </row>
    <row r="593" spans="1:4" ht="12.75">
      <c r="A593" s="188"/>
      <c r="B593" s="190"/>
      <c r="C593" s="190"/>
      <c r="D593" s="190"/>
    </row>
    <row r="594" spans="1:4" ht="12.75">
      <c r="A594" s="188"/>
      <c r="B594" s="190"/>
      <c r="C594" s="190"/>
      <c r="D594" s="190"/>
    </row>
    <row r="595" spans="1:4" ht="12.75">
      <c r="A595" s="188"/>
      <c r="B595" s="190"/>
      <c r="C595" s="190"/>
      <c r="D595" s="190"/>
    </row>
    <row r="596" spans="1:4" ht="12.75">
      <c r="A596" s="188"/>
      <c r="B596" s="190"/>
      <c r="C596" s="190"/>
      <c r="D596" s="190"/>
    </row>
    <row r="597" spans="1:4" ht="12.75">
      <c r="A597" s="188"/>
      <c r="B597" s="190"/>
      <c r="C597" s="190"/>
      <c r="D597" s="190"/>
    </row>
    <row r="598" spans="1:4" ht="12.75">
      <c r="A598" s="188"/>
      <c r="B598" s="190"/>
      <c r="C598" s="190"/>
      <c r="D598" s="190"/>
    </row>
    <row r="599" spans="1:4" ht="12.75">
      <c r="A599" s="188"/>
      <c r="B599" s="190"/>
      <c r="C599" s="190"/>
      <c r="D599" s="190"/>
    </row>
    <row r="600" spans="1:4" ht="12.75">
      <c r="A600" s="188"/>
      <c r="B600" s="190"/>
      <c r="C600" s="190"/>
      <c r="D600" s="190"/>
    </row>
    <row r="601" spans="1:4" ht="12.75">
      <c r="A601" s="188"/>
      <c r="B601" s="190"/>
      <c r="C601" s="190"/>
      <c r="D601" s="190"/>
    </row>
    <row r="602" spans="1:4" ht="12.75">
      <c r="A602" s="188"/>
      <c r="B602" s="190"/>
      <c r="C602" s="190"/>
      <c r="D602" s="190"/>
    </row>
    <row r="603" spans="1:4" ht="12.75">
      <c r="A603" s="188"/>
      <c r="B603" s="190"/>
      <c r="C603" s="190"/>
      <c r="D603" s="190"/>
    </row>
    <row r="604" spans="1:4" ht="12.75">
      <c r="A604" s="188"/>
      <c r="B604" s="190"/>
      <c r="C604" s="190"/>
      <c r="D604" s="190"/>
    </row>
    <row r="605" spans="1:4" ht="12.75">
      <c r="A605" s="188"/>
      <c r="B605" s="190"/>
      <c r="C605" s="190"/>
      <c r="D605" s="190"/>
    </row>
    <row r="606" spans="1:4" ht="12.75">
      <c r="A606" s="188"/>
      <c r="B606" s="190"/>
      <c r="C606" s="190"/>
      <c r="D606" s="190"/>
    </row>
    <row r="607" spans="1:4" ht="12.75">
      <c r="A607" s="188"/>
      <c r="B607" s="190"/>
      <c r="C607" s="190"/>
      <c r="D607" s="190"/>
    </row>
    <row r="608" spans="1:4" ht="12.75">
      <c r="A608" s="188"/>
      <c r="B608" s="190"/>
      <c r="C608" s="190"/>
      <c r="D608" s="190"/>
    </row>
    <row r="609" spans="1:4" ht="12.75">
      <c r="A609" s="188"/>
      <c r="B609" s="190"/>
      <c r="C609" s="190"/>
      <c r="D609" s="190"/>
    </row>
    <row r="610" spans="1:4" ht="12.75">
      <c r="A610" s="188"/>
      <c r="B610" s="190"/>
      <c r="C610" s="190"/>
      <c r="D610" s="190"/>
    </row>
    <row r="611" spans="1:4" ht="12.75">
      <c r="A611" s="188"/>
      <c r="B611" s="190"/>
      <c r="C611" s="190"/>
      <c r="D611" s="190"/>
    </row>
    <row r="612" spans="1:4" ht="12.75">
      <c r="A612" s="188"/>
      <c r="B612" s="190"/>
      <c r="C612" s="190"/>
      <c r="D612" s="190"/>
    </row>
    <row r="613" spans="1:4" ht="12.75">
      <c r="A613" s="188"/>
      <c r="B613" s="190"/>
      <c r="C613" s="190"/>
      <c r="D613" s="190"/>
    </row>
    <row r="614" spans="1:4" ht="12.75">
      <c r="A614" s="188"/>
      <c r="B614" s="190"/>
      <c r="C614" s="190"/>
      <c r="D614" s="190"/>
    </row>
    <row r="615" spans="1:4" ht="12.75">
      <c r="A615" s="188"/>
      <c r="B615" s="190"/>
      <c r="C615" s="190"/>
      <c r="D615" s="190"/>
    </row>
    <row r="616" spans="1:4" ht="12.75">
      <c r="A616" s="188"/>
      <c r="B616" s="190"/>
      <c r="C616" s="190"/>
      <c r="D616" s="190"/>
    </row>
    <row r="617" spans="1:4" ht="12.75">
      <c r="A617" s="188"/>
      <c r="B617" s="190"/>
      <c r="C617" s="190"/>
      <c r="D617" s="190"/>
    </row>
    <row r="618" spans="1:4" ht="12.75">
      <c r="A618" s="188"/>
      <c r="B618" s="190"/>
      <c r="C618" s="190"/>
      <c r="D618" s="190"/>
    </row>
    <row r="619" spans="1:4" ht="12.75">
      <c r="A619" s="188"/>
      <c r="B619" s="190"/>
      <c r="C619" s="190"/>
      <c r="D619" s="190"/>
    </row>
    <row r="620" spans="1:4" ht="12.75">
      <c r="A620" s="188"/>
      <c r="B620" s="190"/>
      <c r="C620" s="190"/>
      <c r="D620" s="190"/>
    </row>
    <row r="621" spans="1:4" ht="12.75">
      <c r="A621" s="188"/>
      <c r="B621" s="190"/>
      <c r="C621" s="190"/>
      <c r="D621" s="190"/>
    </row>
    <row r="622" spans="1:4" ht="12.75">
      <c r="A622" s="188"/>
      <c r="B622" s="190"/>
      <c r="C622" s="190"/>
      <c r="D622" s="190"/>
    </row>
    <row r="623" spans="1:4" ht="12.75">
      <c r="A623" s="188"/>
      <c r="B623" s="190"/>
      <c r="C623" s="190"/>
      <c r="D623" s="190"/>
    </row>
    <row r="624" spans="1:4" ht="12.75">
      <c r="A624" s="188"/>
      <c r="B624" s="190"/>
      <c r="C624" s="190"/>
      <c r="D624" s="190"/>
    </row>
    <row r="625" spans="1:4" ht="12.75">
      <c r="A625" s="188"/>
      <c r="B625" s="190"/>
      <c r="C625" s="190"/>
      <c r="D625" s="190"/>
    </row>
    <row r="626" spans="1:4" ht="12.75">
      <c r="A626" s="188"/>
      <c r="B626" s="190"/>
      <c r="C626" s="190"/>
      <c r="D626" s="190"/>
    </row>
    <row r="627" spans="1:4" ht="12.75">
      <c r="A627" s="188"/>
      <c r="B627" s="190"/>
      <c r="C627" s="190"/>
      <c r="D627" s="190"/>
    </row>
    <row r="628" spans="1:4" ht="12.75">
      <c r="A628" s="188"/>
      <c r="B628" s="190"/>
      <c r="C628" s="190"/>
      <c r="D628" s="190"/>
    </row>
    <row r="629" spans="1:4" ht="12.75">
      <c r="A629" s="188"/>
      <c r="B629" s="190"/>
      <c r="C629" s="190"/>
      <c r="D629" s="190"/>
    </row>
    <row r="630" spans="1:4" ht="12.75">
      <c r="A630" s="188"/>
      <c r="B630" s="190"/>
      <c r="C630" s="190"/>
      <c r="D630" s="190"/>
    </row>
    <row r="631" spans="1:4" ht="12.75">
      <c r="A631" s="188"/>
      <c r="B631" s="190"/>
      <c r="C631" s="190"/>
      <c r="D631" s="190"/>
    </row>
    <row r="632" spans="1:4" ht="12.75">
      <c r="A632" s="188"/>
      <c r="B632" s="190"/>
      <c r="C632" s="190"/>
      <c r="D632" s="190"/>
    </row>
    <row r="633" spans="1:4" ht="12.75">
      <c r="A633" s="188"/>
      <c r="B633" s="190"/>
      <c r="C633" s="190"/>
      <c r="D633" s="190"/>
    </row>
    <row r="634" spans="1:4" ht="12.75">
      <c r="A634" s="188"/>
      <c r="B634" s="190"/>
      <c r="C634" s="190"/>
      <c r="D634" s="190"/>
    </row>
    <row r="635" spans="1:4" ht="12.75">
      <c r="A635" s="188"/>
      <c r="B635" s="190"/>
      <c r="C635" s="190"/>
      <c r="D635" s="190"/>
    </row>
    <row r="636" spans="1:4" ht="12.75">
      <c r="A636" s="188"/>
      <c r="B636" s="190"/>
      <c r="C636" s="190"/>
      <c r="D636" s="190"/>
    </row>
    <row r="637" spans="1:4" ht="12.75">
      <c r="A637" s="188"/>
      <c r="B637" s="190"/>
      <c r="C637" s="190"/>
      <c r="D637" s="190"/>
    </row>
    <row r="638" spans="1:4" ht="12.75">
      <c r="A638" s="188"/>
      <c r="B638" s="190"/>
      <c r="C638" s="190"/>
      <c r="D638" s="190"/>
    </row>
    <row r="639" spans="1:4" ht="12.75">
      <c r="A639" s="188"/>
      <c r="B639" s="190"/>
      <c r="C639" s="190"/>
      <c r="D639" s="190"/>
    </row>
    <row r="640" spans="1:4" ht="12.75">
      <c r="A640" s="188"/>
      <c r="B640" s="190"/>
      <c r="C640" s="190"/>
      <c r="D640" s="190"/>
    </row>
    <row r="641" spans="1:4" ht="12.75">
      <c r="A641" s="188"/>
      <c r="B641" s="190"/>
      <c r="C641" s="190"/>
      <c r="D641" s="190"/>
    </row>
    <row r="642" spans="1:4" ht="12.75">
      <c r="A642" s="188"/>
      <c r="B642" s="190"/>
      <c r="C642" s="190"/>
      <c r="D642" s="190"/>
    </row>
    <row r="643" spans="1:4" ht="12.75">
      <c r="A643" s="188"/>
      <c r="B643" s="190"/>
      <c r="C643" s="190"/>
      <c r="D643" s="190"/>
    </row>
    <row r="644" spans="1:4" ht="12.75">
      <c r="A644" s="188"/>
      <c r="B644" s="190"/>
      <c r="C644" s="190"/>
      <c r="D644" s="190"/>
    </row>
    <row r="645" spans="1:4" ht="12.75">
      <c r="A645" s="188"/>
      <c r="B645" s="190"/>
      <c r="C645" s="190"/>
      <c r="D645" s="190"/>
    </row>
    <row r="646" spans="1:4" ht="12.75">
      <c r="A646" s="188"/>
      <c r="B646" s="190"/>
      <c r="C646" s="190"/>
      <c r="D646" s="190"/>
    </row>
    <row r="647" spans="1:4" ht="12.75">
      <c r="A647" s="188"/>
      <c r="B647" s="190"/>
      <c r="C647" s="190"/>
      <c r="D647" s="190"/>
    </row>
    <row r="648" spans="1:4" ht="12.75">
      <c r="A648" s="188"/>
      <c r="B648" s="190"/>
      <c r="C648" s="190"/>
      <c r="D648" s="190"/>
    </row>
    <row r="649" spans="1:4" ht="12.75">
      <c r="A649" s="188"/>
      <c r="B649" s="190"/>
      <c r="C649" s="190"/>
      <c r="D649" s="190"/>
    </row>
    <row r="650" spans="1:4" ht="12.75">
      <c r="A650" s="188"/>
      <c r="B650" s="190"/>
      <c r="C650" s="190"/>
      <c r="D650" s="190"/>
    </row>
    <row r="651" spans="1:4" ht="12.75">
      <c r="A651" s="188"/>
      <c r="B651" s="190"/>
      <c r="C651" s="190"/>
      <c r="D651" s="190"/>
    </row>
    <row r="652" spans="1:4" ht="12.75">
      <c r="A652" s="188"/>
      <c r="B652" s="190"/>
      <c r="C652" s="190"/>
      <c r="D652" s="190"/>
    </row>
    <row r="653" spans="1:4" ht="12.75">
      <c r="A653" s="188"/>
      <c r="B653" s="190"/>
      <c r="C653" s="190"/>
      <c r="D653" s="190"/>
    </row>
    <row r="654" spans="1:4" ht="12.75">
      <c r="A654" s="188"/>
      <c r="B654" s="190"/>
      <c r="C654" s="190"/>
      <c r="D654" s="190"/>
    </row>
    <row r="655" spans="1:4" ht="12.75">
      <c r="A655" s="188"/>
      <c r="B655" s="190"/>
      <c r="C655" s="190"/>
      <c r="D655" s="190"/>
    </row>
    <row r="656" spans="1:4" ht="12.75">
      <c r="A656" s="188"/>
      <c r="B656" s="190"/>
      <c r="C656" s="190"/>
      <c r="D656" s="190"/>
    </row>
    <row r="657" spans="1:4" ht="12.75">
      <c r="A657" s="188"/>
      <c r="B657" s="190"/>
      <c r="C657" s="190"/>
      <c r="D657" s="190"/>
    </row>
    <row r="658" spans="1:4" ht="12.75">
      <c r="A658" s="188"/>
      <c r="B658" s="190"/>
      <c r="C658" s="190"/>
      <c r="D658" s="190"/>
    </row>
    <row r="659" spans="1:4" ht="12.75">
      <c r="A659" s="188"/>
      <c r="B659" s="190"/>
      <c r="C659" s="190"/>
      <c r="D659" s="190"/>
    </row>
    <row r="660" spans="1:4" ht="12.75">
      <c r="A660" s="188"/>
      <c r="B660" s="190"/>
      <c r="C660" s="190"/>
      <c r="D660" s="190"/>
    </row>
    <row r="661" spans="1:4" ht="12.75">
      <c r="A661" s="188"/>
      <c r="B661" s="190"/>
      <c r="C661" s="190"/>
      <c r="D661" s="190"/>
    </row>
    <row r="662" spans="1:4" ht="12.75">
      <c r="A662" s="188"/>
      <c r="B662" s="190"/>
      <c r="C662" s="190"/>
      <c r="D662" s="190"/>
    </row>
    <row r="663" spans="1:4" ht="12.75">
      <c r="A663" s="188"/>
      <c r="B663" s="190"/>
      <c r="C663" s="190"/>
      <c r="D663" s="190"/>
    </row>
    <row r="664" spans="1:4" ht="12.75">
      <c r="A664" s="188"/>
      <c r="B664" s="190"/>
      <c r="C664" s="190"/>
      <c r="D664" s="190"/>
    </row>
    <row r="665" spans="1:4" ht="12.75">
      <c r="A665" s="188"/>
      <c r="B665" s="190"/>
      <c r="C665" s="190"/>
      <c r="D665" s="190"/>
    </row>
    <row r="666" spans="1:4" ht="12.75">
      <c r="A666" s="188"/>
      <c r="B666" s="190"/>
      <c r="C666" s="190"/>
      <c r="D666" s="190"/>
    </row>
    <row r="667" spans="1:4" ht="12.75">
      <c r="A667" s="188"/>
      <c r="B667" s="190"/>
      <c r="C667" s="190"/>
      <c r="D667" s="190"/>
    </row>
    <row r="668" spans="1:4" ht="12.75">
      <c r="A668" s="188"/>
      <c r="B668" s="190"/>
      <c r="C668" s="190"/>
      <c r="D668" s="190"/>
    </row>
    <row r="669" spans="1:4" ht="12.75">
      <c r="A669" s="188"/>
      <c r="B669" s="190"/>
      <c r="C669" s="190"/>
      <c r="D669" s="190"/>
    </row>
    <row r="670" spans="1:4" ht="12.75">
      <c r="A670" s="188"/>
      <c r="B670" s="190"/>
      <c r="C670" s="190"/>
      <c r="D670" s="190"/>
    </row>
    <row r="671" spans="1:4" ht="12.75">
      <c r="A671" s="188"/>
      <c r="B671" s="190"/>
      <c r="C671" s="190"/>
      <c r="D671" s="190"/>
    </row>
    <row r="672" spans="1:4" ht="12.75">
      <c r="A672" s="188"/>
      <c r="B672" s="190"/>
      <c r="C672" s="190"/>
      <c r="D672" s="190"/>
    </row>
    <row r="673" spans="1:4" ht="12.75">
      <c r="A673" s="188"/>
      <c r="B673" s="190"/>
      <c r="C673" s="190"/>
      <c r="D673" s="190"/>
    </row>
    <row r="674" spans="1:4" ht="12.75">
      <c r="A674" s="188"/>
      <c r="B674" s="190"/>
      <c r="C674" s="190"/>
      <c r="D674" s="190"/>
    </row>
    <row r="675" spans="1:4" ht="12.75">
      <c r="A675" s="188"/>
      <c r="B675" s="190"/>
      <c r="C675" s="190"/>
      <c r="D675" s="190"/>
    </row>
    <row r="676" spans="1:4" ht="12.75">
      <c r="A676" s="188"/>
      <c r="B676" s="190"/>
      <c r="C676" s="190"/>
      <c r="D676" s="190"/>
    </row>
    <row r="677" spans="1:4" ht="12.75">
      <c r="A677" s="188"/>
      <c r="B677" s="190"/>
      <c r="C677" s="190"/>
      <c r="D677" s="190"/>
    </row>
    <row r="678" spans="1:4" ht="12.75">
      <c r="A678" s="188"/>
      <c r="B678" s="190"/>
      <c r="C678" s="190"/>
      <c r="D678" s="190"/>
    </row>
    <row r="679" spans="1:4" ht="12.75">
      <c r="A679" s="188"/>
      <c r="B679" s="190"/>
      <c r="C679" s="190"/>
      <c r="D679" s="190"/>
    </row>
    <row r="680" spans="1:4" ht="12.75">
      <c r="A680" s="188"/>
      <c r="B680" s="190"/>
      <c r="C680" s="190"/>
      <c r="D680" s="190"/>
    </row>
    <row r="681" spans="1:4" ht="12.75">
      <c r="A681" s="188"/>
      <c r="B681" s="190"/>
      <c r="C681" s="190"/>
      <c r="D681" s="190"/>
    </row>
    <row r="682" spans="1:4" ht="12.75">
      <c r="A682" s="188"/>
      <c r="B682" s="190"/>
      <c r="C682" s="190"/>
      <c r="D682" s="190"/>
    </row>
    <row r="683" spans="1:4" ht="12.75">
      <c r="A683" s="188"/>
      <c r="B683" s="190"/>
      <c r="C683" s="190"/>
      <c r="D683" s="190"/>
    </row>
    <row r="684" spans="1:4" ht="12.75">
      <c r="A684" s="188"/>
      <c r="B684" s="190"/>
      <c r="C684" s="190"/>
      <c r="D684" s="190"/>
    </row>
    <row r="685" spans="1:4" ht="12.75">
      <c r="A685" s="188"/>
      <c r="B685" s="190"/>
      <c r="C685" s="190"/>
      <c r="D685" s="190"/>
    </row>
    <row r="686" spans="1:4" ht="12.75">
      <c r="A686" s="188"/>
      <c r="B686" s="190"/>
      <c r="C686" s="190"/>
      <c r="D686" s="190"/>
    </row>
    <row r="687" spans="1:4" ht="12.75">
      <c r="A687" s="188"/>
      <c r="B687" s="190"/>
      <c r="C687" s="190"/>
      <c r="D687" s="190"/>
    </row>
    <row r="688" spans="1:4" ht="12.75">
      <c r="A688" s="188"/>
      <c r="B688" s="190"/>
      <c r="C688" s="190"/>
      <c r="D688" s="190"/>
    </row>
    <row r="689" spans="1:4" ht="12.75">
      <c r="A689" s="188"/>
      <c r="B689" s="190"/>
      <c r="C689" s="190"/>
      <c r="D689" s="190"/>
    </row>
    <row r="690" spans="1:4" ht="12.75">
      <c r="A690" s="188"/>
      <c r="B690" s="190"/>
      <c r="C690" s="190"/>
      <c r="D690" s="190"/>
    </row>
    <row r="691" spans="1:4" ht="12.75">
      <c r="A691" s="188"/>
      <c r="B691" s="190"/>
      <c r="C691" s="190"/>
      <c r="D691" s="190"/>
    </row>
    <row r="692" spans="1:4" ht="12.75">
      <c r="A692" s="188"/>
      <c r="B692" s="190"/>
      <c r="C692" s="190"/>
      <c r="D692" s="190"/>
    </row>
    <row r="693" spans="1:4" ht="12.75">
      <c r="A693" s="188"/>
      <c r="B693" s="190"/>
      <c r="C693" s="190"/>
      <c r="D693" s="190"/>
    </row>
    <row r="694" spans="1:4" ht="12.75">
      <c r="A694" s="188"/>
      <c r="B694" s="190"/>
      <c r="C694" s="190"/>
      <c r="D694" s="190"/>
    </row>
    <row r="695" spans="1:4" ht="12.75">
      <c r="A695" s="188"/>
      <c r="B695" s="190"/>
      <c r="C695" s="190"/>
      <c r="D695" s="190"/>
    </row>
    <row r="696" spans="1:4" ht="12.75">
      <c r="A696" s="188"/>
      <c r="B696" s="190"/>
      <c r="C696" s="190"/>
      <c r="D696" s="190"/>
    </row>
    <row r="697" spans="1:4" ht="12.75">
      <c r="A697" s="188"/>
      <c r="B697" s="190"/>
      <c r="C697" s="190"/>
      <c r="D697" s="190"/>
    </row>
    <row r="698" spans="1:4" ht="12.75">
      <c r="A698" s="188"/>
      <c r="B698" s="190"/>
      <c r="C698" s="190"/>
      <c r="D698" s="190"/>
    </row>
    <row r="699" spans="1:4" ht="12.75">
      <c r="A699" s="188"/>
      <c r="B699" s="190"/>
      <c r="C699" s="190"/>
      <c r="D699" s="190"/>
    </row>
    <row r="700" spans="1:4" ht="12.75">
      <c r="A700" s="188"/>
      <c r="B700" s="190"/>
      <c r="C700" s="190"/>
      <c r="D700" s="190"/>
    </row>
    <row r="701" spans="1:4" ht="12.75">
      <c r="A701" s="188"/>
      <c r="B701" s="190"/>
      <c r="C701" s="190"/>
      <c r="D701" s="190"/>
    </row>
    <row r="702" spans="1:4" ht="12.75">
      <c r="A702" s="188"/>
      <c r="B702" s="190"/>
      <c r="C702" s="190"/>
      <c r="D702" s="190"/>
    </row>
    <row r="703" spans="1:4" ht="12.75">
      <c r="A703" s="188"/>
      <c r="B703" s="190"/>
      <c r="C703" s="190"/>
      <c r="D703" s="190"/>
    </row>
    <row r="704" spans="1:4" ht="12.75">
      <c r="A704" s="188"/>
      <c r="B704" s="190"/>
      <c r="C704" s="190"/>
      <c r="D704" s="190"/>
    </row>
    <row r="705" spans="1:4" ht="12.75">
      <c r="A705" s="188"/>
      <c r="B705" s="190"/>
      <c r="C705" s="190"/>
      <c r="D705" s="190"/>
    </row>
    <row r="706" spans="1:4" ht="12.75">
      <c r="A706" s="188"/>
      <c r="B706" s="190"/>
      <c r="C706" s="190"/>
      <c r="D706" s="190"/>
    </row>
    <row r="707" spans="1:4" ht="12.75">
      <c r="A707" s="188"/>
      <c r="B707" s="190"/>
      <c r="C707" s="190"/>
      <c r="D707" s="190"/>
    </row>
    <row r="708" spans="1:4" ht="12.75">
      <c r="A708" s="188"/>
      <c r="B708" s="190"/>
      <c r="C708" s="190"/>
      <c r="D708" s="190"/>
    </row>
    <row r="709" spans="1:4" ht="12.75">
      <c r="A709" s="188"/>
      <c r="B709" s="190"/>
      <c r="C709" s="190"/>
      <c r="D709" s="190"/>
    </row>
    <row r="710" spans="1:4" ht="12.75">
      <c r="A710" s="188"/>
      <c r="B710" s="190"/>
      <c r="C710" s="190"/>
      <c r="D710" s="190"/>
    </row>
    <row r="711" spans="1:4" ht="12.75">
      <c r="A711" s="188"/>
      <c r="B711" s="190"/>
      <c r="C711" s="190"/>
      <c r="D711" s="190"/>
    </row>
    <row r="712" spans="1:4" ht="12.75">
      <c r="A712" s="188"/>
      <c r="B712" s="190"/>
      <c r="C712" s="190"/>
      <c r="D712" s="190"/>
    </row>
    <row r="713" spans="1:4" ht="12.75">
      <c r="A713" s="188"/>
      <c r="B713" s="190"/>
      <c r="C713" s="190"/>
      <c r="D713" s="190"/>
    </row>
    <row r="714" spans="1:4" ht="12.75">
      <c r="A714" s="188"/>
      <c r="B714" s="190"/>
      <c r="C714" s="190"/>
      <c r="D714" s="190"/>
    </row>
    <row r="715" spans="1:4" ht="12.75">
      <c r="A715" s="188"/>
      <c r="B715" s="190"/>
      <c r="C715" s="190"/>
      <c r="D715" s="190"/>
    </row>
    <row r="716" spans="1:4" ht="12.75">
      <c r="A716" s="188"/>
      <c r="B716" s="190"/>
      <c r="C716" s="190"/>
      <c r="D716" s="190"/>
    </row>
    <row r="717" spans="1:4" ht="12.75">
      <c r="A717" s="188"/>
      <c r="B717" s="190"/>
      <c r="C717" s="190"/>
      <c r="D717" s="190"/>
    </row>
    <row r="718" spans="1:4" ht="12.75">
      <c r="A718" s="188"/>
      <c r="B718" s="190"/>
      <c r="C718" s="190"/>
      <c r="D718" s="190"/>
    </row>
    <row r="719" spans="1:4" ht="12.75">
      <c r="A719" s="188"/>
      <c r="B719" s="190"/>
      <c r="C719" s="190"/>
      <c r="D719" s="190"/>
    </row>
    <row r="720" spans="1:4" ht="12.75">
      <c r="A720" s="188"/>
      <c r="B720" s="190"/>
      <c r="C720" s="190"/>
      <c r="D720" s="190"/>
    </row>
    <row r="721" spans="1:4" ht="12.75">
      <c r="A721" s="188"/>
      <c r="B721" s="190"/>
      <c r="C721" s="190"/>
      <c r="D721" s="190"/>
    </row>
    <row r="722" spans="1:4" ht="12.75">
      <c r="A722" s="188"/>
      <c r="B722" s="190"/>
      <c r="C722" s="190"/>
      <c r="D722" s="190"/>
    </row>
    <row r="723" spans="1:4" ht="12.75">
      <c r="A723" s="188"/>
      <c r="B723" s="190"/>
      <c r="C723" s="190"/>
      <c r="D723" s="190"/>
    </row>
    <row r="724" spans="1:4" ht="12.75">
      <c r="A724" s="188"/>
      <c r="B724" s="190"/>
      <c r="C724" s="190"/>
      <c r="D724" s="190"/>
    </row>
    <row r="725" spans="1:4" ht="12.75">
      <c r="A725" s="188"/>
      <c r="B725" s="190"/>
      <c r="C725" s="190"/>
      <c r="D725" s="190"/>
    </row>
    <row r="726" spans="1:4" ht="12.75">
      <c r="A726" s="188"/>
      <c r="B726" s="190"/>
      <c r="C726" s="190"/>
      <c r="D726" s="190"/>
    </row>
    <row r="727" spans="1:4" ht="12.75">
      <c r="A727" s="188"/>
      <c r="B727" s="190"/>
      <c r="C727" s="190"/>
      <c r="D727" s="190"/>
    </row>
    <row r="728" spans="1:4" ht="12.75">
      <c r="A728" s="188"/>
      <c r="B728" s="190"/>
      <c r="C728" s="190"/>
      <c r="D728" s="190"/>
    </row>
    <row r="729" spans="1:4" ht="12.75">
      <c r="A729" s="188"/>
      <c r="B729" s="190"/>
      <c r="C729" s="190"/>
      <c r="D729" s="190"/>
    </row>
    <row r="730" spans="1:4" ht="12.75">
      <c r="A730" s="188"/>
      <c r="B730" s="190"/>
      <c r="C730" s="190"/>
      <c r="D730" s="190"/>
    </row>
    <row r="731" spans="1:4" ht="12.75">
      <c r="A731" s="188"/>
      <c r="B731" s="190"/>
      <c r="C731" s="190"/>
      <c r="D731" s="190"/>
    </row>
    <row r="732" spans="1:4" ht="12.75">
      <c r="A732" s="188"/>
      <c r="B732" s="190"/>
      <c r="C732" s="190"/>
      <c r="D732" s="190"/>
    </row>
    <row r="733" spans="1:4" ht="12.75">
      <c r="A733" s="188"/>
      <c r="B733" s="190"/>
      <c r="C733" s="190"/>
      <c r="D733" s="190"/>
    </row>
    <row r="734" spans="1:4" ht="12.75">
      <c r="A734" s="188"/>
      <c r="B734" s="190"/>
      <c r="C734" s="190"/>
      <c r="D734" s="190"/>
    </row>
    <row r="735" spans="1:4" ht="12.75">
      <c r="A735" s="188"/>
      <c r="B735" s="190"/>
      <c r="C735" s="190"/>
      <c r="D735" s="190"/>
    </row>
    <row r="736" spans="1:4" ht="12.75">
      <c r="A736" s="188"/>
      <c r="B736" s="190"/>
      <c r="C736" s="190"/>
      <c r="D736" s="190"/>
    </row>
    <row r="737" spans="1:4" ht="12.75">
      <c r="A737" s="188"/>
      <c r="B737" s="190"/>
      <c r="C737" s="190"/>
      <c r="D737" s="190"/>
    </row>
    <row r="738" spans="1:4" ht="12.75">
      <c r="A738" s="188"/>
      <c r="B738" s="190"/>
      <c r="C738" s="190"/>
      <c r="D738" s="190"/>
    </row>
    <row r="739" spans="1:4" ht="12.75">
      <c r="A739" s="188"/>
      <c r="B739" s="190"/>
      <c r="C739" s="190"/>
      <c r="D739" s="190"/>
    </row>
    <row r="740" spans="1:4" ht="12.75">
      <c r="A740" s="188"/>
      <c r="B740" s="190"/>
      <c r="C740" s="190"/>
      <c r="D740" s="190"/>
    </row>
    <row r="741" spans="1:4" ht="12.75">
      <c r="A741" s="188"/>
      <c r="B741" s="190"/>
      <c r="C741" s="190"/>
      <c r="D741" s="190"/>
    </row>
    <row r="742" spans="1:4" ht="12.75">
      <c r="A742" s="188"/>
      <c r="B742" s="190"/>
      <c r="C742" s="190"/>
      <c r="D742" s="190"/>
    </row>
    <row r="743" spans="1:4" ht="12.75">
      <c r="A743" s="188"/>
      <c r="B743" s="190"/>
      <c r="C743" s="190"/>
      <c r="D743" s="190"/>
    </row>
    <row r="744" spans="1:4" ht="12.75">
      <c r="A744" s="188"/>
      <c r="B744" s="190"/>
      <c r="C744" s="190"/>
      <c r="D744" s="190"/>
    </row>
    <row r="745" spans="1:4" ht="12.75">
      <c r="A745" s="188"/>
      <c r="B745" s="190"/>
      <c r="C745" s="190"/>
      <c r="D745" s="190"/>
    </row>
    <row r="746" spans="1:4" ht="12.75">
      <c r="A746" s="188"/>
      <c r="B746" s="190"/>
      <c r="C746" s="190"/>
      <c r="D746" s="190"/>
    </row>
    <row r="747" spans="1:4" ht="12.75">
      <c r="A747" s="188"/>
      <c r="B747" s="190"/>
      <c r="C747" s="190"/>
      <c r="D747" s="190"/>
    </row>
    <row r="748" spans="1:4" ht="12.75">
      <c r="A748" s="188"/>
      <c r="B748" s="190"/>
      <c r="C748" s="190"/>
      <c r="D748" s="190"/>
    </row>
    <row r="749" spans="1:4" ht="12.75">
      <c r="A749" s="188"/>
      <c r="B749" s="190"/>
      <c r="C749" s="190"/>
      <c r="D749" s="190"/>
    </row>
    <row r="750" spans="1:4" ht="12.75">
      <c r="A750" s="188"/>
      <c r="B750" s="190"/>
      <c r="C750" s="190"/>
      <c r="D750" s="190"/>
    </row>
    <row r="751" spans="1:4" ht="12.75">
      <c r="A751" s="188"/>
      <c r="B751" s="190"/>
      <c r="C751" s="190"/>
      <c r="D751" s="190"/>
    </row>
    <row r="752" spans="1:4" ht="12.75">
      <c r="A752" s="188"/>
      <c r="B752" s="190"/>
      <c r="C752" s="190"/>
      <c r="D752" s="190"/>
    </row>
    <row r="753" spans="1:4" ht="12.75">
      <c r="A753" s="188"/>
      <c r="B753" s="190"/>
      <c r="C753" s="190"/>
      <c r="D753" s="190"/>
    </row>
    <row r="754" spans="1:4" ht="12.75">
      <c r="A754" s="188"/>
      <c r="B754" s="190"/>
      <c r="C754" s="190"/>
      <c r="D754" s="190"/>
    </row>
    <row r="755" spans="1:4" ht="12.75">
      <c r="A755" s="188"/>
      <c r="B755" s="190"/>
      <c r="C755" s="190"/>
      <c r="D755" s="190"/>
    </row>
    <row r="756" spans="1:4" ht="12.75">
      <c r="A756" s="188"/>
      <c r="B756" s="190"/>
      <c r="C756" s="190"/>
      <c r="D756" s="190"/>
    </row>
    <row r="757" spans="1:4" ht="12.75">
      <c r="A757" s="188"/>
      <c r="B757" s="190"/>
      <c r="C757" s="190"/>
      <c r="D757" s="190"/>
    </row>
    <row r="758" spans="1:4" ht="12.75">
      <c r="A758" s="188"/>
      <c r="B758" s="190"/>
      <c r="C758" s="190"/>
      <c r="D758" s="190"/>
    </row>
    <row r="759" spans="1:4" ht="12.75">
      <c r="A759" s="188"/>
      <c r="B759" s="190"/>
      <c r="C759" s="190"/>
      <c r="D759" s="190"/>
    </row>
    <row r="760" spans="1:4" ht="12.75">
      <c r="A760" s="188"/>
      <c r="B760" s="190"/>
      <c r="C760" s="190"/>
      <c r="D760" s="190"/>
    </row>
    <row r="761" spans="1:4" ht="12.75">
      <c r="A761" s="188"/>
      <c r="B761" s="190"/>
      <c r="C761" s="190"/>
      <c r="D761" s="190"/>
    </row>
    <row r="762" spans="1:4" ht="12.75">
      <c r="A762" s="188"/>
      <c r="B762" s="190"/>
      <c r="C762" s="190"/>
      <c r="D762" s="190"/>
    </row>
    <row r="763" spans="1:4" ht="12.75">
      <c r="A763" s="188"/>
      <c r="B763" s="190"/>
      <c r="C763" s="190"/>
      <c r="D763" s="190"/>
    </row>
    <row r="764" spans="1:4" ht="12.75">
      <c r="A764" s="188"/>
      <c r="B764" s="190"/>
      <c r="C764" s="190"/>
      <c r="D764" s="190"/>
    </row>
    <row r="765" spans="1:4" ht="12.75">
      <c r="A765" s="188"/>
      <c r="B765" s="190"/>
      <c r="C765" s="190"/>
      <c r="D765" s="190"/>
    </row>
    <row r="766" spans="1:4" ht="12.75">
      <c r="A766" s="188"/>
      <c r="B766" s="190"/>
      <c r="C766" s="190"/>
      <c r="D766" s="190"/>
    </row>
    <row r="767" spans="1:4" ht="12.75">
      <c r="A767" s="188"/>
      <c r="B767" s="190"/>
      <c r="C767" s="190"/>
      <c r="D767" s="190"/>
    </row>
    <row r="768" spans="1:4" ht="12.75">
      <c r="A768" s="188"/>
      <c r="B768" s="190"/>
      <c r="C768" s="190"/>
      <c r="D768" s="190"/>
    </row>
    <row r="769" spans="1:4" ht="12.75">
      <c r="A769" s="188"/>
      <c r="B769" s="190"/>
      <c r="C769" s="190"/>
      <c r="D769" s="190"/>
    </row>
    <row r="770" spans="1:4" ht="12.75">
      <c r="A770" s="188"/>
      <c r="B770" s="190"/>
      <c r="C770" s="190"/>
      <c r="D770" s="190"/>
    </row>
    <row r="771" spans="1:4" ht="12.75">
      <c r="A771" s="188"/>
      <c r="B771" s="190"/>
      <c r="C771" s="190"/>
      <c r="D771" s="190"/>
    </row>
    <row r="772" spans="1:4" ht="12.75">
      <c r="A772" s="188"/>
      <c r="B772" s="190"/>
      <c r="C772" s="190"/>
      <c r="D772" s="190"/>
    </row>
    <row r="773" spans="1:4" ht="12.75">
      <c r="A773" s="188"/>
      <c r="B773" s="190"/>
      <c r="C773" s="190"/>
      <c r="D773" s="190"/>
    </row>
    <row r="774" spans="1:4" ht="12.75">
      <c r="A774" s="188"/>
      <c r="B774" s="190"/>
      <c r="C774" s="190"/>
      <c r="D774" s="190"/>
    </row>
    <row r="775" spans="1:4" ht="12.75">
      <c r="A775" s="188"/>
      <c r="B775" s="190"/>
      <c r="C775" s="190"/>
      <c r="D775" s="190"/>
    </row>
    <row r="776" spans="1:4" ht="12.75">
      <c r="A776" s="188"/>
      <c r="B776" s="190"/>
      <c r="C776" s="190"/>
      <c r="D776" s="190"/>
    </row>
    <row r="777" spans="1:4" ht="12.75">
      <c r="A777" s="188"/>
      <c r="B777" s="190"/>
      <c r="C777" s="190"/>
      <c r="D777" s="190"/>
    </row>
    <row r="778" spans="1:4" ht="12.75">
      <c r="A778" s="188"/>
      <c r="B778" s="190"/>
      <c r="C778" s="190"/>
      <c r="D778" s="190"/>
    </row>
    <row r="779" spans="1:4" ht="12.75">
      <c r="A779" s="188"/>
      <c r="B779" s="190"/>
      <c r="C779" s="190"/>
      <c r="D779" s="190"/>
    </row>
    <row r="780" spans="1:4" ht="12.75">
      <c r="A780" s="188"/>
      <c r="B780" s="190"/>
      <c r="C780" s="190"/>
      <c r="D780" s="190"/>
    </row>
    <row r="781" spans="1:4" ht="12.75">
      <c r="A781" s="188"/>
      <c r="B781" s="190"/>
      <c r="C781" s="190"/>
      <c r="D781" s="190"/>
    </row>
    <row r="782" spans="1:4" ht="12.75">
      <c r="A782" s="188"/>
      <c r="B782" s="190"/>
      <c r="C782" s="190"/>
      <c r="D782" s="190"/>
    </row>
    <row r="783" spans="1:4" ht="12.75">
      <c r="A783" s="188"/>
      <c r="B783" s="190"/>
      <c r="C783" s="190"/>
      <c r="D783" s="190"/>
    </row>
    <row r="784" spans="1:4" ht="12.75">
      <c r="A784" s="188"/>
      <c r="B784" s="190"/>
      <c r="C784" s="190"/>
      <c r="D784" s="190"/>
    </row>
    <row r="785" spans="1:4" ht="12.75">
      <c r="A785" s="188"/>
      <c r="B785" s="190"/>
      <c r="C785" s="190"/>
      <c r="D785" s="190"/>
    </row>
    <row r="786" spans="1:4" ht="12.75">
      <c r="A786" s="188"/>
      <c r="B786" s="190"/>
      <c r="C786" s="190"/>
      <c r="D786" s="190"/>
    </row>
    <row r="787" spans="1:4" ht="12.75">
      <c r="A787" s="188"/>
      <c r="B787" s="190"/>
      <c r="C787" s="190"/>
      <c r="D787" s="190"/>
    </row>
    <row r="788" spans="1:4" ht="12.75">
      <c r="A788" s="188"/>
      <c r="B788" s="190"/>
      <c r="C788" s="190"/>
      <c r="D788" s="190"/>
    </row>
    <row r="789" spans="1:4" ht="12.75">
      <c r="A789" s="188"/>
      <c r="B789" s="190"/>
      <c r="C789" s="190"/>
      <c r="D789" s="190"/>
    </row>
    <row r="790" spans="1:4" ht="12.75">
      <c r="A790" s="188"/>
      <c r="B790" s="190"/>
      <c r="C790" s="190"/>
      <c r="D790" s="190"/>
    </row>
    <row r="791" spans="1:4" ht="12.75">
      <c r="A791" s="188"/>
      <c r="B791" s="190"/>
      <c r="C791" s="190"/>
      <c r="D791" s="190"/>
    </row>
    <row r="792" spans="1:4" ht="12.75">
      <c r="A792" s="188"/>
      <c r="B792" s="190"/>
      <c r="C792" s="190"/>
      <c r="D792" s="190"/>
    </row>
    <row r="793" spans="1:4" ht="12.75">
      <c r="A793" s="188"/>
      <c r="B793" s="190"/>
      <c r="C793" s="190"/>
      <c r="D793" s="190"/>
    </row>
    <row r="794" spans="1:4" ht="12.75">
      <c r="A794" s="188"/>
      <c r="B794" s="190"/>
      <c r="C794" s="190"/>
      <c r="D794" s="190"/>
    </row>
    <row r="795" spans="1:4" ht="12.75">
      <c r="A795" s="188"/>
      <c r="B795" s="190"/>
      <c r="C795" s="190"/>
      <c r="D795" s="190"/>
    </row>
    <row r="796" spans="1:4" ht="12.75">
      <c r="A796" s="188"/>
      <c r="B796" s="190"/>
      <c r="C796" s="190"/>
      <c r="D796" s="190"/>
    </row>
    <row r="797" spans="1:4" ht="12.75">
      <c r="A797" s="188"/>
      <c r="B797" s="190"/>
      <c r="C797" s="190"/>
      <c r="D797" s="190"/>
    </row>
    <row r="798" spans="1:4" ht="12.75">
      <c r="A798" s="188"/>
      <c r="B798" s="190"/>
      <c r="C798" s="190"/>
      <c r="D798" s="190"/>
    </row>
    <row r="799" spans="1:4" ht="12.75">
      <c r="A799" s="188"/>
      <c r="B799" s="190"/>
      <c r="C799" s="190"/>
      <c r="D799" s="190"/>
    </row>
    <row r="800" spans="1:4" ht="12.75">
      <c r="A800" s="188"/>
      <c r="B800" s="190"/>
      <c r="C800" s="190"/>
      <c r="D800" s="190"/>
    </row>
    <row r="801" spans="1:4" ht="12.75">
      <c r="A801" s="188"/>
      <c r="B801" s="190"/>
      <c r="C801" s="190"/>
      <c r="D801" s="190"/>
    </row>
    <row r="802" spans="1:4" ht="12.75">
      <c r="A802" s="188"/>
      <c r="B802" s="190"/>
      <c r="C802" s="190"/>
      <c r="D802" s="190"/>
    </row>
    <row r="803" spans="1:4" ht="12.75">
      <c r="A803" s="188"/>
      <c r="B803" s="190"/>
      <c r="C803" s="190"/>
      <c r="D803" s="190"/>
    </row>
    <row r="804" spans="1:4" ht="12.75">
      <c r="A804" s="188"/>
      <c r="B804" s="190"/>
      <c r="C804" s="190"/>
      <c r="D804" s="190"/>
    </row>
    <row r="805" spans="1:4" ht="12.75">
      <c r="A805" s="188"/>
      <c r="B805" s="190"/>
      <c r="C805" s="190"/>
      <c r="D805" s="190"/>
    </row>
    <row r="806" spans="1:4" ht="12.75">
      <c r="A806" s="188"/>
      <c r="B806" s="190"/>
      <c r="C806" s="190"/>
      <c r="D806" s="190"/>
    </row>
    <row r="807" spans="1:4" ht="12.75">
      <c r="A807" s="188"/>
      <c r="B807" s="190"/>
      <c r="C807" s="190"/>
      <c r="D807" s="190"/>
    </row>
    <row r="808" spans="1:4" ht="12.75">
      <c r="A808" s="188"/>
      <c r="B808" s="190"/>
      <c r="C808" s="190"/>
      <c r="D808" s="190"/>
    </row>
    <row r="809" spans="1:4" ht="12.75">
      <c r="A809" s="188"/>
      <c r="B809" s="190"/>
      <c r="C809" s="190"/>
      <c r="D809" s="190"/>
    </row>
    <row r="810" spans="1:4" ht="12.75">
      <c r="A810" s="188"/>
      <c r="B810" s="190"/>
      <c r="C810" s="190"/>
      <c r="D810" s="190"/>
    </row>
    <row r="811" spans="1:4" ht="12.75">
      <c r="A811" s="188"/>
      <c r="B811" s="190"/>
      <c r="C811" s="190"/>
      <c r="D811" s="190"/>
    </row>
    <row r="812" spans="1:4" ht="12.75">
      <c r="A812" s="188"/>
      <c r="B812" s="190"/>
      <c r="C812" s="190"/>
      <c r="D812" s="190"/>
    </row>
    <row r="813" spans="1:4" ht="12.75">
      <c r="A813" s="188"/>
      <c r="B813" s="190"/>
      <c r="C813" s="190"/>
      <c r="D813" s="190"/>
    </row>
    <row r="814" spans="1:4" ht="12.75">
      <c r="A814" s="188"/>
      <c r="B814" s="190"/>
      <c r="C814" s="190"/>
      <c r="D814" s="190"/>
    </row>
    <row r="815" spans="1:4" ht="12.75">
      <c r="A815" s="188"/>
      <c r="B815" s="190"/>
      <c r="C815" s="190"/>
      <c r="D815" s="190"/>
    </row>
    <row r="816" spans="1:4" ht="12.75">
      <c r="A816" s="188"/>
      <c r="B816" s="190"/>
      <c r="C816" s="190"/>
      <c r="D816" s="190"/>
    </row>
    <row r="817" spans="1:4" ht="12.75">
      <c r="A817" s="188"/>
      <c r="B817" s="190"/>
      <c r="C817" s="190"/>
      <c r="D817" s="190"/>
    </row>
    <row r="818" spans="1:4" ht="12.75">
      <c r="A818" s="188"/>
      <c r="B818" s="190"/>
      <c r="C818" s="190"/>
      <c r="D818" s="190"/>
    </row>
    <row r="819" spans="1:4" ht="12.75">
      <c r="A819" s="188"/>
      <c r="B819" s="190"/>
      <c r="C819" s="190"/>
      <c r="D819" s="190"/>
    </row>
    <row r="820" spans="1:4" ht="12.75">
      <c r="A820" s="188"/>
      <c r="B820" s="190"/>
      <c r="C820" s="190"/>
      <c r="D820" s="190"/>
    </row>
    <row r="821" spans="1:4" ht="12.75">
      <c r="A821" s="188"/>
      <c r="B821" s="190"/>
      <c r="C821" s="190"/>
      <c r="D821" s="190"/>
    </row>
    <row r="822" spans="1:4" ht="12.75">
      <c r="A822" s="188"/>
      <c r="B822" s="190"/>
      <c r="C822" s="190"/>
      <c r="D822" s="190"/>
    </row>
    <row r="823" spans="1:4" ht="12.75">
      <c r="A823" s="188"/>
      <c r="B823" s="190"/>
      <c r="C823" s="190"/>
      <c r="D823" s="190"/>
    </row>
    <row r="824" spans="1:4" ht="12.75">
      <c r="A824" s="188"/>
      <c r="B824" s="190"/>
      <c r="C824" s="190"/>
      <c r="D824" s="190"/>
    </row>
    <row r="825" spans="1:4" ht="12.75">
      <c r="A825" s="188"/>
      <c r="B825" s="190"/>
      <c r="C825" s="190"/>
      <c r="D825" s="190"/>
    </row>
    <row r="826" spans="1:4" ht="12.75">
      <c r="A826" s="188"/>
      <c r="B826" s="190"/>
      <c r="C826" s="190"/>
      <c r="D826" s="190"/>
    </row>
    <row r="827" spans="1:4" ht="12.75">
      <c r="A827" s="188"/>
      <c r="B827" s="190"/>
      <c r="C827" s="190"/>
      <c r="D827" s="190"/>
    </row>
    <row r="828" spans="1:4" ht="12.75">
      <c r="A828" s="188"/>
      <c r="B828" s="190"/>
      <c r="C828" s="190"/>
      <c r="D828" s="190"/>
    </row>
    <row r="829" spans="1:4" ht="12.75">
      <c r="A829" s="188"/>
      <c r="B829" s="190"/>
      <c r="C829" s="190"/>
      <c r="D829" s="190"/>
    </row>
    <row r="830" spans="1:4" ht="12.75">
      <c r="A830" s="188"/>
      <c r="B830" s="190"/>
      <c r="C830" s="190"/>
      <c r="D830" s="190"/>
    </row>
    <row r="831" spans="1:4" ht="12.75">
      <c r="A831" s="188"/>
      <c r="B831" s="190"/>
      <c r="C831" s="190"/>
      <c r="D831" s="190"/>
    </row>
    <row r="832" spans="1:4" ht="12.75">
      <c r="A832" s="188"/>
      <c r="B832" s="190"/>
      <c r="C832" s="190"/>
      <c r="D832" s="190"/>
    </row>
    <row r="833" spans="1:4" ht="12.75">
      <c r="A833" s="188"/>
      <c r="B833" s="190"/>
      <c r="C833" s="190"/>
      <c r="D833" s="190"/>
    </row>
    <row r="834" spans="1:4" ht="12.75">
      <c r="A834" s="188"/>
      <c r="B834" s="190"/>
      <c r="C834" s="190"/>
      <c r="D834" s="190"/>
    </row>
    <row r="835" spans="1:4" ht="12.75">
      <c r="A835" s="188"/>
      <c r="B835" s="190"/>
      <c r="C835" s="190"/>
      <c r="D835" s="190"/>
    </row>
    <row r="836" spans="1:4" ht="12.75">
      <c r="A836" s="188"/>
      <c r="B836" s="190"/>
      <c r="C836" s="190"/>
      <c r="D836" s="190"/>
    </row>
    <row r="837" spans="1:4" ht="12.75">
      <c r="A837" s="188"/>
      <c r="B837" s="190"/>
      <c r="C837" s="190"/>
      <c r="D837" s="190"/>
    </row>
    <row r="838" spans="1:4" ht="12.75">
      <c r="A838" s="188"/>
      <c r="B838" s="190"/>
      <c r="C838" s="190"/>
      <c r="D838" s="190"/>
    </row>
    <row r="839" spans="1:4" ht="12.75">
      <c r="A839" s="188"/>
      <c r="B839" s="190"/>
      <c r="C839" s="190"/>
      <c r="D839" s="190"/>
    </row>
    <row r="840" spans="1:4" ht="12.75">
      <c r="A840" s="188"/>
      <c r="B840" s="190"/>
      <c r="C840" s="190"/>
      <c r="D840" s="190"/>
    </row>
    <row r="841" spans="1:4" ht="12.75">
      <c r="A841" s="188"/>
      <c r="B841" s="190"/>
      <c r="C841" s="190"/>
      <c r="D841" s="190"/>
    </row>
    <row r="842" spans="1:4" ht="12.75">
      <c r="A842" s="188"/>
      <c r="B842" s="190"/>
      <c r="C842" s="190"/>
      <c r="D842" s="190"/>
    </row>
    <row r="843" spans="1:4" ht="12.75">
      <c r="A843" s="188"/>
      <c r="B843" s="190"/>
      <c r="C843" s="190"/>
      <c r="D843" s="190"/>
    </row>
    <row r="844" spans="1:4" ht="12.75">
      <c r="A844" s="188"/>
      <c r="B844" s="190"/>
      <c r="C844" s="190"/>
      <c r="D844" s="190"/>
    </row>
    <row r="845" spans="1:4" ht="12.75">
      <c r="A845" s="188"/>
      <c r="B845" s="190"/>
      <c r="C845" s="190"/>
      <c r="D845" s="190"/>
    </row>
    <row r="846" spans="1:4" ht="12.75">
      <c r="A846" s="188"/>
      <c r="B846" s="190"/>
      <c r="C846" s="190"/>
      <c r="D846" s="190"/>
    </row>
    <row r="847" spans="1:4" ht="12.75">
      <c r="A847" s="188"/>
      <c r="B847" s="190"/>
      <c r="C847" s="190"/>
      <c r="D847" s="190"/>
    </row>
    <row r="848" spans="1:4" ht="12.75">
      <c r="A848" s="188"/>
      <c r="B848" s="190"/>
      <c r="C848" s="190"/>
      <c r="D848" s="190"/>
    </row>
    <row r="849" spans="1:4" ht="12.75">
      <c r="A849" s="188"/>
      <c r="B849" s="190"/>
      <c r="C849" s="190"/>
      <c r="D849" s="190"/>
    </row>
    <row r="850" spans="1:4" ht="12.75">
      <c r="A850" s="188"/>
      <c r="B850" s="190"/>
      <c r="C850" s="190"/>
      <c r="D850" s="190"/>
    </row>
    <row r="851" spans="1:4" ht="12.75">
      <c r="A851" s="188"/>
      <c r="B851" s="190"/>
      <c r="C851" s="190"/>
      <c r="D851" s="190"/>
    </row>
    <row r="852" spans="1:4" ht="12.75">
      <c r="A852" s="188"/>
      <c r="B852" s="190"/>
      <c r="C852" s="190"/>
      <c r="D852" s="190"/>
    </row>
    <row r="853" spans="1:4" ht="12.75">
      <c r="A853" s="188"/>
      <c r="B853" s="190"/>
      <c r="C853" s="190"/>
      <c r="D853" s="190"/>
    </row>
    <row r="854" spans="1:4" ht="12.75">
      <c r="A854" s="188"/>
      <c r="B854" s="190"/>
      <c r="C854" s="190"/>
      <c r="D854" s="190"/>
    </row>
    <row r="855" spans="1:4" ht="12.75">
      <c r="A855" s="188"/>
      <c r="B855" s="190"/>
      <c r="C855" s="190"/>
      <c r="D855" s="190"/>
    </row>
    <row r="856" spans="1:4" ht="12.75">
      <c r="A856" s="188"/>
      <c r="B856" s="190"/>
      <c r="C856" s="190"/>
      <c r="D856" s="190"/>
    </row>
    <row r="857" spans="1:4" ht="12.75">
      <c r="A857" s="188"/>
      <c r="B857" s="190"/>
      <c r="C857" s="190"/>
      <c r="D857" s="190"/>
    </row>
    <row r="858" spans="1:4" ht="12.75">
      <c r="A858" s="188"/>
      <c r="B858" s="190"/>
      <c r="C858" s="190"/>
      <c r="D858" s="190"/>
    </row>
    <row r="859" spans="1:4" ht="12.75">
      <c r="A859" s="188"/>
      <c r="B859" s="190"/>
      <c r="C859" s="190"/>
      <c r="D859" s="190"/>
    </row>
    <row r="860" spans="1:4" ht="12.75">
      <c r="A860" s="188"/>
      <c r="B860" s="190"/>
      <c r="C860" s="190"/>
      <c r="D860" s="190"/>
    </row>
    <row r="861" spans="1:4" ht="12.75">
      <c r="A861" s="188"/>
      <c r="B861" s="190"/>
      <c r="C861" s="190"/>
      <c r="D861" s="190"/>
    </row>
    <row r="862" spans="1:4" ht="12.75">
      <c r="A862" s="188"/>
      <c r="B862" s="190"/>
      <c r="C862" s="190"/>
      <c r="D862" s="190"/>
    </row>
    <row r="863" spans="1:4" ht="12.75">
      <c r="A863" s="188"/>
      <c r="B863" s="190"/>
      <c r="C863" s="190"/>
      <c r="D863" s="190"/>
    </row>
    <row r="864" spans="1:4" ht="12.75">
      <c r="A864" s="188"/>
      <c r="B864" s="190"/>
      <c r="C864" s="190"/>
      <c r="D864" s="190"/>
    </row>
    <row r="865" spans="1:4" ht="12.75">
      <c r="A865" s="188"/>
      <c r="B865" s="190"/>
      <c r="C865" s="190"/>
      <c r="D865" s="190"/>
    </row>
    <row r="866" spans="1:4" ht="12.75">
      <c r="A866" s="188"/>
      <c r="B866" s="190"/>
      <c r="C866" s="190"/>
      <c r="D866" s="190"/>
    </row>
    <row r="867" spans="1:4" ht="12.75">
      <c r="A867" s="188"/>
      <c r="B867" s="190"/>
      <c r="C867" s="190"/>
      <c r="D867" s="190"/>
    </row>
    <row r="868" spans="1:4" ht="12.75">
      <c r="A868" s="188"/>
      <c r="B868" s="190"/>
      <c r="C868" s="190"/>
      <c r="D868" s="190"/>
    </row>
    <row r="869" spans="1:4" ht="12.75">
      <c r="A869" s="188"/>
      <c r="B869" s="190"/>
      <c r="C869" s="190"/>
      <c r="D869" s="190"/>
    </row>
    <row r="870" spans="1:4" ht="12.75">
      <c r="A870" s="188"/>
      <c r="B870" s="190"/>
      <c r="C870" s="190"/>
      <c r="D870" s="190"/>
    </row>
    <row r="871" spans="1:4" ht="12.75">
      <c r="A871" s="188"/>
      <c r="B871" s="190"/>
      <c r="C871" s="190"/>
      <c r="D871" s="190"/>
    </row>
    <row r="872" spans="1:4" ht="12.75">
      <c r="A872" s="188"/>
      <c r="B872" s="190"/>
      <c r="C872" s="190"/>
      <c r="D872" s="190"/>
    </row>
    <row r="873" spans="1:4" ht="12.75">
      <c r="A873" s="188"/>
      <c r="B873" s="190"/>
      <c r="C873" s="190"/>
      <c r="D873" s="190"/>
    </row>
    <row r="874" spans="1:4" ht="12.75">
      <c r="A874" s="188"/>
      <c r="B874" s="190"/>
      <c r="C874" s="190"/>
      <c r="D874" s="190"/>
    </row>
    <row r="875" spans="1:4" ht="12.75">
      <c r="A875" s="188"/>
      <c r="B875" s="190"/>
      <c r="C875" s="190"/>
      <c r="D875" s="190"/>
    </row>
    <row r="876" spans="1:4" ht="12.75">
      <c r="A876" s="188"/>
      <c r="B876" s="190"/>
      <c r="C876" s="190"/>
      <c r="D876" s="190"/>
    </row>
    <row r="877" spans="1:4" ht="12.75">
      <c r="A877" s="188"/>
      <c r="B877" s="190"/>
      <c r="C877" s="190"/>
      <c r="D877" s="190"/>
    </row>
    <row r="878" spans="1:4" ht="12.75">
      <c r="A878" s="188"/>
      <c r="B878" s="190"/>
      <c r="C878" s="190"/>
      <c r="D878" s="190"/>
    </row>
    <row r="879" spans="1:4" ht="12.75">
      <c r="A879" s="188"/>
      <c r="B879" s="190"/>
      <c r="C879" s="190"/>
      <c r="D879" s="190"/>
    </row>
    <row r="880" spans="1:4" ht="12.75">
      <c r="A880" s="188"/>
      <c r="B880" s="190"/>
      <c r="C880" s="190"/>
      <c r="D880" s="190"/>
    </row>
    <row r="881" spans="1:4" ht="12.75">
      <c r="A881" s="188"/>
      <c r="B881" s="190"/>
      <c r="C881" s="190"/>
      <c r="D881" s="190"/>
    </row>
    <row r="882" spans="1:4" ht="12.75">
      <c r="A882" s="188"/>
      <c r="B882" s="190"/>
      <c r="C882" s="190"/>
      <c r="D882" s="190"/>
    </row>
    <row r="883" spans="1:4" ht="12.75">
      <c r="A883" s="188"/>
      <c r="B883" s="190"/>
      <c r="C883" s="190"/>
      <c r="D883" s="190"/>
    </row>
    <row r="884" spans="1:4" ht="12.75">
      <c r="A884" s="188"/>
      <c r="B884" s="190"/>
      <c r="C884" s="190"/>
      <c r="D884" s="190"/>
    </row>
    <row r="885" spans="1:4" ht="12.75">
      <c r="A885" s="188"/>
      <c r="B885" s="190"/>
      <c r="C885" s="190"/>
      <c r="D885" s="190"/>
    </row>
    <row r="886" spans="1:4" ht="12.75">
      <c r="A886" s="188"/>
      <c r="B886" s="190"/>
      <c r="C886" s="190"/>
      <c r="D886" s="190"/>
    </row>
    <row r="887" spans="1:4" ht="12.75">
      <c r="A887" s="188"/>
      <c r="B887" s="190"/>
      <c r="C887" s="190"/>
      <c r="D887" s="190"/>
    </row>
    <row r="888" spans="1:4" ht="12.75">
      <c r="A888" s="188"/>
      <c r="B888" s="190"/>
      <c r="C888" s="190"/>
      <c r="D888" s="190"/>
    </row>
    <row r="889" spans="1:4" ht="12.75">
      <c r="A889" s="188"/>
      <c r="B889" s="190"/>
      <c r="C889" s="190"/>
      <c r="D889" s="190"/>
    </row>
    <row r="890" spans="1:4" ht="12.75">
      <c r="A890" s="188"/>
      <c r="B890" s="190"/>
      <c r="C890" s="190"/>
      <c r="D890" s="190"/>
    </row>
    <row r="891" spans="1:4" ht="12.75">
      <c r="A891" s="188"/>
      <c r="B891" s="190"/>
      <c r="C891" s="190"/>
      <c r="D891" s="190"/>
    </row>
    <row r="892" spans="1:4" ht="12.75">
      <c r="A892" s="188"/>
      <c r="B892" s="190"/>
      <c r="C892" s="190"/>
      <c r="D892" s="190"/>
    </row>
    <row r="893" spans="1:4" ht="12.75">
      <c r="A893" s="188"/>
      <c r="B893" s="190"/>
      <c r="C893" s="190"/>
      <c r="D893" s="190"/>
    </row>
    <row r="894" spans="1:4" ht="12.75">
      <c r="A894" s="188"/>
      <c r="B894" s="190"/>
      <c r="C894" s="190"/>
      <c r="D894" s="190"/>
    </row>
    <row r="895" spans="1:4" ht="12.75">
      <c r="A895" s="188"/>
      <c r="B895" s="190"/>
      <c r="C895" s="190"/>
      <c r="D895" s="190"/>
    </row>
    <row r="896" spans="1:4" ht="12.75">
      <c r="A896" s="188"/>
      <c r="B896" s="190"/>
      <c r="C896" s="190"/>
      <c r="D896" s="190"/>
    </row>
    <row r="897" spans="1:4" ht="12.75">
      <c r="A897" s="188"/>
      <c r="B897" s="190"/>
      <c r="C897" s="190"/>
      <c r="D897" s="190"/>
    </row>
    <row r="898" spans="1:4" ht="12.75">
      <c r="A898" s="188"/>
      <c r="B898" s="190"/>
      <c r="C898" s="190"/>
      <c r="D898" s="190"/>
    </row>
    <row r="899" spans="1:4" ht="12.75">
      <c r="A899" s="188"/>
      <c r="B899" s="190"/>
      <c r="C899" s="190"/>
      <c r="D899" s="190"/>
    </row>
    <row r="900" spans="1:4" ht="12.75">
      <c r="A900" s="188"/>
      <c r="B900" s="190"/>
      <c r="C900" s="190"/>
      <c r="D900" s="190"/>
    </row>
    <row r="901" spans="1:4" ht="12.75">
      <c r="A901" s="188"/>
      <c r="B901" s="190"/>
      <c r="C901" s="190"/>
      <c r="D901" s="190"/>
    </row>
    <row r="902" spans="1:4" ht="12.75">
      <c r="A902" s="188"/>
      <c r="B902" s="190"/>
      <c r="C902" s="190"/>
      <c r="D902" s="190"/>
    </row>
    <row r="903" spans="1:4" ht="12.75">
      <c r="A903" s="188"/>
      <c r="B903" s="190"/>
      <c r="C903" s="190"/>
      <c r="D903" s="190"/>
    </row>
    <row r="904" spans="1:4" ht="12.75">
      <c r="A904" s="188"/>
      <c r="B904" s="190"/>
      <c r="C904" s="190"/>
      <c r="D904" s="190"/>
    </row>
    <row r="905" spans="1:4" ht="12.75">
      <c r="A905" s="188"/>
      <c r="B905" s="190"/>
      <c r="C905" s="190"/>
      <c r="D905" s="190"/>
    </row>
    <row r="906" spans="1:4" ht="12.75">
      <c r="A906" s="188"/>
      <c r="B906" s="190"/>
      <c r="C906" s="190"/>
      <c r="D906" s="190"/>
    </row>
    <row r="907" spans="1:4" ht="12.75">
      <c r="A907" s="188"/>
      <c r="B907" s="190"/>
      <c r="C907" s="190"/>
      <c r="D907" s="190"/>
    </row>
    <row r="908" spans="1:4" ht="12.75">
      <c r="A908" s="188"/>
      <c r="B908" s="190"/>
      <c r="C908" s="190"/>
      <c r="D908" s="190"/>
    </row>
    <row r="909" spans="1:4" ht="12.75">
      <c r="A909" s="188"/>
      <c r="B909" s="190"/>
      <c r="C909" s="190"/>
      <c r="D909" s="190"/>
    </row>
    <row r="910" spans="1:4" ht="12.75">
      <c r="A910" s="188"/>
      <c r="B910" s="190"/>
      <c r="C910" s="190"/>
      <c r="D910" s="190"/>
    </row>
    <row r="911" spans="1:4" ht="12.75">
      <c r="A911" s="188"/>
      <c r="B911" s="190"/>
      <c r="C911" s="190"/>
      <c r="D911" s="190"/>
    </row>
    <row r="912" spans="1:4" ht="12.75">
      <c r="A912" s="188"/>
      <c r="B912" s="190"/>
      <c r="C912" s="190"/>
      <c r="D912" s="190"/>
    </row>
    <row r="913" spans="1:4" ht="12.75">
      <c r="A913" s="188"/>
      <c r="B913" s="190"/>
      <c r="C913" s="190"/>
      <c r="D913" s="190"/>
    </row>
    <row r="914" spans="1:4" ht="12.75">
      <c r="A914" s="188"/>
      <c r="B914" s="190"/>
      <c r="C914" s="190"/>
      <c r="D914" s="190"/>
    </row>
    <row r="915" spans="1:4" ht="12.75">
      <c r="A915" s="188"/>
      <c r="B915" s="190"/>
      <c r="C915" s="190"/>
      <c r="D915" s="190"/>
    </row>
    <row r="916" spans="1:4" ht="12.75">
      <c r="A916" s="188"/>
      <c r="B916" s="190"/>
      <c r="C916" s="190"/>
      <c r="D916" s="190"/>
    </row>
    <row r="917" spans="1:4" ht="12.75">
      <c r="A917" s="188"/>
      <c r="B917" s="190"/>
      <c r="C917" s="190"/>
      <c r="D917" s="190"/>
    </row>
    <row r="918" spans="1:4" ht="12.75">
      <c r="A918" s="188"/>
      <c r="B918" s="190"/>
      <c r="C918" s="190"/>
      <c r="D918" s="190"/>
    </row>
    <row r="919" spans="1:4" ht="12.75">
      <c r="A919" s="188"/>
      <c r="B919" s="190"/>
      <c r="C919" s="190"/>
      <c r="D919" s="190"/>
    </row>
    <row r="920" spans="1:4" ht="12.75">
      <c r="A920" s="188"/>
      <c r="B920" s="190"/>
      <c r="C920" s="190"/>
      <c r="D920" s="190"/>
    </row>
    <row r="921" spans="1:4" ht="12.75">
      <c r="A921" s="188"/>
      <c r="B921" s="190"/>
      <c r="C921" s="190"/>
      <c r="D921" s="190"/>
    </row>
    <row r="922" spans="1:4" ht="12.75">
      <c r="A922" s="188"/>
      <c r="B922" s="190"/>
      <c r="C922" s="190"/>
      <c r="D922" s="190"/>
    </row>
    <row r="923" spans="1:4" ht="12.75">
      <c r="A923" s="188"/>
      <c r="B923" s="190"/>
      <c r="C923" s="190"/>
      <c r="D923" s="190"/>
    </row>
    <row r="924" spans="1:4" ht="12.75">
      <c r="A924" s="188"/>
      <c r="B924" s="190"/>
      <c r="C924" s="190"/>
      <c r="D924" s="190"/>
    </row>
    <row r="925" spans="1:4" ht="12.75">
      <c r="A925" s="188"/>
      <c r="B925" s="190"/>
      <c r="C925" s="190"/>
      <c r="D925" s="190"/>
    </row>
    <row r="926" spans="1:4" ht="12.75">
      <c r="A926" s="188"/>
      <c r="B926" s="190"/>
      <c r="C926" s="190"/>
      <c r="D926" s="190"/>
    </row>
    <row r="927" spans="1:4" ht="12.75">
      <c r="A927" s="188"/>
      <c r="B927" s="190"/>
      <c r="C927" s="190"/>
      <c r="D927" s="190"/>
    </row>
    <row r="928" spans="1:4" ht="12.75">
      <c r="A928" s="188"/>
      <c r="B928" s="190"/>
      <c r="C928" s="190"/>
      <c r="D928" s="190"/>
    </row>
    <row r="929" spans="1:4" ht="12.75">
      <c r="A929" s="188"/>
      <c r="B929" s="190"/>
      <c r="C929" s="190"/>
      <c r="D929" s="190"/>
    </row>
    <row r="930" spans="1:4" ht="12.75">
      <c r="A930" s="188"/>
      <c r="B930" s="190"/>
      <c r="C930" s="190"/>
      <c r="D930" s="190"/>
    </row>
    <row r="931" spans="1:4" ht="12.75">
      <c r="A931" s="188"/>
      <c r="B931" s="190"/>
      <c r="C931" s="190"/>
      <c r="D931" s="190"/>
    </row>
    <row r="932" spans="1:4" ht="12.75">
      <c r="A932" s="188"/>
      <c r="B932" s="190"/>
      <c r="C932" s="190"/>
      <c r="D932" s="190"/>
    </row>
    <row r="933" spans="1:4" ht="12.75">
      <c r="A933" s="188"/>
      <c r="B933" s="190"/>
      <c r="C933" s="190"/>
      <c r="D933" s="190"/>
    </row>
    <row r="934" spans="1:4" ht="12.75">
      <c r="A934" s="188"/>
      <c r="B934" s="190"/>
      <c r="C934" s="190"/>
      <c r="D934" s="190"/>
    </row>
    <row r="935" spans="1:4" ht="12.75">
      <c r="A935" s="188"/>
      <c r="B935" s="190"/>
      <c r="C935" s="190"/>
      <c r="D935" s="190"/>
    </row>
    <row r="936" spans="1:4" ht="12.75">
      <c r="A936" s="188"/>
      <c r="B936" s="190"/>
      <c r="C936" s="190"/>
      <c r="D936" s="190"/>
    </row>
    <row r="937" spans="1:4" ht="12.75">
      <c r="A937" s="188"/>
      <c r="B937" s="190"/>
      <c r="C937" s="190"/>
      <c r="D937" s="190"/>
    </row>
    <row r="938" spans="1:4" ht="12.75">
      <c r="A938" s="188"/>
      <c r="B938" s="190"/>
      <c r="C938" s="190"/>
      <c r="D938" s="190"/>
    </row>
    <row r="939" spans="1:4" ht="12.75">
      <c r="A939" s="188"/>
      <c r="B939" s="190"/>
      <c r="C939" s="190"/>
      <c r="D939" s="190"/>
    </row>
    <row r="940" spans="1:4" ht="12.75">
      <c r="A940" s="188"/>
      <c r="B940" s="190"/>
      <c r="C940" s="190"/>
      <c r="D940" s="190"/>
    </row>
    <row r="941" spans="1:4" ht="12.75">
      <c r="A941" s="188"/>
      <c r="B941" s="190"/>
      <c r="C941" s="190"/>
      <c r="D941" s="190"/>
    </row>
    <row r="942" spans="1:4" ht="12.75">
      <c r="A942" s="188"/>
      <c r="B942" s="190"/>
      <c r="C942" s="190"/>
      <c r="D942" s="190"/>
    </row>
    <row r="943" spans="1:4" ht="12.75">
      <c r="A943" s="188"/>
      <c r="B943" s="190"/>
      <c r="C943" s="190"/>
      <c r="D943" s="190"/>
    </row>
    <row r="944" spans="1:4" ht="12.75">
      <c r="A944" s="188"/>
      <c r="B944" s="190"/>
      <c r="C944" s="190"/>
      <c r="D944" s="190"/>
    </row>
    <row r="945" spans="1:4" ht="12.75">
      <c r="A945" s="188"/>
      <c r="B945" s="190"/>
      <c r="C945" s="190"/>
      <c r="D945" s="190"/>
    </row>
    <row r="946" spans="1:4" ht="12.75">
      <c r="A946" s="188"/>
      <c r="B946" s="190"/>
      <c r="C946" s="190"/>
      <c r="D946" s="190"/>
    </row>
    <row r="947" spans="1:4" ht="12.75">
      <c r="A947" s="188"/>
      <c r="B947" s="190"/>
      <c r="C947" s="190"/>
      <c r="D947" s="190"/>
    </row>
    <row r="948" spans="1:4" ht="12.75">
      <c r="A948" s="188"/>
      <c r="B948" s="190"/>
      <c r="C948" s="190"/>
      <c r="D948" s="190"/>
    </row>
    <row r="949" spans="1:4" ht="12.75">
      <c r="A949" s="188"/>
      <c r="B949" s="190"/>
      <c r="C949" s="190"/>
      <c r="D949" s="190"/>
    </row>
    <row r="950" spans="1:4" ht="12.75">
      <c r="A950" s="188"/>
      <c r="B950" s="190"/>
      <c r="C950" s="190"/>
      <c r="D950" s="190"/>
    </row>
    <row r="951" spans="1:4" ht="12.75">
      <c r="A951" s="188"/>
      <c r="B951" s="190"/>
      <c r="C951" s="190"/>
      <c r="D951" s="190"/>
    </row>
    <row r="952" spans="1:4" ht="12.75">
      <c r="A952" s="188"/>
      <c r="B952" s="190"/>
      <c r="C952" s="190"/>
      <c r="D952" s="190"/>
    </row>
    <row r="953" spans="1:4" ht="12.75">
      <c r="A953" s="188"/>
      <c r="B953" s="190"/>
      <c r="C953" s="190"/>
      <c r="D953" s="190"/>
    </row>
    <row r="954" spans="1:4" ht="12.75">
      <c r="A954" s="188"/>
      <c r="B954" s="190"/>
      <c r="C954" s="190"/>
      <c r="D954" s="190"/>
    </row>
    <row r="955" spans="1:4" ht="12.75">
      <c r="A955" s="188"/>
      <c r="B955" s="190"/>
      <c r="C955" s="190"/>
      <c r="D955" s="190"/>
    </row>
    <row r="956" spans="1:4" ht="12.75">
      <c r="A956" s="188"/>
      <c r="B956" s="190"/>
      <c r="C956" s="190"/>
      <c r="D956" s="190"/>
    </row>
    <row r="957" spans="1:4" ht="12.75">
      <c r="A957" s="188"/>
      <c r="B957" s="190"/>
      <c r="C957" s="190"/>
      <c r="D957" s="190"/>
    </row>
    <row r="958" spans="1:4" ht="12.75">
      <c r="A958" s="188"/>
      <c r="B958" s="190"/>
      <c r="C958" s="190"/>
      <c r="D958" s="190"/>
    </row>
    <row r="959" spans="1:4" ht="12.75">
      <c r="A959" s="188"/>
      <c r="B959" s="190"/>
      <c r="C959" s="190"/>
      <c r="D959" s="190"/>
    </row>
    <row r="960" spans="1:4" ht="12.75">
      <c r="A960" s="188"/>
      <c r="B960" s="190"/>
      <c r="C960" s="190"/>
      <c r="D960" s="190"/>
    </row>
    <row r="961" spans="1:4" ht="12.75">
      <c r="A961" s="188"/>
      <c r="B961" s="190"/>
      <c r="C961" s="190"/>
      <c r="D961" s="190"/>
    </row>
    <row r="962" spans="1:4" ht="12.75">
      <c r="A962" s="188"/>
      <c r="B962" s="190"/>
      <c r="C962" s="190"/>
      <c r="D962" s="190"/>
    </row>
    <row r="963" spans="1:4" ht="12.75">
      <c r="A963" s="188"/>
      <c r="B963" s="190"/>
      <c r="C963" s="190"/>
      <c r="D963" s="190"/>
    </row>
    <row r="964" spans="1:4" ht="12.75">
      <c r="A964" s="188"/>
      <c r="B964" s="190"/>
      <c r="C964" s="190"/>
      <c r="D964" s="190"/>
    </row>
    <row r="965" spans="1:4" ht="12.75">
      <c r="A965" s="188"/>
      <c r="B965" s="190"/>
      <c r="C965" s="190"/>
      <c r="D965" s="190"/>
    </row>
    <row r="966" spans="1:4" ht="12.75">
      <c r="A966" s="188"/>
      <c r="B966" s="190"/>
      <c r="C966" s="190"/>
      <c r="D966" s="190"/>
    </row>
    <row r="967" spans="1:4" ht="12.75">
      <c r="A967" s="188"/>
      <c r="B967" s="190"/>
      <c r="C967" s="190"/>
      <c r="D967" s="190"/>
    </row>
    <row r="968" spans="1:4" ht="12.75">
      <c r="A968" s="188"/>
      <c r="B968" s="190"/>
      <c r="C968" s="190"/>
      <c r="D968" s="190"/>
    </row>
    <row r="969" spans="1:4" ht="12.75">
      <c r="A969" s="188"/>
      <c r="B969" s="190"/>
      <c r="C969" s="190"/>
      <c r="D969" s="190"/>
    </row>
    <row r="970" spans="1:4" ht="12.75">
      <c r="A970" s="188"/>
      <c r="B970" s="190"/>
      <c r="C970" s="190"/>
      <c r="D970" s="190"/>
    </row>
    <row r="971" spans="1:4" ht="12.75">
      <c r="A971" s="188"/>
      <c r="B971" s="190"/>
      <c r="C971" s="190"/>
      <c r="D971" s="190"/>
    </row>
    <row r="972" spans="1:4" ht="12.75">
      <c r="A972" s="188"/>
      <c r="B972" s="190"/>
      <c r="C972" s="190"/>
      <c r="D972" s="190"/>
    </row>
    <row r="973" spans="1:4" ht="12.75">
      <c r="A973" s="188"/>
      <c r="B973" s="190"/>
      <c r="C973" s="190"/>
      <c r="D973" s="190"/>
    </row>
    <row r="974" spans="1:4" ht="12.75">
      <c r="A974" s="188"/>
      <c r="B974" s="190"/>
      <c r="C974" s="190"/>
      <c r="D974" s="190"/>
    </row>
    <row r="975" spans="1:4" ht="12.75">
      <c r="A975" s="188"/>
      <c r="B975" s="190"/>
      <c r="C975" s="190"/>
      <c r="D975" s="190"/>
    </row>
    <row r="976" spans="1:4" ht="12.75">
      <c r="A976" s="188"/>
      <c r="B976" s="190"/>
      <c r="C976" s="190"/>
      <c r="D976" s="190"/>
    </row>
    <row r="977" spans="1:4" ht="12.75">
      <c r="A977" s="188"/>
      <c r="B977" s="190"/>
      <c r="C977" s="190"/>
      <c r="D977" s="190"/>
    </row>
    <row r="978" spans="1:4" ht="12.75">
      <c r="A978" s="188"/>
      <c r="B978" s="190"/>
      <c r="C978" s="190"/>
      <c r="D978" s="190"/>
    </row>
    <row r="979" spans="1:4" ht="12.75">
      <c r="A979" s="188"/>
      <c r="B979" s="190"/>
      <c r="C979" s="190"/>
      <c r="D979" s="190"/>
    </row>
    <row r="980" spans="1:4" ht="12.75">
      <c r="A980" s="188"/>
      <c r="B980" s="190"/>
      <c r="C980" s="190"/>
      <c r="D980" s="190"/>
    </row>
    <row r="981" spans="1:4" ht="12.75">
      <c r="A981" s="188"/>
      <c r="B981" s="190"/>
      <c r="C981" s="190"/>
      <c r="D981" s="190"/>
    </row>
    <row r="982" spans="1:4" ht="12.75">
      <c r="A982" s="188"/>
      <c r="B982" s="190"/>
      <c r="C982" s="190"/>
      <c r="D982" s="190"/>
    </row>
    <row r="983" spans="1:4" ht="12.75">
      <c r="A983" s="188"/>
      <c r="B983" s="190"/>
      <c r="C983" s="190"/>
      <c r="D983" s="190"/>
    </row>
    <row r="984" spans="1:4" ht="12.75">
      <c r="A984" s="188"/>
      <c r="B984" s="190"/>
      <c r="C984" s="190"/>
      <c r="D984" s="190"/>
    </row>
    <row r="985" spans="1:4" ht="12.75">
      <c r="A985" s="188"/>
      <c r="B985" s="190"/>
      <c r="C985" s="190"/>
      <c r="D985" s="190"/>
    </row>
    <row r="986" spans="1:4" ht="12.75">
      <c r="A986" s="188"/>
      <c r="B986" s="190"/>
      <c r="C986" s="190"/>
      <c r="D986" s="190"/>
    </row>
    <row r="987" spans="1:4" ht="12.75">
      <c r="A987" s="188"/>
      <c r="B987" s="190"/>
      <c r="C987" s="190"/>
      <c r="D987" s="190"/>
    </row>
    <row r="988" spans="1:4" ht="12.75">
      <c r="A988" s="188"/>
      <c r="B988" s="190"/>
      <c r="C988" s="190"/>
      <c r="D988" s="190"/>
    </row>
    <row r="989" spans="1:4" ht="12.75">
      <c r="A989" s="188"/>
      <c r="B989" s="190"/>
      <c r="C989" s="190"/>
      <c r="D989" s="190"/>
    </row>
    <row r="990" spans="1:4" ht="12.75">
      <c r="A990" s="188"/>
      <c r="B990" s="190"/>
      <c r="C990" s="190"/>
      <c r="D990" s="190"/>
    </row>
    <row r="991" spans="1:4" ht="12.75">
      <c r="A991" s="188"/>
      <c r="B991" s="190"/>
      <c r="C991" s="190"/>
      <c r="D991" s="190"/>
    </row>
    <row r="992" spans="1:4" ht="12.75">
      <c r="A992" s="188"/>
      <c r="B992" s="190"/>
      <c r="C992" s="190"/>
      <c r="D992" s="190"/>
    </row>
    <row r="993" spans="1:4" ht="12.75">
      <c r="A993" s="188"/>
      <c r="B993" s="190"/>
      <c r="C993" s="190"/>
      <c r="D993" s="190"/>
    </row>
    <row r="994" spans="1:4" ht="12.75">
      <c r="A994" s="188"/>
      <c r="B994" s="190"/>
      <c r="C994" s="190"/>
      <c r="D994" s="190"/>
    </row>
  </sheetData>
  <mergeCells count="8">
    <mergeCell ref="B1:D2"/>
    <mergeCell ref="N1:P2"/>
    <mergeCell ref="K1:M2"/>
    <mergeCell ref="H1:J2"/>
    <mergeCell ref="E1:G2"/>
    <mergeCell ref="T1:V2"/>
    <mergeCell ref="Q1:S2"/>
    <mergeCell ref="A1:A3"/>
  </mergeCells>
  <conditionalFormatting sqref="A4:V108">
    <cfRule type="expression" dxfId="13" priority="1">
      <formula>ISODD(ROW())</formula>
    </cfRule>
  </conditionalFormatting>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1:J38"/>
  <sheetViews>
    <sheetView workbookViewId="0"/>
  </sheetViews>
  <sheetFormatPr baseColWidth="10" defaultColWidth="14.42578125" defaultRowHeight="15.75" customHeight="1"/>
  <cols>
    <col min="1" max="1" width="6.85546875" customWidth="1"/>
    <col min="2" max="8" width="18.7109375" customWidth="1"/>
    <col min="9" max="9" width="5.85546875" customWidth="1"/>
    <col min="10" max="10" width="7.5703125" customWidth="1"/>
  </cols>
  <sheetData>
    <row r="1" spans="2:10" ht="18" customHeight="1">
      <c r="B1" s="123"/>
    </row>
    <row r="2" spans="2:10" ht="18" customHeight="1"/>
    <row r="3" spans="2:10" ht="18" customHeight="1"/>
    <row r="4" spans="2:10" ht="18" customHeight="1"/>
    <row r="5" spans="2:10" ht="18" customHeight="1"/>
    <row r="6" spans="2:10" ht="18" customHeight="1">
      <c r="I6" s="493"/>
      <c r="J6" s="189"/>
    </row>
    <row r="7" spans="2:10" ht="18" customHeight="1"/>
    <row r="8" spans="2:10" ht="18" customHeight="1"/>
    <row r="9" spans="2:10" ht="18" customHeight="1"/>
    <row r="10" spans="2:10" ht="18" customHeight="1"/>
    <row r="11" spans="2:10" ht="18" customHeight="1"/>
    <row r="12" spans="2:10" ht="18" customHeight="1"/>
    <row r="13" spans="2:10" ht="18" customHeight="1"/>
    <row r="14" spans="2:10" ht="18" customHeight="1"/>
    <row r="15" spans="2:10" ht="18" customHeight="1"/>
    <row r="16" spans="2:10" ht="18" customHeight="1">
      <c r="I16" s="494"/>
      <c r="J16" s="495"/>
    </row>
    <row r="17" spans="2:10" ht="18" customHeight="1"/>
    <row r="18" spans="2:10" ht="18" customHeight="1">
      <c r="I18" s="496"/>
      <c r="J18" s="497"/>
    </row>
    <row r="19" spans="2:10" ht="18" customHeight="1"/>
    <row r="20" spans="2:10" ht="18" customHeight="1">
      <c r="I20" s="498"/>
      <c r="J20" s="499"/>
    </row>
    <row r="21" spans="2:10" ht="18" customHeight="1">
      <c r="I21" s="500"/>
      <c r="J21" s="501"/>
    </row>
    <row r="22" spans="2:10" ht="18" customHeight="1">
      <c r="I22" s="502"/>
      <c r="J22" s="503"/>
    </row>
    <row r="23" spans="2:10" ht="18" customHeight="1">
      <c r="I23" s="1"/>
      <c r="J23" s="504"/>
    </row>
    <row r="24" spans="2:10" ht="18" customHeight="1">
      <c r="I24" s="505"/>
      <c r="J24" s="506"/>
    </row>
    <row r="25" spans="2:10" ht="18" customHeight="1">
      <c r="I25" s="507"/>
      <c r="J25" s="508"/>
    </row>
    <row r="26" spans="2:10" ht="18" customHeight="1">
      <c r="B26" s="544" t="s">
        <v>1221</v>
      </c>
      <c r="C26" s="531"/>
      <c r="D26" s="509">
        <f>SuisseSwitzerland!C109-SuisseSwitzerland!C108</f>
        <v>25</v>
      </c>
      <c r="E26" s="544" t="s">
        <v>1222</v>
      </c>
      <c r="F26" s="531"/>
      <c r="G26" s="509">
        <f>SuisseSwitzerland!C109-SuisseSwitzerland!C102</f>
        <v>273</v>
      </c>
      <c r="H26" s="510"/>
      <c r="I26" s="511"/>
      <c r="J26" s="512"/>
    </row>
    <row r="27" spans="2:10" ht="18" customHeight="1">
      <c r="B27" s="544" t="s">
        <v>1223</v>
      </c>
      <c r="C27" s="531"/>
      <c r="D27" s="509">
        <f>SuisseSwitzerland!C109-SuisseSwitzerland!C107</f>
        <v>58</v>
      </c>
      <c r="E27" s="544" t="s">
        <v>1225</v>
      </c>
      <c r="F27" s="531"/>
      <c r="G27" s="509">
        <f>SuisseSwitzerland!C109-SuisseSwitzerland!C79</f>
        <v>1340</v>
      </c>
      <c r="H27" s="510"/>
    </row>
    <row r="28" spans="2:10" ht="18" customHeight="1">
      <c r="B28" s="313" t="s">
        <v>1226</v>
      </c>
    </row>
    <row r="29" spans="2:10" ht="18" customHeight="1">
      <c r="B29" s="676" t="s">
        <v>1227</v>
      </c>
      <c r="C29" s="531"/>
      <c r="D29" s="531"/>
      <c r="E29" s="531"/>
      <c r="F29" s="531"/>
      <c r="G29" s="531"/>
      <c r="H29" s="531"/>
    </row>
    <row r="30" spans="2:10" ht="18" customHeight="1">
      <c r="B30" s="123"/>
    </row>
    <row r="31" spans="2:10" ht="18" customHeight="1">
      <c r="B31" s="535" t="s">
        <v>351</v>
      </c>
      <c r="C31" s="536"/>
      <c r="D31" s="536"/>
      <c r="E31" s="536"/>
      <c r="F31" s="536"/>
      <c r="G31" s="536"/>
      <c r="H31" s="674"/>
    </row>
    <row r="32" spans="2:10" ht="18" customHeight="1">
      <c r="B32" s="538" t="s">
        <v>13</v>
      </c>
      <c r="C32" s="531"/>
      <c r="D32" s="541" t="s">
        <v>15</v>
      </c>
      <c r="E32" s="531"/>
      <c r="F32" s="531"/>
      <c r="G32" s="531"/>
      <c r="H32" s="675"/>
    </row>
    <row r="33" spans="2:8" ht="18" customHeight="1">
      <c r="B33" s="669" t="s">
        <v>352</v>
      </c>
      <c r="C33" s="531"/>
      <c r="D33" s="565" t="s">
        <v>353</v>
      </c>
      <c r="E33" s="531"/>
      <c r="F33" s="531"/>
      <c r="G33" s="531"/>
      <c r="H33" s="675"/>
    </row>
    <row r="34" spans="2:8" ht="12.75">
      <c r="B34" s="660" t="s">
        <v>356</v>
      </c>
      <c r="C34" s="540"/>
      <c r="D34" s="617" t="s">
        <v>357</v>
      </c>
      <c r="E34" s="540"/>
      <c r="F34" s="540"/>
      <c r="G34" s="540"/>
      <c r="H34" s="677"/>
    </row>
    <row r="35" spans="2:8" ht="18" customHeight="1">
      <c r="B35" s="191"/>
      <c r="C35" s="191"/>
      <c r="D35" s="191"/>
      <c r="E35" s="191"/>
      <c r="F35" s="191"/>
      <c r="G35" s="191"/>
      <c r="H35" s="191"/>
    </row>
    <row r="36" spans="2:8" ht="18" customHeight="1">
      <c r="B36" s="551"/>
      <c r="C36"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D36" s="531"/>
      <c r="E36" s="531"/>
      <c r="F36" s="531"/>
      <c r="G36" s="531"/>
      <c r="H36" s="531"/>
    </row>
    <row r="37" spans="2:8" ht="18" customHeight="1">
      <c r="B37" s="531"/>
      <c r="C37" s="531"/>
      <c r="D37" s="531"/>
      <c r="E37" s="531"/>
      <c r="F37" s="531"/>
      <c r="G37" s="531"/>
      <c r="H37" s="531"/>
    </row>
    <row r="38" spans="2:8" ht="18" customHeight="1"/>
  </sheetData>
  <mergeCells count="14">
    <mergeCell ref="B33:C33"/>
    <mergeCell ref="B34:C34"/>
    <mergeCell ref="B36:B37"/>
    <mergeCell ref="D33:H33"/>
    <mergeCell ref="D34:H34"/>
    <mergeCell ref="C36:H37"/>
    <mergeCell ref="B31:H31"/>
    <mergeCell ref="D32:H32"/>
    <mergeCell ref="B26:C26"/>
    <mergeCell ref="E26:F26"/>
    <mergeCell ref="B27:C27"/>
    <mergeCell ref="E27:F27"/>
    <mergeCell ref="B29:H29"/>
    <mergeCell ref="B32:C32"/>
  </mergeCells>
  <hyperlinks>
    <hyperlink ref="B29" location="Chiffres - Monde!A1" display="(1) Retrouvez le tableau des chiffres sur lesquels se base ce graphique dans l'onglet &quot;Chiffres Résumé - Monde&quot;" xr:uid="{00000000-0004-0000-0900-000000000000}"/>
    <hyperlink ref="D32" r:id="rId1" xr:uid="{00000000-0004-0000-0900-000001000000}"/>
    <hyperlink ref="D33" r:id="rId2" location="/c88e37cfc43b4ed3baf977d77e4a0667" xr:uid="{00000000-0004-0000-0900-000002000000}"/>
    <hyperlink ref="D34" r:id="rId3" xr:uid="{00000000-0004-0000-0900-000003000000}"/>
  </hyperlinks>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1:J38"/>
  <sheetViews>
    <sheetView workbookViewId="0"/>
  </sheetViews>
  <sheetFormatPr baseColWidth="10" defaultColWidth="14.42578125" defaultRowHeight="15.75" customHeight="1"/>
  <cols>
    <col min="1" max="1" width="6.85546875" customWidth="1"/>
    <col min="2" max="8" width="18.7109375" customWidth="1"/>
    <col min="9" max="9" width="5.85546875" customWidth="1"/>
    <col min="10" max="10" width="7.5703125" customWidth="1"/>
  </cols>
  <sheetData>
    <row r="1" spans="2:10" ht="18" customHeight="1">
      <c r="B1" s="123"/>
    </row>
    <row r="2" spans="2:10" ht="18" customHeight="1"/>
    <row r="3" spans="2:10" ht="18" customHeight="1"/>
    <row r="4" spans="2:10" ht="18" customHeight="1"/>
    <row r="5" spans="2:10" ht="18" customHeight="1"/>
    <row r="6" spans="2:10" ht="18" customHeight="1">
      <c r="I6" s="493"/>
      <c r="J6" s="189"/>
    </row>
    <row r="7" spans="2:10" ht="18" customHeight="1"/>
    <row r="8" spans="2:10" ht="18" customHeight="1"/>
    <row r="9" spans="2:10" ht="18" customHeight="1"/>
    <row r="10" spans="2:10" ht="18" customHeight="1"/>
    <row r="11" spans="2:10" ht="18" customHeight="1"/>
    <row r="12" spans="2:10" ht="18" customHeight="1"/>
    <row r="13" spans="2:10" ht="18" customHeight="1"/>
    <row r="14" spans="2:10" ht="18" customHeight="1"/>
    <row r="15" spans="2:10" ht="18" customHeight="1"/>
    <row r="16" spans="2:10" ht="18" customHeight="1">
      <c r="I16" s="494"/>
      <c r="J16" s="495"/>
    </row>
    <row r="17" spans="2:10" ht="18" customHeight="1"/>
    <row r="18" spans="2:10" ht="18" customHeight="1">
      <c r="I18" s="496"/>
      <c r="J18" s="497"/>
    </row>
    <row r="19" spans="2:10" ht="18" customHeight="1"/>
    <row r="20" spans="2:10" ht="18" customHeight="1">
      <c r="I20" s="498"/>
      <c r="J20" s="499"/>
    </row>
    <row r="21" spans="2:10" ht="18" customHeight="1">
      <c r="I21" s="500"/>
      <c r="J21" s="501"/>
    </row>
    <row r="22" spans="2:10" ht="18" customHeight="1">
      <c r="I22" s="502"/>
      <c r="J22" s="503"/>
    </row>
    <row r="23" spans="2:10" ht="18" customHeight="1">
      <c r="I23" s="1"/>
      <c r="J23" s="504"/>
    </row>
    <row r="24" spans="2:10" ht="18" customHeight="1">
      <c r="I24" s="505"/>
      <c r="J24" s="506"/>
    </row>
    <row r="25" spans="2:10" ht="18" customHeight="1">
      <c r="I25" s="507"/>
      <c r="J25" s="508"/>
    </row>
    <row r="26" spans="2:10" ht="18" customHeight="1">
      <c r="B26" s="678" t="s">
        <v>1232</v>
      </c>
      <c r="C26" s="531"/>
      <c r="D26" s="531"/>
      <c r="E26" s="531"/>
      <c r="F26" s="531"/>
      <c r="G26" s="531"/>
      <c r="H26" s="531"/>
      <c r="I26" s="511"/>
      <c r="J26" s="512"/>
    </row>
    <row r="27" spans="2:10" ht="18" customHeight="1">
      <c r="B27" s="531"/>
      <c r="C27" s="531"/>
      <c r="D27" s="531"/>
      <c r="E27" s="531"/>
      <c r="F27" s="531"/>
      <c r="G27" s="531"/>
      <c r="H27" s="531"/>
    </row>
    <row r="28" spans="2:10" ht="18" customHeight="1"/>
    <row r="29" spans="2:10" ht="18" customHeight="1">
      <c r="B29" s="676" t="s">
        <v>1227</v>
      </c>
      <c r="C29" s="531"/>
      <c r="D29" s="531"/>
      <c r="E29" s="531"/>
      <c r="F29" s="531"/>
      <c r="G29" s="531"/>
      <c r="H29" s="531"/>
    </row>
    <row r="30" spans="2:10" ht="18" customHeight="1">
      <c r="B30" s="123"/>
    </row>
    <row r="31" spans="2:10" ht="18" customHeight="1">
      <c r="B31" s="535" t="s">
        <v>351</v>
      </c>
      <c r="C31" s="536"/>
      <c r="D31" s="536"/>
      <c r="E31" s="536"/>
      <c r="F31" s="536"/>
      <c r="G31" s="536"/>
      <c r="H31" s="674"/>
    </row>
    <row r="32" spans="2:10" ht="18" customHeight="1">
      <c r="B32" s="538" t="s">
        <v>13</v>
      </c>
      <c r="C32" s="531"/>
      <c r="D32" s="541" t="s">
        <v>15</v>
      </c>
      <c r="E32" s="531"/>
      <c r="F32" s="531"/>
      <c r="G32" s="531"/>
      <c r="H32" s="675"/>
    </row>
    <row r="33" spans="2:8" ht="18" customHeight="1">
      <c r="B33" s="669" t="s">
        <v>352</v>
      </c>
      <c r="C33" s="531"/>
      <c r="D33" s="565" t="s">
        <v>353</v>
      </c>
      <c r="E33" s="531"/>
      <c r="F33" s="531"/>
      <c r="G33" s="531"/>
      <c r="H33" s="675"/>
    </row>
    <row r="34" spans="2:8" ht="12.75">
      <c r="B34" s="660" t="s">
        <v>356</v>
      </c>
      <c r="C34" s="540"/>
      <c r="D34" s="617" t="s">
        <v>357</v>
      </c>
      <c r="E34" s="540"/>
      <c r="F34" s="540"/>
      <c r="G34" s="540"/>
      <c r="H34" s="677"/>
    </row>
    <row r="35" spans="2:8" ht="18" customHeight="1">
      <c r="B35" s="191"/>
      <c r="C35" s="191"/>
      <c r="D35" s="191"/>
      <c r="E35" s="191"/>
      <c r="F35" s="191"/>
      <c r="G35" s="191"/>
      <c r="H35" s="191"/>
    </row>
    <row r="36" spans="2:8" ht="18" customHeight="1">
      <c r="B36" s="551"/>
      <c r="C36"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D36" s="531"/>
      <c r="E36" s="531"/>
      <c r="F36" s="531"/>
      <c r="G36" s="531"/>
      <c r="H36" s="531"/>
    </row>
    <row r="37" spans="2:8" ht="18" customHeight="1">
      <c r="B37" s="531"/>
      <c r="C37" s="531"/>
      <c r="D37" s="531"/>
      <c r="E37" s="531"/>
      <c r="F37" s="531"/>
      <c r="G37" s="531"/>
      <c r="H37" s="531"/>
    </row>
    <row r="38" spans="2:8" ht="18" customHeight="1"/>
  </sheetData>
  <mergeCells count="11">
    <mergeCell ref="B34:C34"/>
    <mergeCell ref="D34:H34"/>
    <mergeCell ref="B36:B37"/>
    <mergeCell ref="C36:H37"/>
    <mergeCell ref="B26:H27"/>
    <mergeCell ref="B29:H29"/>
    <mergeCell ref="B31:H31"/>
    <mergeCell ref="B32:C32"/>
    <mergeCell ref="D32:H32"/>
    <mergeCell ref="B33:C33"/>
    <mergeCell ref="D33:H33"/>
  </mergeCells>
  <hyperlinks>
    <hyperlink ref="B29" location="Chiffres - Monde!A1" display="(1) Retrouvez le tableau des chiffres sur lesquels se base ce graphique dans l'onglet &quot;Chiffres Résumé - Monde&quot;" xr:uid="{00000000-0004-0000-0A00-000000000000}"/>
    <hyperlink ref="D32" r:id="rId1" xr:uid="{00000000-0004-0000-0A00-000001000000}"/>
    <hyperlink ref="D33" r:id="rId2" location="/c88e37cfc43b4ed3baf977d77e4a0667" xr:uid="{00000000-0004-0000-0A00-000002000000}"/>
    <hyperlink ref="D34" r:id="rId3" xr:uid="{00000000-0004-0000-0A00-000003000000}"/>
  </hyperlinks>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B1:J38"/>
  <sheetViews>
    <sheetView workbookViewId="0"/>
  </sheetViews>
  <sheetFormatPr baseColWidth="10" defaultColWidth="14.42578125" defaultRowHeight="15.75" customHeight="1"/>
  <cols>
    <col min="1" max="1" width="6.85546875" customWidth="1"/>
    <col min="2" max="8" width="18.7109375" customWidth="1"/>
    <col min="9" max="9" width="5.85546875" customWidth="1"/>
    <col min="10" max="10" width="7.5703125" customWidth="1"/>
  </cols>
  <sheetData>
    <row r="1" spans="2:10" ht="18" customHeight="1">
      <c r="B1" s="123"/>
    </row>
    <row r="2" spans="2:10" ht="18" customHeight="1"/>
    <row r="3" spans="2:10" ht="18" customHeight="1"/>
    <row r="4" spans="2:10" ht="18" customHeight="1"/>
    <row r="5" spans="2:10" ht="18" customHeight="1"/>
    <row r="6" spans="2:10" ht="18" customHeight="1"/>
    <row r="7" spans="2:10" ht="18" customHeight="1">
      <c r="I7" s="493" t="s">
        <v>1239</v>
      </c>
      <c r="J7" s="441">
        <f>Europe!C109</f>
        <v>101984</v>
      </c>
    </row>
    <row r="8" spans="2:10" ht="18" customHeight="1"/>
    <row r="9" spans="2:10" ht="18" customHeight="1"/>
    <row r="10" spans="2:10" ht="18" customHeight="1"/>
    <row r="11" spans="2:10" ht="18" customHeight="1"/>
    <row r="12" spans="2:10" ht="18" customHeight="1"/>
    <row r="13" spans="2:10" ht="18" customHeight="1"/>
    <row r="14" spans="2:10" ht="18" customHeight="1"/>
    <row r="15" spans="2:10" ht="18" customHeight="1"/>
    <row r="16" spans="2:10" ht="18" customHeight="1"/>
    <row r="17" spans="2:10" ht="18" customHeight="1">
      <c r="I17" s="494" t="s">
        <v>159</v>
      </c>
      <c r="J17" s="495">
        <f>Europe!BY109</f>
        <v>23660</v>
      </c>
    </row>
    <row r="18" spans="2:10" ht="18" customHeight="1">
      <c r="I18" s="496" t="s">
        <v>146</v>
      </c>
      <c r="J18" s="497">
        <f>Europe!AR109</f>
        <v>20595</v>
      </c>
    </row>
    <row r="19" spans="2:10" ht="18" customHeight="1">
      <c r="I19" s="498" t="s">
        <v>150</v>
      </c>
      <c r="J19" s="499">
        <f>Europe!BA109</f>
        <v>19718</v>
      </c>
    </row>
    <row r="20" spans="2:10" ht="18" customHeight="1">
      <c r="I20" s="500" t="s">
        <v>175</v>
      </c>
      <c r="J20" s="519">
        <f>Europe!DX109</f>
        <v>16095</v>
      </c>
    </row>
    <row r="21" spans="2:10" ht="18" customHeight="1">
      <c r="I21" s="505" t="s">
        <v>139</v>
      </c>
      <c r="J21" s="506">
        <f>Europe!W109</f>
        <v>5683</v>
      </c>
    </row>
    <row r="22" spans="2:10" ht="18" customHeight="1">
      <c r="I22" s="1" t="s">
        <v>137</v>
      </c>
      <c r="J22" s="504">
        <f>Europe!Q109</f>
        <v>4586</v>
      </c>
    </row>
    <row r="23" spans="2:10" ht="18" customHeight="1">
      <c r="I23" s="502" t="s">
        <v>171</v>
      </c>
      <c r="J23" s="520">
        <f>Europe!DL109</f>
        <v>3697</v>
      </c>
    </row>
    <row r="24" spans="2:10" ht="18" customHeight="1">
      <c r="I24" s="511" t="s">
        <v>182</v>
      </c>
      <c r="J24" s="521">
        <f>Europe!ES109</f>
        <v>1540</v>
      </c>
    </row>
    <row r="25" spans="2:10" ht="18" customHeight="1">
      <c r="I25" s="507" t="s">
        <v>48</v>
      </c>
      <c r="J25" s="508">
        <f>Europe!EV109</f>
        <v>1412</v>
      </c>
    </row>
    <row r="26" spans="2:10" ht="18" customHeight="1">
      <c r="B26" s="544" t="s">
        <v>1240</v>
      </c>
      <c r="C26" s="531"/>
      <c r="D26" s="509">
        <f>'Chiffres - Monde'!O107-'Chiffres - Monde'!O106</f>
        <v>2754</v>
      </c>
      <c r="E26" s="544" t="s">
        <v>1241</v>
      </c>
      <c r="F26" s="531"/>
      <c r="G26" s="509">
        <f>'Chiffres - Monde'!O107-'Chiffres - Monde'!O100</f>
        <v>25444</v>
      </c>
      <c r="I26" s="522" t="s">
        <v>1242</v>
      </c>
      <c r="J26" s="523">
        <f>Europe!DR109</f>
        <v>714</v>
      </c>
    </row>
    <row r="27" spans="2:10" ht="18" customHeight="1">
      <c r="B27" s="544" t="s">
        <v>1243</v>
      </c>
      <c r="C27" s="531"/>
      <c r="D27" s="509">
        <f>'Chiffres - Monde'!O107-'Chiffres - Monde'!O105</f>
        <v>6203</v>
      </c>
      <c r="E27" s="544" t="s">
        <v>1244</v>
      </c>
      <c r="F27" s="531"/>
      <c r="G27" s="509">
        <f>'Chiffres - Monde'!O107-'Chiffres - Monde'!O77</f>
        <v>95907</v>
      </c>
      <c r="H27" s="679" t="s">
        <v>1245</v>
      </c>
      <c r="I27" s="531"/>
      <c r="J27" s="524">
        <f>SUM(J17:J26)</f>
        <v>97700</v>
      </c>
    </row>
    <row r="28" spans="2:10" ht="18" customHeight="1"/>
    <row r="29" spans="2:10" ht="18" customHeight="1">
      <c r="B29" s="676" t="s">
        <v>1227</v>
      </c>
      <c r="C29" s="531"/>
      <c r="D29" s="531"/>
      <c r="E29" s="531"/>
      <c r="F29" s="531"/>
      <c r="G29" s="531"/>
      <c r="H29" s="531"/>
    </row>
    <row r="30" spans="2:10" ht="18" customHeight="1">
      <c r="B30" s="123"/>
    </row>
    <row r="31" spans="2:10" ht="18" customHeight="1">
      <c r="B31" s="535" t="s">
        <v>351</v>
      </c>
      <c r="C31" s="536"/>
      <c r="D31" s="536"/>
      <c r="E31" s="536"/>
      <c r="F31" s="536"/>
      <c r="G31" s="536"/>
      <c r="H31" s="674"/>
    </row>
    <row r="32" spans="2:10" ht="18" customHeight="1">
      <c r="B32" s="538" t="s">
        <v>13</v>
      </c>
      <c r="C32" s="531"/>
      <c r="D32" s="541" t="s">
        <v>15</v>
      </c>
      <c r="E32" s="531"/>
      <c r="F32" s="531"/>
      <c r="G32" s="531"/>
      <c r="H32" s="675"/>
    </row>
    <row r="33" spans="2:8" ht="18" customHeight="1">
      <c r="B33" s="669" t="s">
        <v>352</v>
      </c>
      <c r="C33" s="531"/>
      <c r="D33" s="565" t="s">
        <v>353</v>
      </c>
      <c r="E33" s="531"/>
      <c r="F33" s="531"/>
      <c r="G33" s="531"/>
      <c r="H33" s="675"/>
    </row>
    <row r="34" spans="2:8" ht="12.75">
      <c r="B34" s="660" t="s">
        <v>356</v>
      </c>
      <c r="C34" s="540"/>
      <c r="D34" s="617" t="s">
        <v>357</v>
      </c>
      <c r="E34" s="540"/>
      <c r="F34" s="540"/>
      <c r="G34" s="540"/>
      <c r="H34" s="677"/>
    </row>
    <row r="35" spans="2:8" ht="18" customHeight="1">
      <c r="B35" s="191"/>
      <c r="C35" s="191"/>
      <c r="D35" s="191"/>
      <c r="E35" s="191"/>
      <c r="F35" s="191"/>
      <c r="G35" s="191"/>
      <c r="H35" s="191"/>
    </row>
    <row r="36" spans="2:8" ht="18" customHeight="1">
      <c r="B36" s="551"/>
      <c r="C36"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D36" s="531"/>
      <c r="E36" s="531"/>
      <c r="F36" s="531"/>
      <c r="G36" s="531"/>
      <c r="H36" s="531"/>
    </row>
    <row r="37" spans="2:8" ht="18" customHeight="1">
      <c r="B37" s="531"/>
      <c r="C37" s="531"/>
      <c r="D37" s="531"/>
      <c r="E37" s="531"/>
      <c r="F37" s="531"/>
      <c r="G37" s="531"/>
      <c r="H37" s="531"/>
    </row>
    <row r="38" spans="2:8" ht="18" customHeight="1"/>
  </sheetData>
  <mergeCells count="15">
    <mergeCell ref="B36:B37"/>
    <mergeCell ref="C36:H37"/>
    <mergeCell ref="B26:C26"/>
    <mergeCell ref="E26:F26"/>
    <mergeCell ref="B27:C27"/>
    <mergeCell ref="E27:F27"/>
    <mergeCell ref="H27:I27"/>
    <mergeCell ref="B29:H29"/>
    <mergeCell ref="B31:H31"/>
    <mergeCell ref="B32:C32"/>
    <mergeCell ref="D32:H32"/>
    <mergeCell ref="B33:C33"/>
    <mergeCell ref="D33:H33"/>
    <mergeCell ref="B34:C34"/>
    <mergeCell ref="D34:H34"/>
  </mergeCells>
  <hyperlinks>
    <hyperlink ref="B29" location="Chiffres - Monde!A1" display="(1) Retrouvez le tableau des chiffres sur lesquels se base ce graphique dans l'onglet &quot;Chiffres Résumé - Monde&quot;" xr:uid="{00000000-0004-0000-0B00-000000000000}"/>
    <hyperlink ref="D32" r:id="rId1" xr:uid="{00000000-0004-0000-0B00-000001000000}"/>
    <hyperlink ref="D33" r:id="rId2" location="/c88e37cfc43b4ed3baf977d77e4a0667" xr:uid="{00000000-0004-0000-0B00-000002000000}"/>
    <hyperlink ref="D34" r:id="rId3" xr:uid="{00000000-0004-0000-0B00-000003000000}"/>
  </hyperlinks>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fitToPage="1"/>
  </sheetPr>
  <dimension ref="B1:I37"/>
  <sheetViews>
    <sheetView workbookViewId="0"/>
  </sheetViews>
  <sheetFormatPr baseColWidth="10" defaultColWidth="14.42578125" defaultRowHeight="15.75" customHeight="1"/>
  <cols>
    <col min="1" max="1" width="6.85546875" customWidth="1"/>
    <col min="2" max="8" width="18.7109375" customWidth="1"/>
    <col min="9" max="9" width="8.140625" customWidth="1"/>
  </cols>
  <sheetData>
    <row r="1" spans="2:2" ht="18" customHeight="1">
      <c r="B1" s="123"/>
    </row>
    <row r="2" spans="2:2" ht="18" customHeight="1"/>
    <row r="3" spans="2:2" ht="18" customHeight="1"/>
    <row r="4" spans="2:2" ht="18" customHeight="1"/>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spans="2:9" ht="18" customHeight="1"/>
    <row r="18" spans="2:9" ht="18" customHeight="1"/>
    <row r="19" spans="2:9" ht="18" customHeight="1"/>
    <row r="20" spans="2:9" ht="18" customHeight="1"/>
    <row r="21" spans="2:9" ht="18" customHeight="1"/>
    <row r="22" spans="2:9" ht="18" customHeight="1"/>
    <row r="23" spans="2:9" ht="18" customHeight="1"/>
    <row r="24" spans="2:9" ht="18" customHeight="1"/>
    <row r="25" spans="2:9" ht="18" customHeight="1"/>
    <row r="26" spans="2:9" ht="18" customHeight="1">
      <c r="B26" s="544" t="s">
        <v>1246</v>
      </c>
      <c r="C26" s="531"/>
      <c r="D26" s="509">
        <f>'Chiffres - Monde'!B107-'Chiffres - Monde'!B106</f>
        <v>75094</v>
      </c>
      <c r="E26" s="544" t="s">
        <v>1247</v>
      </c>
      <c r="F26" s="531"/>
      <c r="G26" s="509">
        <f>'Chiffres - Monde'!B107-'Chiffres - Monde'!B100</f>
        <v>545517</v>
      </c>
    </row>
    <row r="27" spans="2:9" ht="18" customHeight="1">
      <c r="B27" s="544" t="s">
        <v>1248</v>
      </c>
      <c r="C27" s="531"/>
      <c r="D27" s="509">
        <f>'Chiffres - Monde'!B107-'Chiffres - Monde'!B105</f>
        <v>157167</v>
      </c>
      <c r="E27" s="544" t="s">
        <v>1249</v>
      </c>
      <c r="F27" s="531"/>
      <c r="G27" s="509">
        <f>'Chiffres - Monde'!B107-'Chiffres - Monde'!B77</f>
        <v>2081235</v>
      </c>
    </row>
    <row r="28" spans="2:9" ht="18" customHeight="1"/>
    <row r="29" spans="2:9" ht="18" customHeight="1">
      <c r="B29" s="676" t="s">
        <v>1227</v>
      </c>
      <c r="C29" s="531"/>
      <c r="D29" s="531"/>
      <c r="E29" s="531"/>
      <c r="F29" s="531"/>
      <c r="G29" s="531"/>
      <c r="H29" s="531"/>
    </row>
    <row r="30" spans="2:9" ht="18" customHeight="1">
      <c r="B30" s="123"/>
    </row>
    <row r="31" spans="2:9" ht="18" customHeight="1">
      <c r="B31" s="535" t="s">
        <v>351</v>
      </c>
      <c r="C31" s="536"/>
      <c r="D31" s="536"/>
      <c r="E31" s="536"/>
      <c r="F31" s="536"/>
      <c r="G31" s="536"/>
      <c r="H31" s="674"/>
      <c r="I31" s="1"/>
    </row>
    <row r="32" spans="2:9" ht="18" customHeight="1">
      <c r="B32" s="538" t="s">
        <v>13</v>
      </c>
      <c r="C32" s="531"/>
      <c r="D32" s="541" t="s">
        <v>15</v>
      </c>
      <c r="E32" s="531"/>
      <c r="F32" s="531"/>
      <c r="G32" s="531"/>
      <c r="H32" s="675"/>
      <c r="I32" s="2"/>
    </row>
    <row r="33" spans="2:9" ht="18" customHeight="1">
      <c r="B33" s="669" t="s">
        <v>352</v>
      </c>
      <c r="C33" s="531"/>
      <c r="D33" s="565" t="s">
        <v>353</v>
      </c>
      <c r="E33" s="531"/>
      <c r="F33" s="531"/>
      <c r="G33" s="531"/>
      <c r="H33" s="675"/>
      <c r="I33" s="123"/>
    </row>
    <row r="34" spans="2:9" ht="12.75">
      <c r="B34" s="660" t="s">
        <v>356</v>
      </c>
      <c r="C34" s="540"/>
      <c r="D34" s="617" t="s">
        <v>357</v>
      </c>
      <c r="E34" s="540"/>
      <c r="F34" s="540"/>
      <c r="G34" s="540"/>
      <c r="H34" s="677"/>
      <c r="I34" s="2"/>
    </row>
    <row r="35" spans="2:9" ht="12.75">
      <c r="I35" s="191"/>
    </row>
    <row r="36" spans="2:9" ht="12.75">
      <c r="B36" s="551"/>
      <c r="C36"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D36" s="531"/>
      <c r="E36" s="531"/>
      <c r="F36" s="531"/>
      <c r="G36" s="531"/>
      <c r="H36" s="531"/>
      <c r="I36" s="330"/>
    </row>
    <row r="37" spans="2:9" ht="12.75">
      <c r="B37" s="531"/>
      <c r="C37" s="531"/>
      <c r="D37" s="531"/>
      <c r="E37" s="531"/>
      <c r="F37" s="531"/>
      <c r="G37" s="531"/>
      <c r="H37" s="531"/>
      <c r="I37" s="330"/>
    </row>
  </sheetData>
  <mergeCells count="14">
    <mergeCell ref="B33:C33"/>
    <mergeCell ref="B34:C34"/>
    <mergeCell ref="B36:B37"/>
    <mergeCell ref="D33:H33"/>
    <mergeCell ref="D34:H34"/>
    <mergeCell ref="C36:H37"/>
    <mergeCell ref="B31:H31"/>
    <mergeCell ref="D32:H32"/>
    <mergeCell ref="B26:C26"/>
    <mergeCell ref="E26:F26"/>
    <mergeCell ref="B27:C27"/>
    <mergeCell ref="E27:F27"/>
    <mergeCell ref="B29:H29"/>
    <mergeCell ref="B32:C32"/>
  </mergeCells>
  <hyperlinks>
    <hyperlink ref="B29" location="Chiffres - Monde!A1" display="(1) Retrouvez le tableau des chiffres sur lesquels se base ce graphique dans l'onglet &quot;Chiffres Résumé - Monde&quot;" xr:uid="{00000000-0004-0000-0C00-000000000000}"/>
    <hyperlink ref="D32" r:id="rId1" xr:uid="{00000000-0004-0000-0C00-000001000000}"/>
    <hyperlink ref="D33" r:id="rId2" location="/c88e37cfc43b4ed3baf977d77e4a0667" xr:uid="{00000000-0004-0000-0C00-000002000000}"/>
    <hyperlink ref="D34" r:id="rId3" xr:uid="{00000000-0004-0000-0C00-000003000000}"/>
  </hyperlinks>
  <printOptions horizontalCentered="1"/>
  <pageMargins left="0.7" right="0.7" top="0.75" bottom="0.75" header="0" footer="0"/>
  <pageSetup fitToWidth="0" pageOrder="overThenDown" orientation="landscape" cellComments="atEnd"/>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pageSetUpPr fitToPage="1"/>
  </sheetPr>
  <dimension ref="B1:I38"/>
  <sheetViews>
    <sheetView workbookViewId="0"/>
  </sheetViews>
  <sheetFormatPr baseColWidth="10" defaultColWidth="14.42578125" defaultRowHeight="15.75" customHeight="1"/>
  <cols>
    <col min="1" max="1" width="6.85546875" customWidth="1"/>
    <col min="2" max="8" width="18.7109375" customWidth="1"/>
    <col min="9" max="9" width="6.7109375" customWidth="1"/>
  </cols>
  <sheetData>
    <row r="1" spans="2:2" ht="18" customHeight="1">
      <c r="B1" s="123"/>
    </row>
    <row r="2" spans="2:2" ht="18" customHeight="1"/>
    <row r="3" spans="2:2" ht="18" customHeight="1"/>
    <row r="4" spans="2:2" ht="18" customHeight="1"/>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spans="2:9" ht="18" customHeight="1"/>
    <row r="18" spans="2:9" ht="18" customHeight="1"/>
    <row r="19" spans="2:9" ht="18" customHeight="1"/>
    <row r="20" spans="2:9" ht="18" customHeight="1"/>
    <row r="21" spans="2:9" ht="18" customHeight="1"/>
    <row r="22" spans="2:9" ht="18" customHeight="1"/>
    <row r="23" spans="2:9" ht="18" customHeight="1"/>
    <row r="24" spans="2:9" ht="18" customHeight="1"/>
    <row r="25" spans="2:9" ht="18" customHeight="1"/>
    <row r="26" spans="2:9" ht="18" customHeight="1">
      <c r="B26" s="544" t="s">
        <v>1250</v>
      </c>
      <c r="C26" s="531"/>
      <c r="D26" s="509" t="e">
        <f>'Chiffres - Monde'!#REF!-'Chiffres - Monde'!#REF!</f>
        <v>#REF!</v>
      </c>
      <c r="E26" s="544" t="s">
        <v>1251</v>
      </c>
      <c r="F26" s="531"/>
      <c r="G26" s="509" t="e">
        <f>'Chiffres - Monde'!#REF!-'Chiffres - Monde'!#REF!</f>
        <v>#REF!</v>
      </c>
    </row>
    <row r="27" spans="2:9" ht="18" customHeight="1">
      <c r="B27" s="544" t="s">
        <v>1252</v>
      </c>
      <c r="C27" s="531"/>
      <c r="D27" s="509" t="e">
        <f>'Chiffres - Monde'!#REF!-'Chiffres - Monde'!#REF!</f>
        <v>#REF!</v>
      </c>
      <c r="E27" s="544" t="s">
        <v>1253</v>
      </c>
      <c r="F27" s="531"/>
      <c r="G27" s="509" t="e">
        <f>'Chiffres - Monde'!#REF!-'Chiffres - Monde'!#REF!</f>
        <v>#REF!</v>
      </c>
    </row>
    <row r="28" spans="2:9" ht="18" customHeight="1">
      <c r="B28" s="525"/>
      <c r="C28" s="525"/>
      <c r="D28" s="525"/>
      <c r="E28" s="525"/>
      <c r="F28" s="525"/>
      <c r="G28" s="525"/>
      <c r="H28" s="525"/>
    </row>
    <row r="29" spans="2:9" ht="18" customHeight="1">
      <c r="B29" s="676" t="s">
        <v>1227</v>
      </c>
      <c r="C29" s="531"/>
      <c r="D29" s="531"/>
      <c r="E29" s="531"/>
      <c r="F29" s="531"/>
      <c r="G29" s="531"/>
      <c r="H29" s="531"/>
    </row>
    <row r="30" spans="2:9" ht="18" customHeight="1">
      <c r="B30" s="123"/>
      <c r="I30" s="1"/>
    </row>
    <row r="31" spans="2:9" ht="18" customHeight="1">
      <c r="B31" s="535" t="s">
        <v>351</v>
      </c>
      <c r="C31" s="536"/>
      <c r="D31" s="536"/>
      <c r="E31" s="536"/>
      <c r="F31" s="536"/>
      <c r="G31" s="536"/>
      <c r="H31" s="674"/>
      <c r="I31" s="2"/>
    </row>
    <row r="32" spans="2:9" ht="18" customHeight="1">
      <c r="B32" s="538" t="s">
        <v>13</v>
      </c>
      <c r="C32" s="531"/>
      <c r="D32" s="541" t="s">
        <v>15</v>
      </c>
      <c r="E32" s="531"/>
      <c r="F32" s="531"/>
      <c r="G32" s="531"/>
      <c r="H32" s="675"/>
      <c r="I32" s="123"/>
    </row>
    <row r="33" spans="2:9" ht="18" customHeight="1">
      <c r="B33" s="669" t="s">
        <v>352</v>
      </c>
      <c r="C33" s="531"/>
      <c r="D33" s="565" t="s">
        <v>353</v>
      </c>
      <c r="E33" s="531"/>
      <c r="F33" s="531"/>
      <c r="G33" s="531"/>
      <c r="H33" s="675"/>
      <c r="I33" s="2"/>
    </row>
    <row r="34" spans="2:9" ht="12.75">
      <c r="B34" s="660" t="s">
        <v>356</v>
      </c>
      <c r="C34" s="540"/>
      <c r="D34" s="617" t="s">
        <v>357</v>
      </c>
      <c r="E34" s="540"/>
      <c r="F34" s="540"/>
      <c r="G34" s="540"/>
      <c r="H34" s="677"/>
      <c r="I34" s="191"/>
    </row>
    <row r="35" spans="2:9" ht="18" customHeight="1"/>
    <row r="36" spans="2:9" ht="18" customHeight="1">
      <c r="B36" s="551"/>
      <c r="C36"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D36" s="531"/>
      <c r="E36" s="531"/>
      <c r="F36" s="531"/>
      <c r="G36" s="531"/>
      <c r="H36" s="531"/>
    </row>
    <row r="37" spans="2:9" ht="18" customHeight="1">
      <c r="B37" s="531"/>
      <c r="C37" s="531"/>
      <c r="D37" s="531"/>
      <c r="E37" s="531"/>
      <c r="F37" s="531"/>
      <c r="G37" s="531"/>
      <c r="H37" s="531"/>
    </row>
    <row r="38" spans="2:9" ht="18" customHeight="1"/>
  </sheetData>
  <mergeCells count="14">
    <mergeCell ref="B33:C33"/>
    <mergeCell ref="B34:C34"/>
    <mergeCell ref="B36:B37"/>
    <mergeCell ref="D33:H33"/>
    <mergeCell ref="D34:H34"/>
    <mergeCell ref="C36:H37"/>
    <mergeCell ref="B31:H31"/>
    <mergeCell ref="D32:H32"/>
    <mergeCell ref="B26:C26"/>
    <mergeCell ref="E26:F26"/>
    <mergeCell ref="B27:C27"/>
    <mergeCell ref="E27:F27"/>
    <mergeCell ref="B29:H29"/>
    <mergeCell ref="B32:C32"/>
  </mergeCells>
  <hyperlinks>
    <hyperlink ref="B29" location="Chiffres - Monde!A1" display="(1) Retrouvez le tableau des chiffres sur lesquels se base ce graphique dans l'onglet &quot;Chiffres Résumé - Monde&quot;" xr:uid="{00000000-0004-0000-0D00-000000000000}"/>
    <hyperlink ref="D32" r:id="rId1" xr:uid="{00000000-0004-0000-0D00-000001000000}"/>
    <hyperlink ref="D33" r:id="rId2" location="/c88e37cfc43b4ed3baf977d77e4a0667" xr:uid="{00000000-0004-0000-0D00-000002000000}"/>
    <hyperlink ref="D34" r:id="rId3" xr:uid="{00000000-0004-0000-0D00-000003000000}"/>
  </hyperlinks>
  <printOptions horizontalCentered="1"/>
  <pageMargins left="0.7" right="0.7" top="0.75" bottom="0.75" header="0" footer="0"/>
  <pageSetup fitToWidth="0" pageOrder="overThenDown" orientation="landscape" cellComments="atEnd"/>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pageSetUpPr fitToPage="1"/>
  </sheetPr>
  <dimension ref="B1:H37"/>
  <sheetViews>
    <sheetView workbookViewId="0"/>
  </sheetViews>
  <sheetFormatPr baseColWidth="10" defaultColWidth="14.42578125" defaultRowHeight="15.75" customHeight="1"/>
  <cols>
    <col min="1" max="1" width="6.85546875" customWidth="1"/>
    <col min="2" max="8" width="18.7109375" customWidth="1"/>
    <col min="9" max="9" width="6.7109375" customWidth="1"/>
  </cols>
  <sheetData>
    <row r="1" spans="2:2" ht="18" customHeight="1">
      <c r="B1" s="123"/>
    </row>
    <row r="2" spans="2:2" ht="18" customHeight="1"/>
    <row r="3" spans="2:2" ht="18" customHeight="1"/>
    <row r="4" spans="2:2" ht="18" customHeight="1"/>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spans="2:8" ht="18" customHeight="1"/>
    <row r="18" spans="2:8" ht="18" customHeight="1"/>
    <row r="19" spans="2:8" ht="18" customHeight="1"/>
    <row r="20" spans="2:8" ht="18" customHeight="1"/>
    <row r="21" spans="2:8" ht="18" customHeight="1"/>
    <row r="22" spans="2:8" ht="18" customHeight="1"/>
    <row r="23" spans="2:8" ht="18" customHeight="1"/>
    <row r="24" spans="2:8" ht="18" customHeight="1"/>
    <row r="25" spans="2:8" ht="18" customHeight="1"/>
    <row r="26" spans="2:8" ht="18" customHeight="1">
      <c r="B26" s="544" t="s">
        <v>1254</v>
      </c>
      <c r="C26" s="531"/>
      <c r="D26" s="509">
        <f>'Chiffres - Monde'!C107-'Chiffres - Monde'!C106</f>
        <v>5576</v>
      </c>
      <c r="E26" s="544" t="s">
        <v>1255</v>
      </c>
      <c r="F26" s="531"/>
      <c r="G26" s="509">
        <f>'Chiffres - Monde'!C107-'Chiffres - Monde'!C100</f>
        <v>51134</v>
      </c>
    </row>
    <row r="27" spans="2:8" ht="18" customHeight="1">
      <c r="B27" s="544" t="s">
        <v>1256</v>
      </c>
      <c r="C27" s="531"/>
      <c r="D27" s="509">
        <f>'Chiffres - Monde'!C107-'Chiffres - Monde'!C105</f>
        <v>11629</v>
      </c>
      <c r="E27" s="544" t="s">
        <v>1257</v>
      </c>
      <c r="F27" s="531"/>
      <c r="G27" s="509">
        <f>'Chiffres - Monde'!C107-'Chiffres - Monde'!C77</f>
        <v>153663</v>
      </c>
    </row>
    <row r="28" spans="2:8" ht="18" customHeight="1">
      <c r="B28" s="123"/>
    </row>
    <row r="29" spans="2:8" ht="18" customHeight="1">
      <c r="B29" s="676" t="s">
        <v>1227</v>
      </c>
      <c r="C29" s="531"/>
      <c r="D29" s="531"/>
      <c r="E29" s="531"/>
      <c r="F29" s="531"/>
      <c r="G29" s="531"/>
      <c r="H29" s="531"/>
    </row>
    <row r="30" spans="2:8" ht="18" customHeight="1">
      <c r="B30" s="123"/>
    </row>
    <row r="31" spans="2:8" ht="18" customHeight="1">
      <c r="B31" s="535" t="s">
        <v>351</v>
      </c>
      <c r="C31" s="536"/>
      <c r="D31" s="536"/>
      <c r="E31" s="536"/>
      <c r="F31" s="536"/>
      <c r="G31" s="536"/>
      <c r="H31" s="674"/>
    </row>
    <row r="32" spans="2:8" ht="18" customHeight="1">
      <c r="B32" s="538" t="s">
        <v>13</v>
      </c>
      <c r="C32" s="531"/>
      <c r="D32" s="541" t="s">
        <v>15</v>
      </c>
      <c r="E32" s="531"/>
      <c r="F32" s="531"/>
      <c r="G32" s="531"/>
      <c r="H32" s="675"/>
    </row>
    <row r="33" spans="2:8" ht="18" customHeight="1">
      <c r="B33" s="669" t="s">
        <v>352</v>
      </c>
      <c r="C33" s="531"/>
      <c r="D33" s="565" t="s">
        <v>353</v>
      </c>
      <c r="E33" s="531"/>
      <c r="F33" s="531"/>
      <c r="G33" s="531"/>
      <c r="H33" s="675"/>
    </row>
    <row r="34" spans="2:8" ht="12.75">
      <c r="B34" s="660" t="s">
        <v>356</v>
      </c>
      <c r="C34" s="540"/>
      <c r="D34" s="617" t="s">
        <v>357</v>
      </c>
      <c r="E34" s="540"/>
      <c r="F34" s="540"/>
      <c r="G34" s="540"/>
      <c r="H34" s="677"/>
    </row>
    <row r="35" spans="2:8" ht="18" customHeight="1"/>
    <row r="36" spans="2:8" ht="12.75">
      <c r="B36" s="551"/>
      <c r="C36"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D36" s="531"/>
      <c r="E36" s="531"/>
      <c r="F36" s="531"/>
      <c r="G36" s="531"/>
      <c r="H36" s="531"/>
    </row>
    <row r="37" spans="2:8" ht="15.75" customHeight="1">
      <c r="B37" s="531"/>
      <c r="C37" s="531"/>
      <c r="D37" s="531"/>
      <c r="E37" s="531"/>
      <c r="F37" s="531"/>
      <c r="G37" s="531"/>
      <c r="H37" s="531"/>
    </row>
  </sheetData>
  <mergeCells count="14">
    <mergeCell ref="B33:C33"/>
    <mergeCell ref="B34:C34"/>
    <mergeCell ref="B36:B37"/>
    <mergeCell ref="D33:H33"/>
    <mergeCell ref="D34:H34"/>
    <mergeCell ref="C36:H37"/>
    <mergeCell ref="B31:H31"/>
    <mergeCell ref="D32:H32"/>
    <mergeCell ref="B26:C26"/>
    <mergeCell ref="E26:F26"/>
    <mergeCell ref="B27:C27"/>
    <mergeCell ref="E27:F27"/>
    <mergeCell ref="B29:H29"/>
    <mergeCell ref="B32:C32"/>
  </mergeCells>
  <hyperlinks>
    <hyperlink ref="B29" location="Chiffres - Monde!A1" display="(1) Retrouvez le tableau des chiffres sur lesquels se base ce graphique dans l'onglet &quot;Chiffres Résumé - Monde&quot;" xr:uid="{00000000-0004-0000-0E00-000000000000}"/>
    <hyperlink ref="D32" r:id="rId1" xr:uid="{00000000-0004-0000-0E00-000001000000}"/>
    <hyperlink ref="D33" r:id="rId2" location="/c88e37cfc43b4ed3baf977d77e4a0667" xr:uid="{00000000-0004-0000-0E00-000002000000}"/>
    <hyperlink ref="D34" r:id="rId3" xr:uid="{00000000-0004-0000-0E00-000003000000}"/>
  </hyperlinks>
  <printOptions horizontalCentered="1"/>
  <pageMargins left="0.7" right="0.7" top="0.75" bottom="0.75" header="0" footer="0"/>
  <pageSetup fitToWidth="0" pageOrder="overThenDown" orientation="landscape" cellComments="atEnd"/>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B1:I35"/>
  <sheetViews>
    <sheetView workbookViewId="0"/>
  </sheetViews>
  <sheetFormatPr baseColWidth="10" defaultColWidth="14.42578125" defaultRowHeight="15.75" customHeight="1"/>
  <cols>
    <col min="1" max="1" width="6.85546875" customWidth="1"/>
    <col min="2" max="8" width="18.7109375" customWidth="1"/>
    <col min="9" max="9" width="6.7109375" customWidth="1"/>
  </cols>
  <sheetData>
    <row r="1" spans="2:2" ht="18" customHeight="1">
      <c r="B1" s="123"/>
    </row>
    <row r="2" spans="2:2" ht="18" customHeight="1"/>
    <row r="3" spans="2:2" ht="18" customHeight="1"/>
    <row r="4" spans="2:2" ht="18" customHeight="1"/>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spans="2:9" ht="18" customHeight="1"/>
    <row r="18" spans="2:9" ht="18" customHeight="1"/>
    <row r="19" spans="2:9" ht="18" customHeight="1"/>
    <row r="20" spans="2:9" ht="18" customHeight="1"/>
    <row r="21" spans="2:9" ht="18" customHeight="1"/>
    <row r="22" spans="2:9" ht="18" customHeight="1"/>
    <row r="23" spans="2:9" ht="18" customHeight="1"/>
    <row r="24" spans="2:9" ht="18" customHeight="1"/>
    <row r="25" spans="2:9" ht="18" customHeight="1"/>
    <row r="26" spans="2:9" ht="18" customHeight="1">
      <c r="B26" s="676" t="s">
        <v>1227</v>
      </c>
      <c r="C26" s="531"/>
      <c r="D26" s="531"/>
      <c r="E26" s="531"/>
      <c r="F26" s="531"/>
      <c r="G26" s="531"/>
      <c r="H26" s="531"/>
    </row>
    <row r="27" spans="2:9" ht="18" customHeight="1">
      <c r="B27" s="123"/>
    </row>
    <row r="28" spans="2:9" ht="18" customHeight="1">
      <c r="B28" s="535" t="s">
        <v>351</v>
      </c>
      <c r="C28" s="536"/>
      <c r="D28" s="536"/>
      <c r="E28" s="536"/>
      <c r="F28" s="536"/>
      <c r="G28" s="536"/>
      <c r="H28" s="674"/>
    </row>
    <row r="29" spans="2:9" ht="18" customHeight="1">
      <c r="B29" s="538" t="s">
        <v>13</v>
      </c>
      <c r="C29" s="531"/>
      <c r="D29" s="541" t="s">
        <v>15</v>
      </c>
      <c r="E29" s="531"/>
      <c r="F29" s="531"/>
      <c r="G29" s="531"/>
      <c r="H29" s="675"/>
    </row>
    <row r="30" spans="2:9" ht="18" customHeight="1">
      <c r="B30" s="669" t="s">
        <v>352</v>
      </c>
      <c r="C30" s="531"/>
      <c r="D30" s="565" t="s">
        <v>353</v>
      </c>
      <c r="E30" s="531"/>
      <c r="F30" s="531"/>
      <c r="G30" s="531"/>
      <c r="H30" s="675"/>
    </row>
    <row r="31" spans="2:9" ht="12.75">
      <c r="B31" s="660" t="s">
        <v>356</v>
      </c>
      <c r="C31" s="540"/>
      <c r="D31" s="617" t="s">
        <v>357</v>
      </c>
      <c r="E31" s="540"/>
      <c r="F31" s="540"/>
      <c r="G31" s="540"/>
      <c r="H31" s="677"/>
      <c r="I31" s="1"/>
    </row>
    <row r="32" spans="2:9" ht="18" customHeight="1">
      <c r="B32" s="191"/>
      <c r="C32" s="191"/>
      <c r="D32" s="191"/>
      <c r="E32" s="191"/>
      <c r="F32" s="191"/>
      <c r="G32" s="191"/>
      <c r="H32" s="191"/>
      <c r="I32" s="2"/>
    </row>
    <row r="33" spans="2:9" ht="18" customHeight="1">
      <c r="B33" s="551"/>
      <c r="C33"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D33" s="531"/>
      <c r="E33" s="531"/>
      <c r="F33" s="531"/>
      <c r="G33" s="531"/>
      <c r="H33" s="531"/>
      <c r="I33" s="123"/>
    </row>
    <row r="34" spans="2:9" ht="18" customHeight="1">
      <c r="B34" s="531"/>
      <c r="C34" s="531"/>
      <c r="D34" s="531"/>
      <c r="E34" s="531"/>
      <c r="F34" s="531"/>
      <c r="G34" s="531"/>
      <c r="H34" s="531"/>
      <c r="I34" s="2"/>
    </row>
    <row r="35" spans="2:9" ht="18" customHeight="1">
      <c r="I35" s="191"/>
    </row>
  </sheetData>
  <mergeCells count="10">
    <mergeCell ref="B31:C31"/>
    <mergeCell ref="B33:B34"/>
    <mergeCell ref="C33:H34"/>
    <mergeCell ref="B26:H26"/>
    <mergeCell ref="B28:H28"/>
    <mergeCell ref="B29:C29"/>
    <mergeCell ref="D29:H29"/>
    <mergeCell ref="B30:C30"/>
    <mergeCell ref="D30:H30"/>
    <mergeCell ref="D31:H31"/>
  </mergeCells>
  <hyperlinks>
    <hyperlink ref="B26" location="Chiffres - Monde!A1" display="(1) Retrouvez le tableau des chiffres sur lesquels se base ce graphique dans l'onglet &quot;Chiffres Résumé - Monde&quot;" xr:uid="{00000000-0004-0000-0F00-000000000000}"/>
    <hyperlink ref="D29" r:id="rId1" xr:uid="{00000000-0004-0000-0F00-000001000000}"/>
    <hyperlink ref="D30" r:id="rId2" location="/c88e37cfc43b4ed3baf977d77e4a0667" xr:uid="{00000000-0004-0000-0F00-000002000000}"/>
    <hyperlink ref="D31" r:id="rId3" xr:uid="{00000000-0004-0000-0F00-000003000000}"/>
  </hyperlinks>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B1:I46"/>
  <sheetViews>
    <sheetView workbookViewId="0"/>
  </sheetViews>
  <sheetFormatPr baseColWidth="10" defaultColWidth="14.42578125" defaultRowHeight="15.75" customHeight="1"/>
  <cols>
    <col min="1" max="1" width="6.85546875" customWidth="1"/>
    <col min="10" max="10" width="11.5703125" customWidth="1"/>
    <col min="11" max="11" width="9.140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spans="2:8" ht="18" customHeight="1"/>
    <row r="18" spans="2:8" ht="18" customHeight="1"/>
    <row r="19" spans="2:8" ht="18" customHeight="1"/>
    <row r="20" spans="2:8" ht="18" customHeight="1"/>
    <row r="21" spans="2:8" ht="18" customHeight="1"/>
    <row r="22" spans="2:8" ht="18" customHeight="1"/>
    <row r="23" spans="2:8" ht="18" customHeight="1"/>
    <row r="24" spans="2:8" ht="18" customHeight="1"/>
    <row r="25" spans="2:8" ht="18" customHeight="1"/>
    <row r="26" spans="2:8" ht="18" customHeight="1">
      <c r="B26" s="676" t="s">
        <v>1227</v>
      </c>
      <c r="C26" s="531"/>
      <c r="D26" s="531"/>
      <c r="E26" s="531"/>
      <c r="F26" s="531"/>
      <c r="G26" s="531"/>
      <c r="H26" s="531"/>
    </row>
    <row r="27" spans="2:8" ht="12.75">
      <c r="B27" s="123"/>
    </row>
    <row r="28" spans="2:8" ht="12.75">
      <c r="B28" s="535" t="s">
        <v>351</v>
      </c>
      <c r="C28" s="536"/>
      <c r="D28" s="536"/>
      <c r="E28" s="536"/>
      <c r="F28" s="536"/>
      <c r="G28" s="536"/>
      <c r="H28" s="674"/>
    </row>
    <row r="29" spans="2:8" ht="12.75">
      <c r="B29" s="538" t="s">
        <v>13</v>
      </c>
      <c r="C29" s="531"/>
      <c r="D29" s="541" t="s">
        <v>15</v>
      </c>
      <c r="E29" s="531"/>
      <c r="F29" s="531"/>
      <c r="G29" s="531"/>
      <c r="H29" s="675"/>
    </row>
    <row r="30" spans="2:8" ht="12.75">
      <c r="B30" s="669" t="s">
        <v>352</v>
      </c>
      <c r="C30" s="531"/>
      <c r="D30" s="565" t="s">
        <v>353</v>
      </c>
      <c r="E30" s="531"/>
      <c r="F30" s="531"/>
      <c r="G30" s="531"/>
      <c r="H30" s="675"/>
    </row>
    <row r="31" spans="2:8" ht="12.75">
      <c r="B31" s="660" t="s">
        <v>356</v>
      </c>
      <c r="C31" s="540"/>
      <c r="D31" s="617" t="s">
        <v>357</v>
      </c>
      <c r="E31" s="540"/>
      <c r="F31" s="540"/>
      <c r="G31" s="540"/>
      <c r="H31" s="677"/>
    </row>
    <row r="32" spans="2:8" ht="12.75">
      <c r="B32" s="191"/>
      <c r="C32" s="191"/>
      <c r="D32" s="191"/>
      <c r="E32" s="191"/>
      <c r="F32" s="191"/>
      <c r="G32" s="191"/>
      <c r="H32" s="191"/>
    </row>
    <row r="33" spans="2:9" ht="12.75">
      <c r="B33" s="551"/>
      <c r="C33"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D33" s="531"/>
      <c r="E33" s="531"/>
      <c r="F33" s="531"/>
      <c r="G33" s="531"/>
      <c r="H33" s="531"/>
    </row>
    <row r="34" spans="2:9" ht="15.75" customHeight="1">
      <c r="B34" s="531"/>
      <c r="C34" s="531"/>
      <c r="D34" s="531"/>
      <c r="E34" s="531"/>
      <c r="F34" s="531"/>
      <c r="G34" s="531"/>
      <c r="H34" s="531"/>
    </row>
    <row r="42" spans="2:9" ht="12.75">
      <c r="I42" s="1"/>
    </row>
    <row r="43" spans="2:9" ht="12.75">
      <c r="I43" s="2"/>
    </row>
    <row r="44" spans="2:9" ht="12.75">
      <c r="I44" s="123"/>
    </row>
    <row r="45" spans="2:9" ht="12.75">
      <c r="I45" s="2"/>
    </row>
    <row r="46" spans="2:9" ht="12.75">
      <c r="I46" s="191"/>
    </row>
  </sheetData>
  <mergeCells count="10">
    <mergeCell ref="B31:C31"/>
    <mergeCell ref="B33:B34"/>
    <mergeCell ref="C33:H34"/>
    <mergeCell ref="B26:H26"/>
    <mergeCell ref="B28:H28"/>
    <mergeCell ref="B29:C29"/>
    <mergeCell ref="D29:H29"/>
    <mergeCell ref="B30:C30"/>
    <mergeCell ref="D30:H30"/>
    <mergeCell ref="D31:H31"/>
  </mergeCells>
  <hyperlinks>
    <hyperlink ref="B26" location="Chiffres - Monde!A1" display="(1) Retrouvez le tableau des chiffres sur lesquels se base ce graphique dans l'onglet &quot;Chiffres Résumé - Monde&quot;" xr:uid="{00000000-0004-0000-1000-000000000000}"/>
    <hyperlink ref="D29" r:id="rId1" xr:uid="{00000000-0004-0000-1000-000001000000}"/>
    <hyperlink ref="D30" r:id="rId2" location="/c88e37cfc43b4ed3baf977d77e4a0667" xr:uid="{00000000-0004-0000-1000-000002000000}"/>
    <hyperlink ref="D31" r:id="rId3" xr:uid="{00000000-0004-0000-1000-000003000000}"/>
  </hyperlinks>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B1:I35"/>
  <sheetViews>
    <sheetView workbookViewId="0"/>
  </sheetViews>
  <sheetFormatPr baseColWidth="10" defaultColWidth="14.42578125" defaultRowHeight="15.75" customHeight="1"/>
  <cols>
    <col min="1" max="1" width="6.85546875" customWidth="1"/>
    <col min="2" max="8" width="18.7109375" customWidth="1"/>
    <col min="9" max="9" width="6.7109375" customWidth="1"/>
  </cols>
  <sheetData>
    <row r="1" spans="2:2" ht="18" customHeight="1">
      <c r="B1" s="123"/>
    </row>
    <row r="2" spans="2:2" ht="18" customHeight="1"/>
    <row r="3" spans="2:2" ht="18" customHeight="1"/>
    <row r="4" spans="2:2" ht="18" customHeight="1"/>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spans="2:9" ht="18" customHeight="1"/>
    <row r="18" spans="2:9" ht="18" customHeight="1"/>
    <row r="19" spans="2:9" ht="18" customHeight="1"/>
    <row r="20" spans="2:9" ht="18" customHeight="1"/>
    <row r="21" spans="2:9" ht="18" customHeight="1"/>
    <row r="22" spans="2:9" ht="18" customHeight="1"/>
    <row r="23" spans="2:9" ht="18" customHeight="1"/>
    <row r="24" spans="2:9" ht="18" customHeight="1"/>
    <row r="25" spans="2:9" ht="18" customHeight="1"/>
    <row r="26" spans="2:9" ht="18" customHeight="1">
      <c r="B26" s="676" t="s">
        <v>1227</v>
      </c>
      <c r="C26" s="531"/>
      <c r="D26" s="531"/>
      <c r="E26" s="531"/>
      <c r="F26" s="531"/>
      <c r="G26" s="531"/>
      <c r="H26" s="531"/>
    </row>
    <row r="27" spans="2:9" ht="18" customHeight="1">
      <c r="B27" s="123"/>
    </row>
    <row r="28" spans="2:9" ht="18" customHeight="1">
      <c r="B28" s="535" t="s">
        <v>351</v>
      </c>
      <c r="C28" s="536"/>
      <c r="D28" s="536"/>
      <c r="E28" s="536"/>
      <c r="F28" s="536"/>
      <c r="G28" s="536"/>
      <c r="H28" s="674"/>
    </row>
    <row r="29" spans="2:9" ht="18" customHeight="1">
      <c r="B29" s="538" t="s">
        <v>13</v>
      </c>
      <c r="C29" s="531"/>
      <c r="D29" s="541" t="s">
        <v>15</v>
      </c>
      <c r="E29" s="531"/>
      <c r="F29" s="531"/>
      <c r="G29" s="531"/>
      <c r="H29" s="675"/>
    </row>
    <row r="30" spans="2:9" ht="18" customHeight="1">
      <c r="B30" s="669" t="s">
        <v>352</v>
      </c>
      <c r="C30" s="531"/>
      <c r="D30" s="565" t="s">
        <v>353</v>
      </c>
      <c r="E30" s="531"/>
      <c r="F30" s="531"/>
      <c r="G30" s="531"/>
      <c r="H30" s="675"/>
      <c r="I30" s="1"/>
    </row>
    <row r="31" spans="2:9" ht="12.75">
      <c r="B31" s="660" t="s">
        <v>356</v>
      </c>
      <c r="C31" s="540"/>
      <c r="D31" s="617" t="s">
        <v>357</v>
      </c>
      <c r="E31" s="540"/>
      <c r="F31" s="540"/>
      <c r="G31" s="540"/>
      <c r="H31" s="677"/>
      <c r="I31" s="2"/>
    </row>
    <row r="32" spans="2:9" ht="18" customHeight="1">
      <c r="B32" s="191"/>
      <c r="C32" s="191"/>
      <c r="D32" s="191"/>
      <c r="E32" s="191"/>
      <c r="F32" s="191"/>
      <c r="G32" s="191"/>
      <c r="H32" s="191"/>
      <c r="I32" s="123"/>
    </row>
    <row r="33" spans="2:9" ht="12.75">
      <c r="B33" s="551"/>
      <c r="C33"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D33" s="531"/>
      <c r="E33" s="531"/>
      <c r="F33" s="531"/>
      <c r="G33" s="531"/>
      <c r="H33" s="531"/>
      <c r="I33" s="2"/>
    </row>
    <row r="34" spans="2:9" ht="18" customHeight="1">
      <c r="B34" s="531"/>
      <c r="C34" s="531"/>
      <c r="D34" s="531"/>
      <c r="E34" s="531"/>
      <c r="F34" s="531"/>
      <c r="G34" s="531"/>
      <c r="H34" s="531"/>
      <c r="I34" s="191"/>
    </row>
    <row r="35" spans="2:9" ht="18" customHeight="1">
      <c r="I35" s="526"/>
    </row>
  </sheetData>
  <mergeCells count="10">
    <mergeCell ref="B31:C31"/>
    <mergeCell ref="B33:B34"/>
    <mergeCell ref="C33:H34"/>
    <mergeCell ref="B26:H26"/>
    <mergeCell ref="B28:H28"/>
    <mergeCell ref="B29:C29"/>
    <mergeCell ref="D29:H29"/>
    <mergeCell ref="B30:C30"/>
    <mergeCell ref="D30:H30"/>
    <mergeCell ref="D31:H31"/>
  </mergeCells>
  <hyperlinks>
    <hyperlink ref="B26" location="Chiffres - Monde!A1" display="(1) Retrouvez le tableau des chiffres sur lesquels se base ce graphique dans l'onglet &quot;Chiffres Résumé - Monde&quot;" xr:uid="{00000000-0004-0000-1100-000000000000}"/>
    <hyperlink ref="D29" r:id="rId1" xr:uid="{00000000-0004-0000-1100-000001000000}"/>
    <hyperlink ref="D30" r:id="rId2" location="/c88e37cfc43b4ed3baf977d77e4a0667" xr:uid="{00000000-0004-0000-1100-000002000000}"/>
    <hyperlink ref="D31" r:id="rId3" xr:uid="{00000000-0004-0000-1100-000003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C22"/>
  <sheetViews>
    <sheetView workbookViewId="0"/>
  </sheetViews>
  <sheetFormatPr baseColWidth="10" defaultColWidth="14.42578125" defaultRowHeight="15.75" customHeight="1"/>
  <cols>
    <col min="1" max="1" width="5.7109375" customWidth="1"/>
    <col min="10" max="10" width="4" customWidth="1"/>
    <col min="11" max="14" width="14.85546875" customWidth="1"/>
  </cols>
  <sheetData>
    <row r="1" spans="2:29" ht="12.75" customHeight="1"/>
    <row r="2" spans="2:29" ht="12.75">
      <c r="B2" s="531"/>
      <c r="C2" s="531"/>
      <c r="D2" s="531"/>
      <c r="E2" s="531"/>
      <c r="F2" s="531"/>
      <c r="G2" s="531"/>
      <c r="H2" s="531"/>
      <c r="I2" s="531"/>
      <c r="K2" s="534" t="s">
        <v>0</v>
      </c>
      <c r="L2" s="531"/>
      <c r="M2" s="531"/>
      <c r="N2" s="531"/>
    </row>
    <row r="3" spans="2:29" ht="15.75" customHeight="1">
      <c r="B3" s="531"/>
      <c r="C3" s="531"/>
      <c r="D3" s="531"/>
      <c r="E3" s="531"/>
      <c r="F3" s="531"/>
      <c r="G3" s="531"/>
      <c r="H3" s="531"/>
      <c r="I3" s="531"/>
      <c r="K3" s="531"/>
      <c r="L3" s="531"/>
      <c r="M3" s="531"/>
      <c r="N3" s="531"/>
    </row>
    <row r="4" spans="2:29" ht="15.75" customHeight="1">
      <c r="B4" s="531"/>
      <c r="C4" s="531"/>
      <c r="D4" s="531"/>
      <c r="E4" s="531"/>
      <c r="F4" s="531"/>
      <c r="G4" s="531"/>
      <c r="H4" s="531"/>
      <c r="I4" s="531"/>
      <c r="K4" s="531"/>
      <c r="L4" s="531"/>
      <c r="M4" s="531"/>
      <c r="N4" s="531"/>
    </row>
    <row r="5" spans="2:29" ht="12.75">
      <c r="B5" s="531"/>
      <c r="C5" s="531"/>
      <c r="D5" s="531"/>
      <c r="E5" s="531"/>
      <c r="F5" s="531"/>
      <c r="G5" s="531"/>
      <c r="H5" s="531"/>
      <c r="I5" s="531"/>
      <c r="K5" s="531"/>
      <c r="L5" s="531"/>
      <c r="M5" s="531"/>
      <c r="N5" s="531"/>
      <c r="O5" s="1"/>
      <c r="P5" s="1"/>
      <c r="Q5" s="1"/>
      <c r="R5" s="1"/>
    </row>
    <row r="6" spans="2:29" ht="12.75">
      <c r="B6" s="531"/>
      <c r="C6" s="531"/>
      <c r="D6" s="531"/>
      <c r="E6" s="531"/>
      <c r="F6" s="531"/>
      <c r="G6" s="531"/>
      <c r="H6" s="531"/>
      <c r="I6" s="531"/>
      <c r="K6" s="531"/>
      <c r="L6" s="531"/>
      <c r="M6" s="531"/>
      <c r="N6" s="531"/>
      <c r="O6" s="2"/>
      <c r="P6" s="2"/>
      <c r="Q6" s="2"/>
      <c r="R6" s="2"/>
      <c r="S6" s="2"/>
      <c r="T6" s="2"/>
      <c r="U6" s="2"/>
      <c r="V6" s="2"/>
      <c r="W6" s="2"/>
      <c r="X6" s="2"/>
      <c r="Y6" s="2"/>
      <c r="Z6" s="2"/>
      <c r="AA6" s="2"/>
      <c r="AB6" s="2"/>
      <c r="AC6" s="7"/>
    </row>
    <row r="7" spans="2:29" ht="12.75">
      <c r="B7" s="531"/>
      <c r="C7" s="531"/>
      <c r="D7" s="531"/>
      <c r="E7" s="531"/>
      <c r="F7" s="531"/>
      <c r="G7" s="531"/>
      <c r="H7" s="531"/>
      <c r="I7" s="531"/>
      <c r="K7" s="531"/>
      <c r="L7" s="531"/>
      <c r="M7" s="531"/>
      <c r="N7" s="531"/>
      <c r="O7" s="2"/>
      <c r="P7" s="2"/>
      <c r="Q7" s="2"/>
      <c r="R7" s="2"/>
      <c r="S7" s="2"/>
      <c r="T7" s="2"/>
      <c r="U7" s="2"/>
      <c r="V7" s="2"/>
      <c r="W7" s="2"/>
      <c r="X7" s="2"/>
      <c r="Y7" s="2"/>
      <c r="Z7" s="2"/>
      <c r="AA7" s="2"/>
      <c r="AB7" s="2"/>
      <c r="AC7" s="7"/>
    </row>
    <row r="8" spans="2:29">
      <c r="B8" s="531"/>
      <c r="C8" s="531"/>
      <c r="D8" s="531"/>
      <c r="E8" s="531"/>
      <c r="F8" s="531"/>
      <c r="G8" s="531"/>
      <c r="H8" s="531"/>
      <c r="I8" s="531"/>
      <c r="K8" s="9"/>
      <c r="L8" s="9"/>
      <c r="M8" s="9"/>
    </row>
    <row r="9" spans="2:29" ht="15.75" customHeight="1">
      <c r="B9" s="531"/>
      <c r="C9" s="531"/>
      <c r="D9" s="531"/>
      <c r="E9" s="531"/>
      <c r="F9" s="531"/>
      <c r="G9" s="531"/>
      <c r="H9" s="531"/>
      <c r="I9" s="531"/>
    </row>
    <row r="10" spans="2:29" ht="15.75" customHeight="1">
      <c r="B10" s="531"/>
      <c r="C10" s="531"/>
      <c r="D10" s="531"/>
      <c r="E10" s="531"/>
      <c r="F10" s="531"/>
      <c r="G10" s="531"/>
      <c r="H10" s="531"/>
      <c r="I10" s="531"/>
    </row>
    <row r="11" spans="2:29" ht="15.75" customHeight="1">
      <c r="B11" s="531"/>
      <c r="C11" s="531"/>
      <c r="D11" s="531"/>
      <c r="E11" s="531"/>
      <c r="F11" s="531"/>
      <c r="G11" s="531"/>
      <c r="H11" s="531"/>
      <c r="I11" s="531"/>
    </row>
    <row r="12" spans="2:29" ht="15.75" customHeight="1">
      <c r="B12" s="531"/>
      <c r="C12" s="531"/>
      <c r="D12" s="531"/>
      <c r="E12" s="531"/>
      <c r="F12" s="531"/>
      <c r="G12" s="531"/>
      <c r="H12" s="531"/>
      <c r="I12" s="531"/>
    </row>
    <row r="13" spans="2:29" ht="15.75" customHeight="1">
      <c r="B13" s="531"/>
      <c r="C13" s="531"/>
      <c r="D13" s="531"/>
      <c r="E13" s="531"/>
      <c r="F13" s="531"/>
      <c r="G13" s="531"/>
      <c r="H13" s="531"/>
      <c r="I13" s="531"/>
    </row>
    <row r="14" spans="2:29" ht="15.75" customHeight="1">
      <c r="B14" s="531"/>
      <c r="C14" s="531"/>
      <c r="D14" s="531"/>
      <c r="E14" s="531"/>
      <c r="F14" s="531"/>
      <c r="G14" s="531"/>
      <c r="H14" s="531"/>
      <c r="I14" s="531"/>
    </row>
    <row r="15" spans="2:29" ht="15.75" customHeight="1">
      <c r="B15" s="531"/>
      <c r="C15" s="531"/>
      <c r="D15" s="531"/>
      <c r="E15" s="531"/>
      <c r="F15" s="531"/>
      <c r="G15" s="531"/>
      <c r="H15" s="531"/>
      <c r="I15" s="531"/>
    </row>
    <row r="16" spans="2:29" ht="12.75">
      <c r="B16" s="531"/>
      <c r="C16" s="531"/>
      <c r="D16" s="531"/>
      <c r="E16" s="531"/>
      <c r="F16" s="531"/>
      <c r="G16" s="531"/>
      <c r="H16" s="531"/>
      <c r="I16" s="531"/>
      <c r="K16" s="535" t="s">
        <v>12</v>
      </c>
      <c r="L16" s="536"/>
      <c r="M16" s="536"/>
      <c r="N16" s="537"/>
    </row>
    <row r="17" spans="2:14" ht="12.75">
      <c r="B17" s="531"/>
      <c r="C17" s="531"/>
      <c r="D17" s="531"/>
      <c r="E17" s="531"/>
      <c r="F17" s="531"/>
      <c r="G17" s="531"/>
      <c r="H17" s="531"/>
      <c r="I17" s="531"/>
      <c r="K17" s="538" t="s">
        <v>13</v>
      </c>
      <c r="L17" s="531"/>
      <c r="M17" s="541" t="s">
        <v>15</v>
      </c>
      <c r="N17" s="532"/>
    </row>
    <row r="18" spans="2:14" ht="12.75">
      <c r="B18" s="531"/>
      <c r="C18" s="531"/>
      <c r="D18" s="531"/>
      <c r="E18" s="531"/>
      <c r="F18" s="531"/>
      <c r="G18" s="531"/>
      <c r="H18" s="531"/>
      <c r="I18" s="531"/>
      <c r="K18" s="539"/>
      <c r="L18" s="540"/>
      <c r="M18" s="540"/>
      <c r="N18" s="542"/>
    </row>
    <row r="19" spans="2:14" ht="12.75">
      <c r="B19" s="531"/>
      <c r="C19" s="531"/>
      <c r="D19" s="531"/>
      <c r="E19" s="531"/>
      <c r="F19" s="531"/>
      <c r="G19" s="531"/>
      <c r="H19" s="531"/>
      <c r="I19" s="531"/>
      <c r="K19" s="538" t="s">
        <v>19</v>
      </c>
      <c r="L19" s="531"/>
      <c r="M19" s="541" t="s">
        <v>20</v>
      </c>
      <c r="N19" s="532"/>
    </row>
    <row r="20" spans="2:14" ht="12.75">
      <c r="B20" s="531"/>
      <c r="C20" s="531"/>
      <c r="D20" s="531"/>
      <c r="E20" s="531"/>
      <c r="F20" s="531"/>
      <c r="G20" s="531"/>
      <c r="H20" s="531"/>
      <c r="I20" s="531"/>
      <c r="K20" s="543"/>
      <c r="L20" s="531"/>
      <c r="M20" s="531"/>
      <c r="N20" s="532"/>
    </row>
    <row r="21" spans="2:14" ht="12.75">
      <c r="B21" s="531"/>
      <c r="C21" s="531"/>
      <c r="D21" s="531"/>
      <c r="E21" s="531"/>
      <c r="F21" s="531"/>
      <c r="G21" s="531"/>
      <c r="H21" s="531"/>
      <c r="I21" s="531"/>
      <c r="K21" s="539"/>
      <c r="L21" s="540"/>
      <c r="M21" s="540"/>
      <c r="N21" s="542"/>
    </row>
    <row r="22" spans="2:14" ht="12.75">
      <c r="B22" s="533" t="s">
        <v>31</v>
      </c>
      <c r="C22" s="531"/>
      <c r="D22" s="531"/>
    </row>
  </sheetData>
  <mergeCells count="8">
    <mergeCell ref="B22:D22"/>
    <mergeCell ref="B2:I21"/>
    <mergeCell ref="K2:N7"/>
    <mergeCell ref="K16:N16"/>
    <mergeCell ref="K17:L18"/>
    <mergeCell ref="M17:N18"/>
    <mergeCell ref="K19:L21"/>
    <mergeCell ref="M19:N21"/>
  </mergeCells>
  <hyperlinks>
    <hyperlink ref="M17" r:id="rId1" xr:uid="{00000000-0004-0000-0100-000000000000}"/>
    <hyperlink ref="M19" r:id="rId2" xr:uid="{00000000-0004-0000-01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EE1078"/>
  <sheetViews>
    <sheetView workbookViewId="0">
      <pane xSplit="8" ySplit="5" topLeftCell="I6" activePane="bottomRight" state="frozen"/>
      <selection pane="topRight" activeCell="I1" sqref="I1"/>
      <selection pane="bottomLeft" activeCell="A6" sqref="A6"/>
      <selection pane="bottomRight" activeCell="I6" sqref="I6"/>
    </sheetView>
  </sheetViews>
  <sheetFormatPr baseColWidth="10" defaultColWidth="14.42578125" defaultRowHeight="15.75" customHeight="1"/>
  <cols>
    <col min="1" max="1" width="10.42578125" customWidth="1"/>
    <col min="2" max="2" width="6.42578125" customWidth="1"/>
    <col min="3" max="3" width="4.5703125" customWidth="1"/>
    <col min="4" max="4" width="5.28515625" customWidth="1"/>
    <col min="5" max="5" width="6.85546875" customWidth="1"/>
    <col min="6" max="6" width="5" customWidth="1"/>
    <col min="7" max="7" width="4" customWidth="1"/>
    <col min="8" max="8" width="6.140625" customWidth="1"/>
    <col min="9" max="11" width="5.7109375" customWidth="1"/>
    <col min="12" max="12" width="6.85546875" customWidth="1"/>
    <col min="13" max="13" width="5.7109375" customWidth="1"/>
    <col min="14" max="14" width="7" customWidth="1"/>
    <col min="15" max="15" width="4.85546875" customWidth="1"/>
    <col min="16" max="16" width="3.85546875" customWidth="1"/>
    <col min="17" max="17" width="5" customWidth="1"/>
    <col min="18" max="18" width="5.140625" customWidth="1"/>
    <col min="19" max="20" width="3.85546875" customWidth="1"/>
    <col min="21" max="25" width="4.85546875" customWidth="1"/>
    <col min="26" max="26" width="5.5703125" customWidth="1"/>
    <col min="27" max="27" width="5.85546875" customWidth="1"/>
    <col min="28" max="32" width="4.5703125" customWidth="1"/>
    <col min="33" max="33" width="4" customWidth="1"/>
    <col min="34" max="41" width="4.5703125" customWidth="1"/>
    <col min="42" max="42" width="4.85546875" customWidth="1"/>
    <col min="43" max="43" width="5.85546875" customWidth="1"/>
    <col min="44" max="44" width="5.5703125" customWidth="1"/>
    <col min="45" max="45" width="4.85546875" customWidth="1"/>
    <col min="46" max="47" width="3.85546875" customWidth="1"/>
    <col min="48" max="48" width="6" customWidth="1"/>
    <col min="49" max="49" width="5.85546875" customWidth="1"/>
    <col min="50" max="51" width="4.85546875" customWidth="1"/>
    <col min="52" max="52" width="5.7109375" customWidth="1"/>
    <col min="53" max="55" width="4.85546875" customWidth="1"/>
    <col min="56" max="60" width="4.42578125" customWidth="1"/>
    <col min="61" max="63" width="4.28515625" customWidth="1"/>
    <col min="64" max="64" width="5" customWidth="1"/>
    <col min="65" max="65" width="4.28515625" customWidth="1"/>
    <col min="66" max="71" width="4" customWidth="1"/>
    <col min="72" max="76" width="4.42578125" customWidth="1"/>
    <col min="77" max="80" width="4.7109375" customWidth="1"/>
    <col min="81" max="85" width="4.5703125" customWidth="1"/>
    <col min="86" max="90" width="4.42578125" customWidth="1"/>
    <col min="91" max="93" width="5.7109375" customWidth="1"/>
    <col min="94" max="97" width="4.7109375" customWidth="1"/>
    <col min="98" max="98" width="5" customWidth="1"/>
    <col min="99" max="100" width="4.42578125" customWidth="1"/>
    <col min="101" max="101" width="4.85546875" customWidth="1"/>
    <col min="102" max="103" width="3.5703125" customWidth="1"/>
    <col min="104" max="108" width="3.85546875" customWidth="1"/>
    <col min="109" max="112" width="5.28515625" customWidth="1"/>
    <col min="113" max="113" width="6.42578125" customWidth="1"/>
    <col min="114" max="114" width="6" customWidth="1"/>
    <col min="115" max="115" width="5" customWidth="1"/>
    <col min="116" max="116" width="4.5703125" customWidth="1"/>
    <col min="117" max="118" width="4.42578125" customWidth="1"/>
    <col min="119" max="119" width="4.5703125" customWidth="1"/>
    <col min="120" max="120" width="5.5703125" customWidth="1"/>
    <col min="121" max="121" width="5.28515625" customWidth="1"/>
    <col min="122" max="128" width="4.5703125" customWidth="1"/>
    <col min="129" max="129" width="5.7109375" customWidth="1"/>
    <col min="130" max="133" width="4.42578125" customWidth="1"/>
    <col min="134" max="134" width="64.85546875" customWidth="1"/>
    <col min="135" max="135" width="62.28515625" customWidth="1"/>
  </cols>
  <sheetData>
    <row r="1" spans="1:135" ht="12.75">
      <c r="A1" s="530" t="s">
        <v>16</v>
      </c>
      <c r="B1" s="530" t="s">
        <v>17</v>
      </c>
      <c r="C1" s="531"/>
      <c r="D1" s="531"/>
      <c r="E1" s="531"/>
      <c r="F1" s="531"/>
      <c r="G1" s="531"/>
      <c r="H1" s="532"/>
      <c r="I1" s="530" t="s">
        <v>18</v>
      </c>
      <c r="J1" s="531"/>
      <c r="K1" s="531"/>
      <c r="L1" s="531"/>
      <c r="M1" s="531"/>
      <c r="N1" s="531"/>
      <c r="O1" s="531"/>
      <c r="P1" s="531"/>
      <c r="Q1" s="531"/>
      <c r="R1" s="531"/>
      <c r="S1" s="531"/>
      <c r="T1" s="531"/>
      <c r="U1" s="531"/>
      <c r="V1" s="531"/>
      <c r="W1" s="531"/>
      <c r="X1" s="531"/>
      <c r="Y1" s="531"/>
      <c r="Z1" s="531"/>
      <c r="AA1" s="531"/>
      <c r="AB1" s="531"/>
      <c r="AC1" s="531"/>
      <c r="AD1" s="531"/>
      <c r="AE1" s="531"/>
      <c r="AF1" s="531"/>
      <c r="AG1" s="531"/>
      <c r="AH1" s="531"/>
      <c r="AI1" s="531"/>
      <c r="AJ1" s="531"/>
      <c r="AK1" s="531"/>
      <c r="AL1" s="531"/>
      <c r="AM1" s="531"/>
      <c r="AN1" s="531"/>
      <c r="AO1" s="531"/>
      <c r="AP1" s="531"/>
      <c r="AQ1" s="531"/>
      <c r="AR1" s="531"/>
      <c r="AS1" s="531"/>
      <c r="AT1" s="531"/>
      <c r="AU1" s="531"/>
      <c r="AV1" s="531"/>
      <c r="AW1" s="531"/>
      <c r="AX1" s="531"/>
      <c r="AY1" s="531"/>
      <c r="AZ1" s="531"/>
      <c r="BA1" s="531"/>
      <c r="BB1" s="531"/>
      <c r="BC1" s="531"/>
      <c r="BD1" s="531"/>
      <c r="BE1" s="531"/>
      <c r="BF1" s="531"/>
      <c r="BG1" s="531"/>
      <c r="BH1" s="531"/>
      <c r="BI1" s="531"/>
      <c r="BJ1" s="531"/>
      <c r="BK1" s="531"/>
      <c r="BL1" s="531"/>
      <c r="BM1" s="531"/>
      <c r="BN1" s="531"/>
      <c r="BO1" s="531"/>
      <c r="BP1" s="531"/>
      <c r="BQ1" s="531"/>
      <c r="BR1" s="531"/>
      <c r="BS1" s="531"/>
      <c r="BT1" s="531"/>
      <c r="BU1" s="531"/>
      <c r="BV1" s="531"/>
      <c r="BW1" s="531"/>
      <c r="BX1" s="531"/>
      <c r="BY1" s="531"/>
      <c r="BZ1" s="531"/>
      <c r="CA1" s="531"/>
      <c r="CB1" s="531"/>
      <c r="CC1" s="531"/>
      <c r="CD1" s="531"/>
      <c r="CE1" s="531"/>
      <c r="CF1" s="531"/>
      <c r="CG1" s="531"/>
      <c r="CH1" s="531"/>
      <c r="CI1" s="531"/>
      <c r="CJ1" s="531"/>
      <c r="CK1" s="531"/>
      <c r="CL1" s="531"/>
      <c r="CM1" s="531"/>
      <c r="CN1" s="531"/>
      <c r="CO1" s="531"/>
      <c r="CP1" s="531"/>
      <c r="CQ1" s="531"/>
      <c r="CR1" s="531"/>
      <c r="CS1" s="531"/>
      <c r="CT1" s="531"/>
      <c r="CU1" s="531"/>
      <c r="CV1" s="531"/>
      <c r="CW1" s="531"/>
      <c r="CX1" s="531"/>
      <c r="CY1" s="531"/>
      <c r="CZ1" s="531"/>
      <c r="DA1" s="531"/>
      <c r="DB1" s="531"/>
      <c r="DC1" s="531"/>
      <c r="DD1" s="531"/>
      <c r="DE1" s="531"/>
      <c r="DF1" s="531"/>
      <c r="DG1" s="531"/>
      <c r="DH1" s="531"/>
      <c r="DI1" s="531"/>
      <c r="DJ1" s="531"/>
      <c r="DK1" s="531"/>
      <c r="DL1" s="531"/>
      <c r="DM1" s="531"/>
      <c r="DN1" s="531"/>
      <c r="DO1" s="531"/>
      <c r="DP1" s="531"/>
      <c r="DQ1" s="531"/>
      <c r="DR1" s="531"/>
      <c r="DS1" s="531"/>
      <c r="DT1" s="531"/>
      <c r="DU1" s="531"/>
      <c r="DV1" s="531"/>
      <c r="DW1" s="531"/>
      <c r="DX1" s="531"/>
      <c r="DY1" s="531"/>
      <c r="DZ1" s="531"/>
      <c r="EA1" s="531"/>
      <c r="EB1" s="531"/>
      <c r="EC1" s="531"/>
      <c r="ED1" s="12"/>
      <c r="EE1" s="3"/>
    </row>
    <row r="2" spans="1:135" ht="12.75">
      <c r="A2" s="531"/>
      <c r="B2" s="531"/>
      <c r="C2" s="531"/>
      <c r="D2" s="531"/>
      <c r="E2" s="531"/>
      <c r="F2" s="531"/>
      <c r="G2" s="531"/>
      <c r="H2" s="532"/>
      <c r="I2" s="530" t="s">
        <v>21</v>
      </c>
      <c r="J2" s="531"/>
      <c r="K2" s="532"/>
      <c r="L2" s="530" t="s">
        <v>22</v>
      </c>
      <c r="M2" s="531"/>
      <c r="N2" s="532"/>
      <c r="O2" s="530" t="s">
        <v>23</v>
      </c>
      <c r="P2" s="531"/>
      <c r="Q2" s="531"/>
      <c r="R2" s="531"/>
      <c r="S2" s="531"/>
      <c r="T2" s="532"/>
      <c r="U2" s="530" t="s">
        <v>24</v>
      </c>
      <c r="V2" s="531"/>
      <c r="W2" s="531"/>
      <c r="X2" s="531"/>
      <c r="Y2" s="532"/>
      <c r="Z2" s="530" t="s">
        <v>25</v>
      </c>
      <c r="AA2" s="531"/>
      <c r="AB2" s="531"/>
      <c r="AC2" s="531"/>
      <c r="AD2" s="532"/>
      <c r="AE2" s="530" t="s">
        <v>26</v>
      </c>
      <c r="AF2" s="531"/>
      <c r="AG2" s="531"/>
      <c r="AH2" s="531"/>
      <c r="AI2" s="531"/>
      <c r="AJ2" s="532"/>
      <c r="AK2" s="530" t="s">
        <v>27</v>
      </c>
      <c r="AL2" s="531"/>
      <c r="AM2" s="531"/>
      <c r="AN2" s="531"/>
      <c r="AO2" s="532"/>
      <c r="AP2" s="530" t="s">
        <v>28</v>
      </c>
      <c r="AQ2" s="531"/>
      <c r="AR2" s="531"/>
      <c r="AS2" s="531"/>
      <c r="AT2" s="531"/>
      <c r="AU2" s="532"/>
      <c r="AV2" s="530" t="s">
        <v>29</v>
      </c>
      <c r="AW2" s="531"/>
      <c r="AX2" s="531"/>
      <c r="AY2" s="532"/>
      <c r="AZ2" s="530" t="s">
        <v>30</v>
      </c>
      <c r="BA2" s="531"/>
      <c r="BB2" s="531"/>
      <c r="BC2" s="532"/>
      <c r="BD2" s="530" t="s">
        <v>32</v>
      </c>
      <c r="BE2" s="531"/>
      <c r="BF2" s="531"/>
      <c r="BG2" s="531"/>
      <c r="BH2" s="532"/>
      <c r="BI2" s="530" t="s">
        <v>33</v>
      </c>
      <c r="BJ2" s="531"/>
      <c r="BK2" s="531"/>
      <c r="BL2" s="531"/>
      <c r="BM2" s="532"/>
      <c r="BN2" s="607" t="s">
        <v>34</v>
      </c>
      <c r="BO2" s="531"/>
      <c r="BP2" s="531"/>
      <c r="BQ2" s="531"/>
      <c r="BR2" s="531"/>
      <c r="BS2" s="532"/>
      <c r="BT2" s="530" t="s">
        <v>35</v>
      </c>
      <c r="BU2" s="531"/>
      <c r="BV2" s="531"/>
      <c r="BW2" s="531"/>
      <c r="BX2" s="532"/>
      <c r="BY2" s="530" t="s">
        <v>36</v>
      </c>
      <c r="BZ2" s="531"/>
      <c r="CA2" s="531"/>
      <c r="CB2" s="532"/>
      <c r="CC2" s="530" t="s">
        <v>37</v>
      </c>
      <c r="CD2" s="531"/>
      <c r="CE2" s="531"/>
      <c r="CF2" s="531"/>
      <c r="CG2" s="532"/>
      <c r="CH2" s="530" t="s">
        <v>38</v>
      </c>
      <c r="CI2" s="531"/>
      <c r="CJ2" s="531"/>
      <c r="CK2" s="531"/>
      <c r="CL2" s="532"/>
      <c r="CM2" s="530" t="s">
        <v>39</v>
      </c>
      <c r="CN2" s="531"/>
      <c r="CO2" s="532"/>
      <c r="CP2" s="530" t="s">
        <v>40</v>
      </c>
      <c r="CQ2" s="531"/>
      <c r="CR2" s="531"/>
      <c r="CS2" s="532"/>
      <c r="CT2" s="530" t="s">
        <v>41</v>
      </c>
      <c r="CU2" s="531"/>
      <c r="CV2" s="531"/>
      <c r="CW2" s="531"/>
      <c r="CX2" s="531"/>
      <c r="CY2" s="532"/>
      <c r="CZ2" s="530" t="s">
        <v>42</v>
      </c>
      <c r="DA2" s="531"/>
      <c r="DB2" s="531"/>
      <c r="DC2" s="531"/>
      <c r="DD2" s="532"/>
      <c r="DE2" s="530" t="s">
        <v>43</v>
      </c>
      <c r="DF2" s="531"/>
      <c r="DG2" s="531"/>
      <c r="DH2" s="532"/>
      <c r="DI2" s="530" t="s">
        <v>44</v>
      </c>
      <c r="DJ2" s="531"/>
      <c r="DK2" s="531"/>
      <c r="DL2" s="531"/>
      <c r="DM2" s="531"/>
      <c r="DN2" s="532"/>
      <c r="DO2" s="530" t="s">
        <v>45</v>
      </c>
      <c r="DP2" s="531"/>
      <c r="DQ2" s="531"/>
      <c r="DR2" s="531"/>
      <c r="DS2" s="532"/>
      <c r="DT2" s="530" t="s">
        <v>46</v>
      </c>
      <c r="DU2" s="531"/>
      <c r="DV2" s="531"/>
      <c r="DW2" s="531"/>
      <c r="DX2" s="532"/>
      <c r="DY2" s="530" t="s">
        <v>47</v>
      </c>
      <c r="DZ2" s="531"/>
      <c r="EA2" s="531"/>
      <c r="EB2" s="531"/>
      <c r="EC2" s="532"/>
      <c r="ED2" s="530" t="s">
        <v>6</v>
      </c>
      <c r="EE2" s="530" t="s">
        <v>7</v>
      </c>
    </row>
    <row r="3" spans="1:135" ht="12.75">
      <c r="A3" s="531"/>
      <c r="B3" s="530" t="s">
        <v>48</v>
      </c>
      <c r="C3" s="531"/>
      <c r="D3" s="531"/>
      <c r="E3" s="531"/>
      <c r="F3" s="531"/>
      <c r="G3" s="531"/>
      <c r="H3" s="532"/>
      <c r="I3" s="530" t="s">
        <v>49</v>
      </c>
      <c r="J3" s="531"/>
      <c r="K3" s="532"/>
      <c r="L3" s="530" t="s">
        <v>50</v>
      </c>
      <c r="M3" s="531"/>
      <c r="N3" s="532"/>
      <c r="O3" s="530" t="s">
        <v>51</v>
      </c>
      <c r="P3" s="531"/>
      <c r="Q3" s="531"/>
      <c r="R3" s="531"/>
      <c r="S3" s="531"/>
      <c r="T3" s="532"/>
      <c r="U3" s="530" t="s">
        <v>52</v>
      </c>
      <c r="V3" s="531"/>
      <c r="W3" s="531"/>
      <c r="X3" s="531"/>
      <c r="Y3" s="532"/>
      <c r="Z3" s="530" t="s">
        <v>53</v>
      </c>
      <c r="AA3" s="531"/>
      <c r="AB3" s="531"/>
      <c r="AC3" s="531"/>
      <c r="AD3" s="532"/>
      <c r="AE3" s="530" t="s">
        <v>54</v>
      </c>
      <c r="AF3" s="531"/>
      <c r="AG3" s="531"/>
      <c r="AH3" s="531"/>
      <c r="AI3" s="531"/>
      <c r="AJ3" s="532"/>
      <c r="AK3" s="530" t="s">
        <v>55</v>
      </c>
      <c r="AL3" s="531"/>
      <c r="AM3" s="531"/>
      <c r="AN3" s="531"/>
      <c r="AO3" s="532"/>
      <c r="AP3" s="530" t="s">
        <v>56</v>
      </c>
      <c r="AQ3" s="531"/>
      <c r="AR3" s="531"/>
      <c r="AS3" s="531"/>
      <c r="AT3" s="531"/>
      <c r="AU3" s="532"/>
      <c r="AV3" s="530" t="s">
        <v>57</v>
      </c>
      <c r="AW3" s="531"/>
      <c r="AX3" s="531"/>
      <c r="AY3" s="532"/>
      <c r="AZ3" s="530" t="s">
        <v>58</v>
      </c>
      <c r="BA3" s="531"/>
      <c r="BB3" s="531"/>
      <c r="BC3" s="532"/>
      <c r="BD3" s="530" t="s">
        <v>59</v>
      </c>
      <c r="BE3" s="531"/>
      <c r="BF3" s="531"/>
      <c r="BG3" s="531"/>
      <c r="BH3" s="532"/>
      <c r="BI3" s="530" t="s">
        <v>60</v>
      </c>
      <c r="BJ3" s="531"/>
      <c r="BK3" s="531"/>
      <c r="BL3" s="531"/>
      <c r="BM3" s="532"/>
      <c r="BN3" s="607" t="s">
        <v>61</v>
      </c>
      <c r="BO3" s="531"/>
      <c r="BP3" s="531"/>
      <c r="BQ3" s="531"/>
      <c r="BR3" s="531"/>
      <c r="BS3" s="532"/>
      <c r="BT3" s="530" t="s">
        <v>62</v>
      </c>
      <c r="BU3" s="531"/>
      <c r="BV3" s="531"/>
      <c r="BW3" s="531"/>
      <c r="BX3" s="532"/>
      <c r="BY3" s="530" t="s">
        <v>63</v>
      </c>
      <c r="BZ3" s="531"/>
      <c r="CA3" s="531"/>
      <c r="CB3" s="532"/>
      <c r="CC3" s="530" t="s">
        <v>64</v>
      </c>
      <c r="CD3" s="531"/>
      <c r="CE3" s="531"/>
      <c r="CF3" s="531"/>
      <c r="CG3" s="532"/>
      <c r="CH3" s="530" t="s">
        <v>65</v>
      </c>
      <c r="CI3" s="531"/>
      <c r="CJ3" s="531"/>
      <c r="CK3" s="531"/>
      <c r="CL3" s="532"/>
      <c r="CM3" s="530" t="s">
        <v>66</v>
      </c>
      <c r="CN3" s="531"/>
      <c r="CO3" s="532"/>
      <c r="CP3" s="530" t="s">
        <v>67</v>
      </c>
      <c r="CQ3" s="531"/>
      <c r="CR3" s="531"/>
      <c r="CS3" s="532"/>
      <c r="CT3" s="530" t="s">
        <v>68</v>
      </c>
      <c r="CU3" s="531"/>
      <c r="CV3" s="531"/>
      <c r="CW3" s="531"/>
      <c r="CX3" s="531"/>
      <c r="CY3" s="532"/>
      <c r="CZ3" s="530" t="s">
        <v>69</v>
      </c>
      <c r="DA3" s="531"/>
      <c r="DB3" s="531"/>
      <c r="DC3" s="531"/>
      <c r="DD3" s="532"/>
      <c r="DE3" s="530" t="s">
        <v>70</v>
      </c>
      <c r="DF3" s="531"/>
      <c r="DG3" s="531"/>
      <c r="DH3" s="532"/>
      <c r="DI3" s="530" t="s">
        <v>71</v>
      </c>
      <c r="DJ3" s="531"/>
      <c r="DK3" s="531"/>
      <c r="DL3" s="531"/>
      <c r="DM3" s="531"/>
      <c r="DN3" s="532"/>
      <c r="DO3" s="530" t="s">
        <v>72</v>
      </c>
      <c r="DP3" s="531"/>
      <c r="DQ3" s="531"/>
      <c r="DR3" s="531"/>
      <c r="DS3" s="532"/>
      <c r="DT3" s="530" t="s">
        <v>73</v>
      </c>
      <c r="DU3" s="531"/>
      <c r="DV3" s="531"/>
      <c r="DW3" s="531"/>
      <c r="DX3" s="532"/>
      <c r="DY3" s="530" t="s">
        <v>74</v>
      </c>
      <c r="DZ3" s="531"/>
      <c r="EA3" s="531"/>
      <c r="EB3" s="531"/>
      <c r="EC3" s="532"/>
      <c r="ED3" s="531"/>
      <c r="EE3" s="531"/>
    </row>
    <row r="4" spans="1:135" ht="12.75">
      <c r="A4" s="531"/>
      <c r="B4" s="530"/>
      <c r="C4" s="531"/>
      <c r="D4" s="531"/>
      <c r="E4" s="531"/>
      <c r="F4" s="531"/>
      <c r="G4" s="531"/>
      <c r="H4" s="532"/>
      <c r="I4" s="530"/>
      <c r="J4" s="531"/>
      <c r="K4" s="532"/>
      <c r="L4" s="530"/>
      <c r="M4" s="531"/>
      <c r="N4" s="532"/>
      <c r="O4" s="530"/>
      <c r="P4" s="531"/>
      <c r="Q4" s="531"/>
      <c r="R4" s="531"/>
      <c r="S4" s="531"/>
      <c r="T4" s="532"/>
      <c r="U4" s="530"/>
      <c r="V4" s="531"/>
      <c r="W4" s="531"/>
      <c r="X4" s="531"/>
      <c r="Y4" s="532"/>
      <c r="Z4" s="530"/>
      <c r="AA4" s="531"/>
      <c r="AB4" s="531"/>
      <c r="AC4" s="531"/>
      <c r="AD4" s="532"/>
      <c r="AE4" s="530"/>
      <c r="AF4" s="531"/>
      <c r="AG4" s="531"/>
      <c r="AH4" s="531"/>
      <c r="AI4" s="531"/>
      <c r="AJ4" s="532"/>
      <c r="AK4" s="530"/>
      <c r="AL4" s="531"/>
      <c r="AM4" s="531"/>
      <c r="AN4" s="531"/>
      <c r="AO4" s="532"/>
      <c r="AP4" s="530"/>
      <c r="AQ4" s="531"/>
      <c r="AR4" s="531"/>
      <c r="AS4" s="531"/>
      <c r="AT4" s="531"/>
      <c r="AU4" s="532"/>
      <c r="AV4" s="530"/>
      <c r="AW4" s="531"/>
      <c r="AX4" s="531"/>
      <c r="AY4" s="532"/>
      <c r="AZ4" s="530"/>
      <c r="BA4" s="531"/>
      <c r="BB4" s="531"/>
      <c r="BC4" s="532"/>
      <c r="BD4" s="530"/>
      <c r="BE4" s="531"/>
      <c r="BF4" s="531"/>
      <c r="BG4" s="531"/>
      <c r="BH4" s="532"/>
      <c r="BI4" s="530"/>
      <c r="BJ4" s="531"/>
      <c r="BK4" s="531"/>
      <c r="BL4" s="531"/>
      <c r="BM4" s="532"/>
      <c r="BN4" s="607"/>
      <c r="BO4" s="531"/>
      <c r="BP4" s="531"/>
      <c r="BQ4" s="531"/>
      <c r="BR4" s="531"/>
      <c r="BS4" s="532"/>
      <c r="BT4" s="530"/>
      <c r="BU4" s="531"/>
      <c r="BV4" s="531"/>
      <c r="BW4" s="531"/>
      <c r="BX4" s="532"/>
      <c r="BY4" s="530"/>
      <c r="BZ4" s="531"/>
      <c r="CA4" s="531"/>
      <c r="CB4" s="532"/>
      <c r="CC4" s="530"/>
      <c r="CD4" s="531"/>
      <c r="CE4" s="531"/>
      <c r="CF4" s="531"/>
      <c r="CG4" s="532"/>
      <c r="CH4" s="530"/>
      <c r="CI4" s="531"/>
      <c r="CJ4" s="531"/>
      <c r="CK4" s="531"/>
      <c r="CL4" s="532"/>
      <c r="CM4" s="530"/>
      <c r="CN4" s="531"/>
      <c r="CO4" s="532"/>
      <c r="CP4" s="530"/>
      <c r="CQ4" s="531"/>
      <c r="CR4" s="531"/>
      <c r="CS4" s="532"/>
      <c r="CT4" s="530"/>
      <c r="CU4" s="531"/>
      <c r="CV4" s="531"/>
      <c r="CW4" s="531"/>
      <c r="CX4" s="531"/>
      <c r="CY4" s="532"/>
      <c r="CZ4" s="530"/>
      <c r="DA4" s="531"/>
      <c r="DB4" s="531"/>
      <c r="DC4" s="531"/>
      <c r="DD4" s="532"/>
      <c r="DE4" s="530"/>
      <c r="DF4" s="531"/>
      <c r="DG4" s="531"/>
      <c r="DH4" s="532"/>
      <c r="DI4" s="530"/>
      <c r="DJ4" s="531"/>
      <c r="DK4" s="531"/>
      <c r="DL4" s="531"/>
      <c r="DM4" s="531"/>
      <c r="DN4" s="532"/>
      <c r="DO4" s="530"/>
      <c r="DP4" s="531"/>
      <c r="DQ4" s="531"/>
      <c r="DR4" s="531"/>
      <c r="DS4" s="532"/>
      <c r="DT4" s="530"/>
      <c r="DU4" s="531"/>
      <c r="DV4" s="531"/>
      <c r="DW4" s="531"/>
      <c r="DX4" s="532"/>
      <c r="DY4" s="530"/>
      <c r="DZ4" s="531"/>
      <c r="EA4" s="531"/>
      <c r="EB4" s="531"/>
      <c r="EC4" s="532"/>
      <c r="ED4" s="531"/>
      <c r="EE4" s="531"/>
    </row>
    <row r="5" spans="1:135" ht="12.75">
      <c r="A5" s="531"/>
      <c r="B5" s="5" t="s">
        <v>99</v>
      </c>
      <c r="C5" s="6" t="s">
        <v>100</v>
      </c>
      <c r="D5" s="10" t="s">
        <v>102</v>
      </c>
      <c r="E5" s="25" t="s">
        <v>103</v>
      </c>
      <c r="F5" s="26" t="s">
        <v>109</v>
      </c>
      <c r="G5" s="28" t="s">
        <v>113</v>
      </c>
      <c r="H5" s="29" t="s">
        <v>121</v>
      </c>
      <c r="I5" s="30" t="s">
        <v>99</v>
      </c>
      <c r="J5" s="31" t="s">
        <v>100</v>
      </c>
      <c r="K5" s="32" t="s">
        <v>102</v>
      </c>
      <c r="L5" s="30" t="s">
        <v>99</v>
      </c>
      <c r="M5" s="31" t="s">
        <v>100</v>
      </c>
      <c r="N5" s="32" t="s">
        <v>102</v>
      </c>
      <c r="O5" s="30" t="s">
        <v>99</v>
      </c>
      <c r="P5" s="31" t="s">
        <v>100</v>
      </c>
      <c r="Q5" s="33" t="s">
        <v>102</v>
      </c>
      <c r="R5" s="26" t="s">
        <v>149</v>
      </c>
      <c r="S5" s="28" t="s">
        <v>151</v>
      </c>
      <c r="T5" s="29" t="s">
        <v>153</v>
      </c>
      <c r="U5" s="30" t="s">
        <v>99</v>
      </c>
      <c r="V5" s="31" t="s">
        <v>100</v>
      </c>
      <c r="W5" s="33" t="s">
        <v>102</v>
      </c>
      <c r="X5" s="26" t="s">
        <v>149</v>
      </c>
      <c r="Y5" s="35" t="s">
        <v>151</v>
      </c>
      <c r="Z5" s="30" t="s">
        <v>99</v>
      </c>
      <c r="AA5" s="31" t="s">
        <v>100</v>
      </c>
      <c r="AB5" s="33" t="s">
        <v>102</v>
      </c>
      <c r="AC5" s="26" t="s">
        <v>149</v>
      </c>
      <c r="AD5" s="35" t="s">
        <v>151</v>
      </c>
      <c r="AE5" s="30" t="s">
        <v>99</v>
      </c>
      <c r="AF5" s="31" t="s">
        <v>100</v>
      </c>
      <c r="AG5" s="33" t="s">
        <v>102</v>
      </c>
      <c r="AH5" s="26" t="s">
        <v>149</v>
      </c>
      <c r="AI5" s="28" t="s">
        <v>151</v>
      </c>
      <c r="AJ5" s="29" t="s">
        <v>153</v>
      </c>
      <c r="AK5" s="30" t="s">
        <v>99</v>
      </c>
      <c r="AL5" s="31" t="s">
        <v>100</v>
      </c>
      <c r="AM5" s="33" t="s">
        <v>102</v>
      </c>
      <c r="AN5" s="26" t="s">
        <v>149</v>
      </c>
      <c r="AO5" s="35" t="s">
        <v>151</v>
      </c>
      <c r="AP5" s="30" t="s">
        <v>99</v>
      </c>
      <c r="AQ5" s="31" t="s">
        <v>100</v>
      </c>
      <c r="AR5" s="33" t="s">
        <v>102</v>
      </c>
      <c r="AS5" s="26" t="s">
        <v>149</v>
      </c>
      <c r="AT5" s="28" t="s">
        <v>151</v>
      </c>
      <c r="AU5" s="29" t="s">
        <v>153</v>
      </c>
      <c r="AV5" s="30" t="s">
        <v>99</v>
      </c>
      <c r="AW5" s="31" t="s">
        <v>100</v>
      </c>
      <c r="AX5" s="33" t="s">
        <v>102</v>
      </c>
      <c r="AY5" s="36" t="s">
        <v>149</v>
      </c>
      <c r="AZ5" s="30" t="s">
        <v>99</v>
      </c>
      <c r="BA5" s="31" t="s">
        <v>100</v>
      </c>
      <c r="BB5" s="33" t="s">
        <v>102</v>
      </c>
      <c r="BC5" s="36" t="s">
        <v>149</v>
      </c>
      <c r="BD5" s="30" t="s">
        <v>99</v>
      </c>
      <c r="BE5" s="31" t="s">
        <v>100</v>
      </c>
      <c r="BF5" s="33" t="s">
        <v>102</v>
      </c>
      <c r="BG5" s="26" t="s">
        <v>149</v>
      </c>
      <c r="BH5" s="35" t="s">
        <v>151</v>
      </c>
      <c r="BI5" s="30" t="s">
        <v>99</v>
      </c>
      <c r="BJ5" s="31" t="s">
        <v>100</v>
      </c>
      <c r="BK5" s="33" t="s">
        <v>102</v>
      </c>
      <c r="BL5" s="26" t="s">
        <v>149</v>
      </c>
      <c r="BM5" s="28" t="s">
        <v>151</v>
      </c>
      <c r="BN5" s="37" t="s">
        <v>99</v>
      </c>
      <c r="BO5" s="31" t="s">
        <v>100</v>
      </c>
      <c r="BP5" s="33" t="s">
        <v>102</v>
      </c>
      <c r="BQ5" s="26" t="s">
        <v>149</v>
      </c>
      <c r="BR5" s="28" t="s">
        <v>151</v>
      </c>
      <c r="BS5" s="29" t="s">
        <v>153</v>
      </c>
      <c r="BT5" s="30" t="s">
        <v>99</v>
      </c>
      <c r="BU5" s="31" t="s">
        <v>100</v>
      </c>
      <c r="BV5" s="33" t="s">
        <v>102</v>
      </c>
      <c r="BW5" s="26" t="s">
        <v>149</v>
      </c>
      <c r="BX5" s="35" t="s">
        <v>151</v>
      </c>
      <c r="BY5" s="30" t="s">
        <v>99</v>
      </c>
      <c r="BZ5" s="31" t="s">
        <v>100</v>
      </c>
      <c r="CA5" s="33" t="s">
        <v>102</v>
      </c>
      <c r="CB5" s="36" t="s">
        <v>149</v>
      </c>
      <c r="CC5" s="30" t="s">
        <v>99</v>
      </c>
      <c r="CD5" s="31" t="s">
        <v>100</v>
      </c>
      <c r="CE5" s="33" t="s">
        <v>102</v>
      </c>
      <c r="CF5" s="26" t="s">
        <v>149</v>
      </c>
      <c r="CG5" s="35" t="s">
        <v>151</v>
      </c>
      <c r="CH5" s="30" t="s">
        <v>99</v>
      </c>
      <c r="CI5" s="31" t="s">
        <v>100</v>
      </c>
      <c r="CJ5" s="33" t="s">
        <v>102</v>
      </c>
      <c r="CK5" s="26" t="s">
        <v>149</v>
      </c>
      <c r="CL5" s="35" t="s">
        <v>151</v>
      </c>
      <c r="CM5" s="30" t="s">
        <v>99</v>
      </c>
      <c r="CN5" s="31" t="s">
        <v>100</v>
      </c>
      <c r="CO5" s="32" t="s">
        <v>102</v>
      </c>
      <c r="CP5" s="30" t="s">
        <v>99</v>
      </c>
      <c r="CQ5" s="31" t="s">
        <v>100</v>
      </c>
      <c r="CR5" s="33" t="s">
        <v>102</v>
      </c>
      <c r="CS5" s="36" t="s">
        <v>149</v>
      </c>
      <c r="CT5" s="30" t="s">
        <v>99</v>
      </c>
      <c r="CU5" s="31" t="s">
        <v>100</v>
      </c>
      <c r="CV5" s="33" t="s">
        <v>102</v>
      </c>
      <c r="CW5" s="26" t="s">
        <v>149</v>
      </c>
      <c r="CX5" s="28" t="s">
        <v>151</v>
      </c>
      <c r="CY5" s="29" t="s">
        <v>153</v>
      </c>
      <c r="CZ5" s="30" t="s">
        <v>99</v>
      </c>
      <c r="DA5" s="31" t="s">
        <v>100</v>
      </c>
      <c r="DB5" s="33" t="s">
        <v>102</v>
      </c>
      <c r="DC5" s="26" t="s">
        <v>149</v>
      </c>
      <c r="DD5" s="29" t="s">
        <v>153</v>
      </c>
      <c r="DE5" s="30" t="s">
        <v>99</v>
      </c>
      <c r="DF5" s="31" t="s">
        <v>100</v>
      </c>
      <c r="DG5" s="33" t="s">
        <v>102</v>
      </c>
      <c r="DH5" s="36" t="s">
        <v>185</v>
      </c>
      <c r="DI5" s="30" t="s">
        <v>99</v>
      </c>
      <c r="DJ5" s="31" t="s">
        <v>100</v>
      </c>
      <c r="DK5" s="33" t="s">
        <v>102</v>
      </c>
      <c r="DL5" s="26" t="s">
        <v>149</v>
      </c>
      <c r="DM5" s="35" t="s">
        <v>151</v>
      </c>
      <c r="DN5" s="29" t="s">
        <v>153</v>
      </c>
      <c r="DO5" s="30" t="s">
        <v>99</v>
      </c>
      <c r="DP5" s="31" t="s">
        <v>100</v>
      </c>
      <c r="DQ5" s="33" t="s">
        <v>102</v>
      </c>
      <c r="DR5" s="26" t="s">
        <v>149</v>
      </c>
      <c r="DS5" s="35" t="s">
        <v>151</v>
      </c>
      <c r="DT5" s="30" t="s">
        <v>99</v>
      </c>
      <c r="DU5" s="31" t="s">
        <v>100</v>
      </c>
      <c r="DV5" s="33" t="s">
        <v>102</v>
      </c>
      <c r="DW5" s="26" t="s">
        <v>149</v>
      </c>
      <c r="DX5" s="35" t="s">
        <v>151</v>
      </c>
      <c r="DY5" s="30" t="s">
        <v>99</v>
      </c>
      <c r="DZ5" s="31" t="s">
        <v>100</v>
      </c>
      <c r="EA5" s="33" t="s">
        <v>102</v>
      </c>
      <c r="EB5" s="26" t="s">
        <v>149</v>
      </c>
      <c r="EC5" s="29" t="s">
        <v>153</v>
      </c>
      <c r="ED5" s="531"/>
      <c r="EE5" s="531"/>
    </row>
    <row r="6" spans="1:135" ht="12.75">
      <c r="A6" s="40">
        <v>43815</v>
      </c>
      <c r="B6" s="15">
        <f>SUM(I6,L6,O6,U6,Z6,AE6,AK6,AP6,AV6,AZ6,BD6,BI6,BN6,BT6,BY6,CC6,CH6,CM6,CP6,CT6,CZ6,DE6,DI6,DO6,DT6,DY6)</f>
        <v>0</v>
      </c>
      <c r="C6" s="15">
        <v>0</v>
      </c>
      <c r="D6" s="15">
        <v>0</v>
      </c>
      <c r="E6" s="15">
        <f t="shared" ref="E6:G6" si="0">B6-C6-D6</f>
        <v>0</v>
      </c>
      <c r="F6" s="15">
        <f t="shared" si="0"/>
        <v>0</v>
      </c>
      <c r="G6" s="15">
        <f t="shared" si="0"/>
        <v>0</v>
      </c>
      <c r="H6" s="15">
        <f t="shared" ref="H6:H66" si="1">AU6</f>
        <v>0</v>
      </c>
      <c r="I6" s="15">
        <v>0</v>
      </c>
      <c r="J6" s="15">
        <v>0</v>
      </c>
      <c r="K6" s="17">
        <v>0</v>
      </c>
      <c r="L6" s="15">
        <v>0</v>
      </c>
      <c r="M6" s="15">
        <v>0</v>
      </c>
      <c r="N6" s="17">
        <v>0</v>
      </c>
      <c r="O6" s="15">
        <v>0</v>
      </c>
      <c r="P6" s="15">
        <v>0</v>
      </c>
      <c r="Q6" s="15">
        <v>0</v>
      </c>
      <c r="R6" s="15">
        <v>0</v>
      </c>
      <c r="S6" s="15">
        <v>0</v>
      </c>
      <c r="T6" s="17">
        <v>0</v>
      </c>
      <c r="U6" s="15">
        <v>0</v>
      </c>
      <c r="V6" s="15">
        <v>0</v>
      </c>
      <c r="W6" s="15">
        <v>0</v>
      </c>
      <c r="X6" s="15">
        <v>0</v>
      </c>
      <c r="Y6" s="17">
        <v>0</v>
      </c>
      <c r="Z6" s="15">
        <v>0</v>
      </c>
      <c r="AA6" s="15">
        <v>0</v>
      </c>
      <c r="AB6" s="15">
        <v>0</v>
      </c>
      <c r="AC6" s="15">
        <v>0</v>
      </c>
      <c r="AD6" s="17">
        <v>0</v>
      </c>
      <c r="AE6" s="15">
        <v>0</v>
      </c>
      <c r="AF6" s="15">
        <v>0</v>
      </c>
      <c r="AG6" s="15">
        <v>0</v>
      </c>
      <c r="AH6" s="15">
        <v>0</v>
      </c>
      <c r="AI6" s="15">
        <v>0</v>
      </c>
      <c r="AJ6" s="17">
        <v>0</v>
      </c>
      <c r="AK6" s="15">
        <v>0</v>
      </c>
      <c r="AL6" s="15">
        <v>0</v>
      </c>
      <c r="AM6" s="15">
        <v>0</v>
      </c>
      <c r="AN6" s="15">
        <v>0</v>
      </c>
      <c r="AO6" s="17">
        <v>0</v>
      </c>
      <c r="AP6" s="15">
        <v>0</v>
      </c>
      <c r="AQ6" s="15">
        <v>0</v>
      </c>
      <c r="AR6" s="15">
        <v>0</v>
      </c>
      <c r="AS6" s="15">
        <v>0</v>
      </c>
      <c r="AT6" s="15"/>
      <c r="AU6" s="17">
        <v>0</v>
      </c>
      <c r="AV6" s="15">
        <v>0</v>
      </c>
      <c r="AW6" s="15">
        <v>0</v>
      </c>
      <c r="AX6" s="15">
        <v>0</v>
      </c>
      <c r="AY6" s="17">
        <v>0</v>
      </c>
      <c r="AZ6" s="15">
        <v>0</v>
      </c>
      <c r="BA6" s="15">
        <v>0</v>
      </c>
      <c r="BB6" s="15">
        <v>0</v>
      </c>
      <c r="BC6" s="17">
        <v>0</v>
      </c>
      <c r="BD6" s="15">
        <v>0</v>
      </c>
      <c r="BE6" s="15">
        <v>0</v>
      </c>
      <c r="BF6" s="15">
        <v>0</v>
      </c>
      <c r="BG6" s="15">
        <v>0</v>
      </c>
      <c r="BH6" s="17">
        <v>0</v>
      </c>
      <c r="BI6" s="15">
        <v>0</v>
      </c>
      <c r="BJ6" s="15">
        <v>0</v>
      </c>
      <c r="BK6" s="15">
        <v>0</v>
      </c>
      <c r="BL6" s="15">
        <v>0</v>
      </c>
      <c r="BM6" s="17">
        <v>0</v>
      </c>
      <c r="BN6" s="15">
        <v>0</v>
      </c>
      <c r="BO6" s="15">
        <v>0</v>
      </c>
      <c r="BP6" s="15">
        <v>0</v>
      </c>
      <c r="BQ6" s="15">
        <v>0</v>
      </c>
      <c r="BR6" s="15">
        <v>0</v>
      </c>
      <c r="BS6" s="17">
        <v>0</v>
      </c>
      <c r="BT6" s="15">
        <v>0</v>
      </c>
      <c r="BU6" s="15">
        <v>0</v>
      </c>
      <c r="BV6" s="15">
        <v>0</v>
      </c>
      <c r="BW6" s="15">
        <v>0</v>
      </c>
      <c r="BX6" s="17">
        <v>0</v>
      </c>
      <c r="BY6" s="15">
        <v>0</v>
      </c>
      <c r="BZ6" s="15">
        <v>0</v>
      </c>
      <c r="CA6" s="15">
        <v>0</v>
      </c>
      <c r="CB6" s="17">
        <v>0</v>
      </c>
      <c r="CC6" s="15">
        <v>0</v>
      </c>
      <c r="CD6" s="15">
        <v>0</v>
      </c>
      <c r="CE6" s="15">
        <v>0</v>
      </c>
      <c r="CF6" s="15">
        <v>0</v>
      </c>
      <c r="CG6" s="17">
        <v>0</v>
      </c>
      <c r="CH6" s="15">
        <v>0</v>
      </c>
      <c r="CI6" s="15">
        <v>0</v>
      </c>
      <c r="CJ6" s="15">
        <v>0</v>
      </c>
      <c r="CK6" s="15">
        <v>0</v>
      </c>
      <c r="CL6" s="17">
        <v>0</v>
      </c>
      <c r="CM6" s="15">
        <v>0</v>
      </c>
      <c r="CN6" s="15">
        <v>0</v>
      </c>
      <c r="CO6" s="17">
        <v>0</v>
      </c>
      <c r="CP6" s="15">
        <v>0</v>
      </c>
      <c r="CQ6" s="15">
        <v>0</v>
      </c>
      <c r="CR6" s="15">
        <v>0</v>
      </c>
      <c r="CS6" s="17">
        <v>0</v>
      </c>
      <c r="CT6" s="15">
        <v>0</v>
      </c>
      <c r="CU6" s="15">
        <v>0</v>
      </c>
      <c r="CV6" s="15">
        <v>0</v>
      </c>
      <c r="CW6" s="15">
        <v>0</v>
      </c>
      <c r="CX6" s="15">
        <v>0</v>
      </c>
      <c r="CY6" s="17">
        <v>0</v>
      </c>
      <c r="CZ6" s="15">
        <v>0</v>
      </c>
      <c r="DA6" s="15">
        <v>0</v>
      </c>
      <c r="DB6" s="15">
        <v>0</v>
      </c>
      <c r="DC6" s="15">
        <v>0</v>
      </c>
      <c r="DD6" s="17">
        <v>0</v>
      </c>
      <c r="DE6" s="15">
        <v>0</v>
      </c>
      <c r="DF6" s="15">
        <v>0</v>
      </c>
      <c r="DG6" s="15">
        <v>0</v>
      </c>
      <c r="DH6" s="17">
        <v>0</v>
      </c>
      <c r="DI6" s="15">
        <v>0</v>
      </c>
      <c r="DJ6" s="15">
        <v>0</v>
      </c>
      <c r="DK6" s="15">
        <v>0</v>
      </c>
      <c r="DL6" s="15">
        <v>0</v>
      </c>
      <c r="DM6" s="15">
        <v>0</v>
      </c>
      <c r="DN6" s="17">
        <v>0</v>
      </c>
      <c r="DO6" s="15">
        <v>0</v>
      </c>
      <c r="DP6" s="15">
        <v>0</v>
      </c>
      <c r="DQ6" s="15">
        <v>0</v>
      </c>
      <c r="DR6" s="15">
        <v>0</v>
      </c>
      <c r="DS6" s="17">
        <v>0</v>
      </c>
      <c r="DT6" s="15">
        <v>0</v>
      </c>
      <c r="DU6" s="15">
        <v>0</v>
      </c>
      <c r="DV6" s="15">
        <v>0</v>
      </c>
      <c r="DW6" s="15">
        <v>0</v>
      </c>
      <c r="DX6" s="17">
        <v>0</v>
      </c>
      <c r="DY6" s="15">
        <v>0</v>
      </c>
      <c r="DZ6" s="15">
        <v>0</v>
      </c>
      <c r="EA6" s="15">
        <v>0</v>
      </c>
      <c r="EB6" s="41">
        <v>0</v>
      </c>
      <c r="EC6" s="17">
        <v>0</v>
      </c>
      <c r="ED6" s="42"/>
      <c r="EE6" s="15"/>
    </row>
    <row r="7" spans="1:135" ht="12.75">
      <c r="A7" s="43">
        <v>43830</v>
      </c>
      <c r="B7" s="22">
        <v>0</v>
      </c>
      <c r="C7" s="22">
        <v>0</v>
      </c>
      <c r="D7" s="22">
        <v>0</v>
      </c>
      <c r="E7" s="22">
        <f t="shared" ref="E7:G7" si="2">B7-C7-D7</f>
        <v>0</v>
      </c>
      <c r="F7" s="22">
        <f t="shared" si="2"/>
        <v>0</v>
      </c>
      <c r="G7" s="22">
        <f t="shared" si="2"/>
        <v>0</v>
      </c>
      <c r="H7" s="22">
        <f t="shared" si="1"/>
        <v>0</v>
      </c>
      <c r="I7" s="22">
        <v>0</v>
      </c>
      <c r="J7" s="22">
        <v>0</v>
      </c>
      <c r="K7" s="24">
        <v>0</v>
      </c>
      <c r="L7" s="22">
        <v>0</v>
      </c>
      <c r="M7" s="22">
        <v>0</v>
      </c>
      <c r="N7" s="24">
        <v>0</v>
      </c>
      <c r="O7" s="22">
        <v>0</v>
      </c>
      <c r="P7" s="22">
        <v>0</v>
      </c>
      <c r="Q7" s="22">
        <v>0</v>
      </c>
      <c r="R7" s="22">
        <v>0</v>
      </c>
      <c r="S7" s="22">
        <v>0</v>
      </c>
      <c r="T7" s="24">
        <v>0</v>
      </c>
      <c r="U7" s="22">
        <v>0</v>
      </c>
      <c r="V7" s="22">
        <v>0</v>
      </c>
      <c r="W7" s="22">
        <v>0</v>
      </c>
      <c r="X7" s="22">
        <v>0</v>
      </c>
      <c r="Y7" s="24">
        <v>0</v>
      </c>
      <c r="Z7" s="22">
        <v>0</v>
      </c>
      <c r="AA7" s="22">
        <v>0</v>
      </c>
      <c r="AB7" s="22">
        <v>0</v>
      </c>
      <c r="AC7" s="22">
        <v>0</v>
      </c>
      <c r="AD7" s="24">
        <v>0</v>
      </c>
      <c r="AE7" s="22">
        <v>0</v>
      </c>
      <c r="AF7" s="22">
        <v>0</v>
      </c>
      <c r="AG7" s="22">
        <v>0</v>
      </c>
      <c r="AH7" s="22">
        <v>0</v>
      </c>
      <c r="AI7" s="22">
        <v>0</v>
      </c>
      <c r="AJ7" s="24">
        <v>0</v>
      </c>
      <c r="AK7" s="22">
        <v>0</v>
      </c>
      <c r="AL7" s="22">
        <v>0</v>
      </c>
      <c r="AM7" s="22">
        <v>0</v>
      </c>
      <c r="AN7" s="22">
        <v>0</v>
      </c>
      <c r="AO7" s="24">
        <v>0</v>
      </c>
      <c r="AP7" s="22">
        <v>0</v>
      </c>
      <c r="AQ7" s="22">
        <v>0</v>
      </c>
      <c r="AR7" s="22">
        <v>0</v>
      </c>
      <c r="AS7" s="15">
        <v>0</v>
      </c>
      <c r="AT7" s="22"/>
      <c r="AU7" s="24">
        <v>0</v>
      </c>
      <c r="AV7" s="22">
        <v>0</v>
      </c>
      <c r="AW7" s="22">
        <v>0</v>
      </c>
      <c r="AX7" s="15">
        <v>0</v>
      </c>
      <c r="AY7" s="24">
        <v>0</v>
      </c>
      <c r="AZ7" s="22">
        <v>0</v>
      </c>
      <c r="BA7" s="22">
        <v>0</v>
      </c>
      <c r="BB7" s="15">
        <v>0</v>
      </c>
      <c r="BC7" s="24">
        <v>0</v>
      </c>
      <c r="BD7" s="22">
        <v>0</v>
      </c>
      <c r="BE7" s="22">
        <v>0</v>
      </c>
      <c r="BF7" s="15">
        <v>0</v>
      </c>
      <c r="BG7" s="15">
        <v>0</v>
      </c>
      <c r="BH7" s="24">
        <v>0</v>
      </c>
      <c r="BI7" s="22">
        <v>0</v>
      </c>
      <c r="BJ7" s="22">
        <v>0</v>
      </c>
      <c r="BK7" s="22">
        <v>0</v>
      </c>
      <c r="BL7" s="22">
        <v>0</v>
      </c>
      <c r="BM7" s="24">
        <v>0</v>
      </c>
      <c r="BN7" s="22">
        <v>0</v>
      </c>
      <c r="BO7" s="22">
        <v>0</v>
      </c>
      <c r="BP7" s="22">
        <v>0</v>
      </c>
      <c r="BQ7" s="22">
        <v>0</v>
      </c>
      <c r="BR7" s="22">
        <v>0</v>
      </c>
      <c r="BS7" s="24">
        <v>0</v>
      </c>
      <c r="BT7" s="22">
        <v>0</v>
      </c>
      <c r="BU7" s="22">
        <v>0</v>
      </c>
      <c r="BV7" s="22">
        <v>0</v>
      </c>
      <c r="BW7" s="22">
        <v>0</v>
      </c>
      <c r="BX7" s="24">
        <v>0</v>
      </c>
      <c r="BY7" s="22">
        <v>0</v>
      </c>
      <c r="BZ7" s="22">
        <v>0</v>
      </c>
      <c r="CA7" s="22">
        <v>0</v>
      </c>
      <c r="CB7" s="24">
        <v>0</v>
      </c>
      <c r="CC7" s="22">
        <v>0</v>
      </c>
      <c r="CD7" s="22">
        <v>0</v>
      </c>
      <c r="CE7" s="22">
        <v>0</v>
      </c>
      <c r="CF7" s="22">
        <v>0</v>
      </c>
      <c r="CG7" s="24">
        <v>0</v>
      </c>
      <c r="CH7" s="22">
        <v>0</v>
      </c>
      <c r="CI7" s="22">
        <v>0</v>
      </c>
      <c r="CJ7" s="22">
        <v>0</v>
      </c>
      <c r="CK7" s="22">
        <v>0</v>
      </c>
      <c r="CL7" s="24">
        <v>0</v>
      </c>
      <c r="CM7" s="22">
        <v>0</v>
      </c>
      <c r="CN7" s="22">
        <v>0</v>
      </c>
      <c r="CO7" s="24">
        <v>0</v>
      </c>
      <c r="CP7" s="22">
        <v>0</v>
      </c>
      <c r="CQ7" s="22">
        <v>0</v>
      </c>
      <c r="CR7" s="22">
        <v>0</v>
      </c>
      <c r="CS7" s="24">
        <v>0</v>
      </c>
      <c r="CT7" s="22">
        <v>0</v>
      </c>
      <c r="CU7" s="22">
        <v>0</v>
      </c>
      <c r="CV7" s="22">
        <v>0</v>
      </c>
      <c r="CW7" s="22">
        <v>0</v>
      </c>
      <c r="CX7" s="22">
        <v>0</v>
      </c>
      <c r="CY7" s="24">
        <v>0</v>
      </c>
      <c r="CZ7" s="22">
        <v>0</v>
      </c>
      <c r="DA7" s="22">
        <v>0</v>
      </c>
      <c r="DB7" s="22">
        <v>0</v>
      </c>
      <c r="DC7" s="22">
        <v>0</v>
      </c>
      <c r="DD7" s="24">
        <v>0</v>
      </c>
      <c r="DE7" s="22">
        <v>0</v>
      </c>
      <c r="DF7" s="22">
        <v>0</v>
      </c>
      <c r="DG7" s="22">
        <v>0</v>
      </c>
      <c r="DH7" s="24">
        <v>0</v>
      </c>
      <c r="DI7" s="22">
        <v>0</v>
      </c>
      <c r="DJ7" s="22">
        <v>0</v>
      </c>
      <c r="DK7" s="22">
        <v>0</v>
      </c>
      <c r="DL7" s="22">
        <v>0</v>
      </c>
      <c r="DM7" s="22">
        <v>0</v>
      </c>
      <c r="DN7" s="24">
        <v>0</v>
      </c>
      <c r="DO7" s="22">
        <v>0</v>
      </c>
      <c r="DP7" s="22">
        <v>0</v>
      </c>
      <c r="DQ7" s="22">
        <v>0</v>
      </c>
      <c r="DR7" s="22">
        <v>0</v>
      </c>
      <c r="DS7" s="24">
        <v>0</v>
      </c>
      <c r="DT7" s="22">
        <v>0</v>
      </c>
      <c r="DU7" s="22">
        <v>0</v>
      </c>
      <c r="DV7" s="22">
        <v>0</v>
      </c>
      <c r="DW7" s="22">
        <v>0</v>
      </c>
      <c r="DX7" s="24">
        <v>0</v>
      </c>
      <c r="DY7" s="22">
        <v>0</v>
      </c>
      <c r="DZ7" s="22">
        <v>0</v>
      </c>
      <c r="EA7" s="22">
        <v>0</v>
      </c>
      <c r="EB7" s="46">
        <v>0</v>
      </c>
      <c r="EC7" s="24">
        <v>0</v>
      </c>
      <c r="ED7" s="48"/>
      <c r="EE7" s="22"/>
    </row>
    <row r="8" spans="1:135" ht="12.75">
      <c r="A8" s="49">
        <v>43839</v>
      </c>
      <c r="B8" s="50">
        <v>0</v>
      </c>
      <c r="C8" s="50">
        <v>0</v>
      </c>
      <c r="D8" s="50">
        <v>0</v>
      </c>
      <c r="E8" s="50">
        <f t="shared" ref="E8:G8" si="3">B8-C8-D8</f>
        <v>0</v>
      </c>
      <c r="F8" s="50">
        <f t="shared" si="3"/>
        <v>0</v>
      </c>
      <c r="G8" s="50">
        <f t="shared" si="3"/>
        <v>0</v>
      </c>
      <c r="H8" s="15">
        <f t="shared" si="1"/>
        <v>0</v>
      </c>
      <c r="I8" s="50">
        <v>0</v>
      </c>
      <c r="J8" s="50">
        <v>0</v>
      </c>
      <c r="K8" s="52">
        <v>0</v>
      </c>
      <c r="L8" s="50">
        <v>0</v>
      </c>
      <c r="M8" s="50">
        <v>0</v>
      </c>
      <c r="N8" s="52">
        <v>0</v>
      </c>
      <c r="O8" s="50">
        <v>0</v>
      </c>
      <c r="P8" s="50">
        <v>0</v>
      </c>
      <c r="Q8" s="50">
        <v>0</v>
      </c>
      <c r="R8" s="15">
        <v>0</v>
      </c>
      <c r="S8" s="15">
        <v>0</v>
      </c>
      <c r="T8" s="17">
        <v>0</v>
      </c>
      <c r="U8" s="50">
        <v>0</v>
      </c>
      <c r="V8" s="50">
        <v>0</v>
      </c>
      <c r="W8" s="50">
        <v>0</v>
      </c>
      <c r="X8" s="15">
        <v>0</v>
      </c>
      <c r="Y8" s="17">
        <v>0</v>
      </c>
      <c r="Z8" s="50">
        <v>0</v>
      </c>
      <c r="AA8" s="50">
        <v>0</v>
      </c>
      <c r="AB8" s="50">
        <v>0</v>
      </c>
      <c r="AC8" s="50">
        <v>0</v>
      </c>
      <c r="AD8" s="52">
        <v>0</v>
      </c>
      <c r="AE8" s="50">
        <v>0</v>
      </c>
      <c r="AF8" s="50">
        <v>0</v>
      </c>
      <c r="AG8" s="50">
        <v>0</v>
      </c>
      <c r="AH8" s="50">
        <v>0</v>
      </c>
      <c r="AI8" s="50">
        <v>0</v>
      </c>
      <c r="AJ8" s="17">
        <v>0</v>
      </c>
      <c r="AK8" s="50">
        <v>0</v>
      </c>
      <c r="AL8" s="50">
        <v>0</v>
      </c>
      <c r="AM8" s="50">
        <v>0</v>
      </c>
      <c r="AN8" s="50">
        <v>0</v>
      </c>
      <c r="AO8" s="52">
        <v>0</v>
      </c>
      <c r="AP8" s="50">
        <v>0</v>
      </c>
      <c r="AQ8" s="50">
        <v>0</v>
      </c>
      <c r="AR8" s="50">
        <v>0</v>
      </c>
      <c r="AS8" s="50">
        <v>0</v>
      </c>
      <c r="AT8" s="15"/>
      <c r="AU8" s="17">
        <v>0</v>
      </c>
      <c r="AV8" s="50">
        <v>0</v>
      </c>
      <c r="AW8" s="50">
        <v>0</v>
      </c>
      <c r="AX8" s="50">
        <v>0</v>
      </c>
      <c r="AY8" s="52">
        <v>0</v>
      </c>
      <c r="AZ8" s="50">
        <v>0</v>
      </c>
      <c r="BA8" s="50">
        <v>0</v>
      </c>
      <c r="BB8" s="50">
        <v>0</v>
      </c>
      <c r="BC8" s="52">
        <v>0</v>
      </c>
      <c r="BD8" s="50">
        <v>0</v>
      </c>
      <c r="BE8" s="50">
        <v>0</v>
      </c>
      <c r="BF8" s="50">
        <v>0</v>
      </c>
      <c r="BG8" s="50">
        <v>0</v>
      </c>
      <c r="BH8" s="52">
        <v>0</v>
      </c>
      <c r="BI8" s="50">
        <v>0</v>
      </c>
      <c r="BJ8" s="50">
        <v>0</v>
      </c>
      <c r="BK8" s="15">
        <v>0</v>
      </c>
      <c r="BL8" s="15">
        <v>0</v>
      </c>
      <c r="BM8" s="17">
        <v>0</v>
      </c>
      <c r="BN8" s="50">
        <v>0</v>
      </c>
      <c r="BO8" s="50">
        <v>0</v>
      </c>
      <c r="BP8" s="50">
        <v>0</v>
      </c>
      <c r="BQ8" s="15">
        <v>0</v>
      </c>
      <c r="BR8" s="15">
        <v>0</v>
      </c>
      <c r="BS8" s="17">
        <v>0</v>
      </c>
      <c r="BT8" s="50">
        <v>0</v>
      </c>
      <c r="BU8" s="50">
        <v>0</v>
      </c>
      <c r="BV8" s="50">
        <v>0</v>
      </c>
      <c r="BW8" s="50">
        <v>0</v>
      </c>
      <c r="BX8" s="52">
        <v>0</v>
      </c>
      <c r="BY8" s="50">
        <v>0</v>
      </c>
      <c r="BZ8" s="50">
        <v>0</v>
      </c>
      <c r="CA8" s="50">
        <v>0</v>
      </c>
      <c r="CB8" s="52">
        <v>0</v>
      </c>
      <c r="CC8" s="50">
        <v>0</v>
      </c>
      <c r="CD8" s="50">
        <v>0</v>
      </c>
      <c r="CE8" s="50">
        <v>0</v>
      </c>
      <c r="CF8" s="15">
        <v>0</v>
      </c>
      <c r="CG8" s="17">
        <v>0</v>
      </c>
      <c r="CH8" s="50">
        <v>0</v>
      </c>
      <c r="CI8" s="50">
        <v>0</v>
      </c>
      <c r="CJ8" s="50">
        <v>0</v>
      </c>
      <c r="CK8" s="15">
        <v>0</v>
      </c>
      <c r="CL8" s="17">
        <v>0</v>
      </c>
      <c r="CM8" s="50">
        <v>0</v>
      </c>
      <c r="CN8" s="50">
        <v>0</v>
      </c>
      <c r="CO8" s="52">
        <v>0</v>
      </c>
      <c r="CP8" s="50">
        <v>0</v>
      </c>
      <c r="CQ8" s="50">
        <v>0</v>
      </c>
      <c r="CR8" s="50">
        <v>0</v>
      </c>
      <c r="CS8" s="17">
        <v>0</v>
      </c>
      <c r="CT8" s="50">
        <v>0</v>
      </c>
      <c r="CU8" s="50">
        <v>0</v>
      </c>
      <c r="CV8" s="50">
        <v>0</v>
      </c>
      <c r="CW8" s="15">
        <v>0</v>
      </c>
      <c r="CX8" s="15">
        <v>0</v>
      </c>
      <c r="CY8" s="17">
        <v>0</v>
      </c>
      <c r="CZ8" s="50">
        <v>0</v>
      </c>
      <c r="DA8" s="50">
        <v>0</v>
      </c>
      <c r="DB8" s="50">
        <v>0</v>
      </c>
      <c r="DC8" s="50">
        <v>0</v>
      </c>
      <c r="DD8" s="52">
        <v>0</v>
      </c>
      <c r="DE8" s="50">
        <v>0</v>
      </c>
      <c r="DF8" s="50">
        <v>0</v>
      </c>
      <c r="DG8" s="50">
        <v>0</v>
      </c>
      <c r="DH8" s="17">
        <v>0</v>
      </c>
      <c r="DI8" s="50">
        <v>0</v>
      </c>
      <c r="DJ8" s="50">
        <v>0</v>
      </c>
      <c r="DK8" s="50">
        <v>0</v>
      </c>
      <c r="DL8" s="50">
        <v>0</v>
      </c>
      <c r="DM8" s="50">
        <v>0</v>
      </c>
      <c r="DN8" s="17">
        <v>0</v>
      </c>
      <c r="DO8" s="50">
        <v>0</v>
      </c>
      <c r="DP8" s="50">
        <v>0</v>
      </c>
      <c r="DQ8" s="50">
        <v>0</v>
      </c>
      <c r="DR8" s="15">
        <v>0</v>
      </c>
      <c r="DS8" s="17">
        <v>0</v>
      </c>
      <c r="DT8" s="50">
        <v>0</v>
      </c>
      <c r="DU8" s="50">
        <v>0</v>
      </c>
      <c r="DV8" s="50">
        <v>0</v>
      </c>
      <c r="DW8" s="50">
        <v>0</v>
      </c>
      <c r="DX8" s="52">
        <v>0</v>
      </c>
      <c r="DY8" s="50">
        <v>0</v>
      </c>
      <c r="DZ8" s="50">
        <v>0</v>
      </c>
      <c r="EA8" s="50">
        <v>0</v>
      </c>
      <c r="EB8" s="41">
        <v>0</v>
      </c>
      <c r="EC8" s="17">
        <v>0</v>
      </c>
      <c r="ED8" s="54"/>
      <c r="EE8" s="50"/>
    </row>
    <row r="9" spans="1:135" ht="12.75">
      <c r="A9" s="40">
        <v>43840</v>
      </c>
      <c r="B9" s="15">
        <v>0</v>
      </c>
      <c r="C9" s="15">
        <v>0</v>
      </c>
      <c r="D9" s="15">
        <v>0</v>
      </c>
      <c r="E9" s="15">
        <f t="shared" ref="E9:G9" si="4">B9-C9-D9</f>
        <v>0</v>
      </c>
      <c r="F9" s="15">
        <f t="shared" si="4"/>
        <v>0</v>
      </c>
      <c r="G9" s="15">
        <f t="shared" si="4"/>
        <v>0</v>
      </c>
      <c r="H9" s="15">
        <f t="shared" si="1"/>
        <v>0</v>
      </c>
      <c r="I9" s="15">
        <v>0</v>
      </c>
      <c r="J9" s="15">
        <v>0</v>
      </c>
      <c r="K9" s="17">
        <v>0</v>
      </c>
      <c r="L9" s="15">
        <v>0</v>
      </c>
      <c r="M9" s="15">
        <v>0</v>
      </c>
      <c r="N9" s="17">
        <v>0</v>
      </c>
      <c r="O9" s="15">
        <v>0</v>
      </c>
      <c r="P9" s="15">
        <v>0</v>
      </c>
      <c r="Q9" s="15">
        <v>0</v>
      </c>
      <c r="R9" s="15">
        <v>0</v>
      </c>
      <c r="S9" s="15">
        <v>0</v>
      </c>
      <c r="T9" s="17">
        <v>0</v>
      </c>
      <c r="U9" s="15">
        <v>0</v>
      </c>
      <c r="V9" s="15">
        <v>0</v>
      </c>
      <c r="W9" s="15">
        <v>0</v>
      </c>
      <c r="X9" s="15">
        <v>0</v>
      </c>
      <c r="Y9" s="17">
        <v>0</v>
      </c>
      <c r="Z9" s="15">
        <v>0</v>
      </c>
      <c r="AA9" s="15">
        <v>0</v>
      </c>
      <c r="AB9" s="15">
        <v>0</v>
      </c>
      <c r="AC9" s="15">
        <v>0</v>
      </c>
      <c r="AD9" s="17">
        <v>0</v>
      </c>
      <c r="AE9" s="15">
        <v>0</v>
      </c>
      <c r="AF9" s="15">
        <v>0</v>
      </c>
      <c r="AG9" s="15">
        <v>0</v>
      </c>
      <c r="AH9" s="15">
        <v>0</v>
      </c>
      <c r="AI9" s="15">
        <v>0</v>
      </c>
      <c r="AJ9" s="17">
        <v>0</v>
      </c>
      <c r="AK9" s="15">
        <v>0</v>
      </c>
      <c r="AL9" s="15">
        <v>0</v>
      </c>
      <c r="AM9" s="15">
        <v>0</v>
      </c>
      <c r="AN9" s="15">
        <v>0</v>
      </c>
      <c r="AO9" s="17">
        <v>0</v>
      </c>
      <c r="AP9" s="15">
        <v>0</v>
      </c>
      <c r="AQ9" s="15">
        <v>0</v>
      </c>
      <c r="AR9" s="15">
        <v>0</v>
      </c>
      <c r="AS9" s="15">
        <v>0</v>
      </c>
      <c r="AT9" s="15"/>
      <c r="AU9" s="17">
        <v>0</v>
      </c>
      <c r="AV9" s="15">
        <v>0</v>
      </c>
      <c r="AW9" s="15">
        <v>0</v>
      </c>
      <c r="AX9" s="15">
        <v>0</v>
      </c>
      <c r="AY9" s="17">
        <v>0</v>
      </c>
      <c r="AZ9" s="15">
        <v>0</v>
      </c>
      <c r="BA9" s="15">
        <v>0</v>
      </c>
      <c r="BB9" s="15">
        <v>0</v>
      </c>
      <c r="BC9" s="17">
        <v>0</v>
      </c>
      <c r="BD9" s="15">
        <v>0</v>
      </c>
      <c r="BE9" s="15">
        <v>0</v>
      </c>
      <c r="BF9" s="15">
        <v>0</v>
      </c>
      <c r="BG9" s="15">
        <v>0</v>
      </c>
      <c r="BH9" s="17">
        <v>0</v>
      </c>
      <c r="BI9" s="15">
        <v>0</v>
      </c>
      <c r="BJ9" s="15">
        <v>0</v>
      </c>
      <c r="BK9" s="15">
        <v>0</v>
      </c>
      <c r="BL9" s="15">
        <v>0</v>
      </c>
      <c r="BM9" s="17">
        <v>0</v>
      </c>
      <c r="BN9" s="15">
        <v>0</v>
      </c>
      <c r="BO9" s="15">
        <v>0</v>
      </c>
      <c r="BP9" s="15">
        <v>0</v>
      </c>
      <c r="BQ9" s="15">
        <v>0</v>
      </c>
      <c r="BR9" s="15">
        <v>0</v>
      </c>
      <c r="BS9" s="17">
        <v>0</v>
      </c>
      <c r="BT9" s="15">
        <v>0</v>
      </c>
      <c r="BU9" s="15">
        <v>0</v>
      </c>
      <c r="BV9" s="15">
        <v>0</v>
      </c>
      <c r="BW9" s="15">
        <v>0</v>
      </c>
      <c r="BX9" s="17">
        <v>0</v>
      </c>
      <c r="BY9" s="15">
        <v>0</v>
      </c>
      <c r="BZ9" s="15">
        <v>0</v>
      </c>
      <c r="CA9" s="15">
        <v>0</v>
      </c>
      <c r="CB9" s="17">
        <v>0</v>
      </c>
      <c r="CC9" s="15">
        <v>0</v>
      </c>
      <c r="CD9" s="15">
        <v>0</v>
      </c>
      <c r="CE9" s="15">
        <v>0</v>
      </c>
      <c r="CF9" s="15">
        <v>0</v>
      </c>
      <c r="CG9" s="17">
        <v>0</v>
      </c>
      <c r="CH9" s="15">
        <v>0</v>
      </c>
      <c r="CI9" s="15">
        <v>0</v>
      </c>
      <c r="CJ9" s="15">
        <v>0</v>
      </c>
      <c r="CK9" s="15">
        <v>0</v>
      </c>
      <c r="CL9" s="17">
        <v>0</v>
      </c>
      <c r="CM9" s="15">
        <v>0</v>
      </c>
      <c r="CN9" s="15">
        <v>0</v>
      </c>
      <c r="CO9" s="17">
        <v>0</v>
      </c>
      <c r="CP9" s="15">
        <v>0</v>
      </c>
      <c r="CQ9" s="15">
        <v>0</v>
      </c>
      <c r="CR9" s="15">
        <v>0</v>
      </c>
      <c r="CS9" s="17">
        <v>0</v>
      </c>
      <c r="CT9" s="15">
        <v>0</v>
      </c>
      <c r="CU9" s="15">
        <v>0</v>
      </c>
      <c r="CV9" s="15">
        <v>0</v>
      </c>
      <c r="CW9" s="15">
        <v>0</v>
      </c>
      <c r="CX9" s="15">
        <v>0</v>
      </c>
      <c r="CY9" s="17">
        <v>0</v>
      </c>
      <c r="CZ9" s="15">
        <v>0</v>
      </c>
      <c r="DA9" s="15">
        <v>0</v>
      </c>
      <c r="DB9" s="15">
        <v>0</v>
      </c>
      <c r="DC9" s="15">
        <v>0</v>
      </c>
      <c r="DD9" s="17">
        <v>0</v>
      </c>
      <c r="DE9" s="15">
        <v>0</v>
      </c>
      <c r="DF9" s="15">
        <v>0</v>
      </c>
      <c r="DG9" s="15">
        <v>0</v>
      </c>
      <c r="DH9" s="17">
        <v>0</v>
      </c>
      <c r="DI9" s="15">
        <v>0</v>
      </c>
      <c r="DJ9" s="15">
        <v>0</v>
      </c>
      <c r="DK9" s="15">
        <v>0</v>
      </c>
      <c r="DL9" s="15">
        <v>0</v>
      </c>
      <c r="DM9" s="15">
        <v>0</v>
      </c>
      <c r="DN9" s="17">
        <v>0</v>
      </c>
      <c r="DO9" s="15">
        <v>0</v>
      </c>
      <c r="DP9" s="15">
        <v>0</v>
      </c>
      <c r="DQ9" s="15">
        <v>0</v>
      </c>
      <c r="DR9" s="15">
        <v>0</v>
      </c>
      <c r="DS9" s="17">
        <v>0</v>
      </c>
      <c r="DT9" s="15">
        <v>0</v>
      </c>
      <c r="DU9" s="15">
        <v>0</v>
      </c>
      <c r="DV9" s="15">
        <v>0</v>
      </c>
      <c r="DW9" s="15">
        <v>0</v>
      </c>
      <c r="DX9" s="17">
        <v>0</v>
      </c>
      <c r="DY9" s="15">
        <v>0</v>
      </c>
      <c r="DZ9" s="15">
        <v>0</v>
      </c>
      <c r="EA9" s="15">
        <v>0</v>
      </c>
      <c r="EB9" s="63">
        <v>0</v>
      </c>
      <c r="EC9" s="17">
        <v>0</v>
      </c>
      <c r="ED9" s="42"/>
      <c r="EE9" s="15"/>
    </row>
    <row r="10" spans="1:135" ht="12.75">
      <c r="A10" s="40">
        <v>43841</v>
      </c>
      <c r="B10" s="15">
        <v>0</v>
      </c>
      <c r="C10" s="15">
        <v>0</v>
      </c>
      <c r="D10" s="15">
        <v>0</v>
      </c>
      <c r="E10" s="15">
        <f t="shared" ref="E10:G10" si="5">B10-C10-D10</f>
        <v>0</v>
      </c>
      <c r="F10" s="15">
        <f t="shared" si="5"/>
        <v>0</v>
      </c>
      <c r="G10" s="15">
        <f t="shared" si="5"/>
        <v>0</v>
      </c>
      <c r="H10" s="15">
        <f t="shared" si="1"/>
        <v>0</v>
      </c>
      <c r="I10" s="15">
        <v>0</v>
      </c>
      <c r="J10" s="15">
        <v>0</v>
      </c>
      <c r="K10" s="17">
        <v>0</v>
      </c>
      <c r="L10" s="15">
        <v>0</v>
      </c>
      <c r="M10" s="15">
        <v>0</v>
      </c>
      <c r="N10" s="17">
        <v>0</v>
      </c>
      <c r="O10" s="15">
        <v>0</v>
      </c>
      <c r="P10" s="15">
        <v>0</v>
      </c>
      <c r="Q10" s="15">
        <v>0</v>
      </c>
      <c r="R10" s="15">
        <v>0</v>
      </c>
      <c r="S10" s="15">
        <v>0</v>
      </c>
      <c r="T10" s="17">
        <v>0</v>
      </c>
      <c r="U10" s="15">
        <v>0</v>
      </c>
      <c r="V10" s="15">
        <v>0</v>
      </c>
      <c r="W10" s="15">
        <v>0</v>
      </c>
      <c r="X10" s="15">
        <v>0</v>
      </c>
      <c r="Y10" s="17">
        <v>0</v>
      </c>
      <c r="Z10" s="15">
        <v>0</v>
      </c>
      <c r="AA10" s="15">
        <v>0</v>
      </c>
      <c r="AB10" s="15">
        <v>0</v>
      </c>
      <c r="AC10" s="15">
        <v>0</v>
      </c>
      <c r="AD10" s="17">
        <v>0</v>
      </c>
      <c r="AE10" s="15">
        <v>0</v>
      </c>
      <c r="AF10" s="15">
        <v>0</v>
      </c>
      <c r="AG10" s="15">
        <v>0</v>
      </c>
      <c r="AH10" s="15">
        <v>0</v>
      </c>
      <c r="AI10" s="15">
        <v>0</v>
      </c>
      <c r="AJ10" s="17">
        <v>0</v>
      </c>
      <c r="AK10" s="15">
        <v>0</v>
      </c>
      <c r="AL10" s="15">
        <v>0</v>
      </c>
      <c r="AM10" s="15">
        <v>0</v>
      </c>
      <c r="AN10" s="15">
        <v>0</v>
      </c>
      <c r="AO10" s="17">
        <v>0</v>
      </c>
      <c r="AP10" s="15">
        <v>0</v>
      </c>
      <c r="AQ10" s="15">
        <v>0</v>
      </c>
      <c r="AR10" s="15">
        <v>0</v>
      </c>
      <c r="AS10" s="15">
        <v>0</v>
      </c>
      <c r="AT10" s="15"/>
      <c r="AU10" s="17">
        <v>0</v>
      </c>
      <c r="AV10" s="15">
        <v>0</v>
      </c>
      <c r="AW10" s="15">
        <v>0</v>
      </c>
      <c r="AX10" s="15">
        <v>0</v>
      </c>
      <c r="AY10" s="17">
        <v>0</v>
      </c>
      <c r="AZ10" s="15">
        <v>0</v>
      </c>
      <c r="BA10" s="15">
        <v>0</v>
      </c>
      <c r="BB10" s="15">
        <v>0</v>
      </c>
      <c r="BC10" s="17">
        <v>0</v>
      </c>
      <c r="BD10" s="15">
        <v>0</v>
      </c>
      <c r="BE10" s="15">
        <v>0</v>
      </c>
      <c r="BF10" s="15">
        <v>0</v>
      </c>
      <c r="BG10" s="15">
        <v>0</v>
      </c>
      <c r="BH10" s="17">
        <v>0</v>
      </c>
      <c r="BI10" s="15">
        <v>0</v>
      </c>
      <c r="BJ10" s="15">
        <v>0</v>
      </c>
      <c r="BK10" s="15">
        <v>0</v>
      </c>
      <c r="BL10" s="15">
        <v>0</v>
      </c>
      <c r="BM10" s="17">
        <v>0</v>
      </c>
      <c r="BN10" s="15">
        <v>0</v>
      </c>
      <c r="BO10" s="15">
        <v>0</v>
      </c>
      <c r="BP10" s="15">
        <v>0</v>
      </c>
      <c r="BQ10" s="15">
        <v>0</v>
      </c>
      <c r="BR10" s="15">
        <v>0</v>
      </c>
      <c r="BS10" s="17">
        <v>0</v>
      </c>
      <c r="BT10" s="15">
        <v>0</v>
      </c>
      <c r="BU10" s="15">
        <v>0</v>
      </c>
      <c r="BV10" s="15">
        <v>0</v>
      </c>
      <c r="BW10" s="15">
        <v>0</v>
      </c>
      <c r="BX10" s="17">
        <v>0</v>
      </c>
      <c r="BY10" s="15">
        <v>0</v>
      </c>
      <c r="BZ10" s="15">
        <v>0</v>
      </c>
      <c r="CA10" s="15">
        <v>0</v>
      </c>
      <c r="CB10" s="17">
        <v>0</v>
      </c>
      <c r="CC10" s="15">
        <v>0</v>
      </c>
      <c r="CD10" s="15">
        <v>0</v>
      </c>
      <c r="CE10" s="15">
        <v>0</v>
      </c>
      <c r="CF10" s="15">
        <v>0</v>
      </c>
      <c r="CG10" s="17">
        <v>0</v>
      </c>
      <c r="CH10" s="15">
        <v>0</v>
      </c>
      <c r="CI10" s="15">
        <v>0</v>
      </c>
      <c r="CJ10" s="15">
        <v>0</v>
      </c>
      <c r="CK10" s="15">
        <v>0</v>
      </c>
      <c r="CL10" s="17">
        <v>0</v>
      </c>
      <c r="CM10" s="15">
        <v>0</v>
      </c>
      <c r="CN10" s="15">
        <v>0</v>
      </c>
      <c r="CO10" s="17">
        <v>0</v>
      </c>
      <c r="CP10" s="15">
        <v>0</v>
      </c>
      <c r="CQ10" s="15">
        <v>0</v>
      </c>
      <c r="CR10" s="15">
        <v>0</v>
      </c>
      <c r="CS10" s="17">
        <v>0</v>
      </c>
      <c r="CT10" s="15">
        <v>0</v>
      </c>
      <c r="CU10" s="15">
        <v>0</v>
      </c>
      <c r="CV10" s="15">
        <v>0</v>
      </c>
      <c r="CW10" s="15">
        <v>0</v>
      </c>
      <c r="CX10" s="15">
        <v>0</v>
      </c>
      <c r="CY10" s="17">
        <v>0</v>
      </c>
      <c r="CZ10" s="15">
        <v>0</v>
      </c>
      <c r="DA10" s="15">
        <v>0</v>
      </c>
      <c r="DB10" s="15">
        <v>0</v>
      </c>
      <c r="DC10" s="15">
        <v>0</v>
      </c>
      <c r="DD10" s="17">
        <v>0</v>
      </c>
      <c r="DE10" s="15">
        <v>0</v>
      </c>
      <c r="DF10" s="15">
        <v>0</v>
      </c>
      <c r="DG10" s="15">
        <v>0</v>
      </c>
      <c r="DH10" s="17">
        <v>0</v>
      </c>
      <c r="DI10" s="15">
        <v>0</v>
      </c>
      <c r="DJ10" s="15">
        <v>0</v>
      </c>
      <c r="DK10" s="15">
        <v>0</v>
      </c>
      <c r="DL10" s="15">
        <v>0</v>
      </c>
      <c r="DM10" s="15">
        <v>0</v>
      </c>
      <c r="DN10" s="17">
        <v>0</v>
      </c>
      <c r="DO10" s="15">
        <v>0</v>
      </c>
      <c r="DP10" s="15">
        <v>0</v>
      </c>
      <c r="DQ10" s="15">
        <v>0</v>
      </c>
      <c r="DR10" s="15">
        <v>0</v>
      </c>
      <c r="DS10" s="17">
        <v>0</v>
      </c>
      <c r="DT10" s="15">
        <v>0</v>
      </c>
      <c r="DU10" s="15">
        <v>0</v>
      </c>
      <c r="DV10" s="15">
        <v>0</v>
      </c>
      <c r="DW10" s="15">
        <v>0</v>
      </c>
      <c r="DX10" s="17">
        <v>0</v>
      </c>
      <c r="DY10" s="15">
        <v>0</v>
      </c>
      <c r="DZ10" s="15">
        <v>0</v>
      </c>
      <c r="EA10" s="15">
        <v>0</v>
      </c>
      <c r="EB10" s="41">
        <v>0</v>
      </c>
      <c r="EC10" s="17">
        <v>0</v>
      </c>
      <c r="ED10" s="42"/>
      <c r="EE10" s="15"/>
    </row>
    <row r="11" spans="1:135" ht="12.75">
      <c r="A11" s="40">
        <v>43842</v>
      </c>
      <c r="B11" s="15">
        <v>0</v>
      </c>
      <c r="C11" s="15">
        <v>0</v>
      </c>
      <c r="D11" s="15">
        <v>0</v>
      </c>
      <c r="E11" s="15">
        <f t="shared" ref="E11:G11" si="6">B11-C11-D11</f>
        <v>0</v>
      </c>
      <c r="F11" s="15">
        <f t="shared" si="6"/>
        <v>0</v>
      </c>
      <c r="G11" s="15">
        <f t="shared" si="6"/>
        <v>0</v>
      </c>
      <c r="H11" s="15">
        <f t="shared" si="1"/>
        <v>0</v>
      </c>
      <c r="I11" s="15">
        <v>0</v>
      </c>
      <c r="J11" s="15">
        <v>0</v>
      </c>
      <c r="K11" s="17">
        <v>0</v>
      </c>
      <c r="L11" s="15">
        <v>0</v>
      </c>
      <c r="M11" s="15">
        <v>0</v>
      </c>
      <c r="N11" s="17">
        <v>0</v>
      </c>
      <c r="O11" s="15">
        <v>0</v>
      </c>
      <c r="P11" s="15">
        <v>0</v>
      </c>
      <c r="Q11" s="15">
        <v>0</v>
      </c>
      <c r="R11" s="15">
        <v>0</v>
      </c>
      <c r="S11" s="15">
        <v>0</v>
      </c>
      <c r="T11" s="17">
        <v>0</v>
      </c>
      <c r="U11" s="15">
        <v>0</v>
      </c>
      <c r="V11" s="15">
        <v>0</v>
      </c>
      <c r="W11" s="15">
        <v>0</v>
      </c>
      <c r="X11" s="15">
        <v>0</v>
      </c>
      <c r="Y11" s="17">
        <v>0</v>
      </c>
      <c r="Z11" s="15">
        <v>0</v>
      </c>
      <c r="AA11" s="15">
        <v>0</v>
      </c>
      <c r="AB11" s="15">
        <v>0</v>
      </c>
      <c r="AC11" s="15">
        <v>0</v>
      </c>
      <c r="AD11" s="17">
        <v>0</v>
      </c>
      <c r="AE11" s="15">
        <v>0</v>
      </c>
      <c r="AF11" s="15">
        <v>0</v>
      </c>
      <c r="AG11" s="15">
        <v>0</v>
      </c>
      <c r="AH11" s="15">
        <v>0</v>
      </c>
      <c r="AI11" s="15">
        <v>0</v>
      </c>
      <c r="AJ11" s="17">
        <v>0</v>
      </c>
      <c r="AK11" s="15">
        <v>0</v>
      </c>
      <c r="AL11" s="15">
        <v>0</v>
      </c>
      <c r="AM11" s="15">
        <v>0</v>
      </c>
      <c r="AN11" s="15">
        <v>0</v>
      </c>
      <c r="AO11" s="17">
        <v>0</v>
      </c>
      <c r="AP11" s="15">
        <v>0</v>
      </c>
      <c r="AQ11" s="15">
        <v>0</v>
      </c>
      <c r="AR11" s="15">
        <v>0</v>
      </c>
      <c r="AS11" s="15">
        <v>0</v>
      </c>
      <c r="AT11" s="15"/>
      <c r="AU11" s="17">
        <v>0</v>
      </c>
      <c r="AV11" s="15">
        <v>0</v>
      </c>
      <c r="AW11" s="15">
        <v>0</v>
      </c>
      <c r="AX11" s="15">
        <v>0</v>
      </c>
      <c r="AY11" s="17">
        <v>0</v>
      </c>
      <c r="AZ11" s="15">
        <v>0</v>
      </c>
      <c r="BA11" s="15">
        <v>0</v>
      </c>
      <c r="BB11" s="15">
        <v>0</v>
      </c>
      <c r="BC11" s="17">
        <v>0</v>
      </c>
      <c r="BD11" s="15">
        <v>0</v>
      </c>
      <c r="BE11" s="15">
        <v>0</v>
      </c>
      <c r="BF11" s="15">
        <v>0</v>
      </c>
      <c r="BG11" s="15">
        <v>0</v>
      </c>
      <c r="BH11" s="17">
        <v>0</v>
      </c>
      <c r="BI11" s="15">
        <v>0</v>
      </c>
      <c r="BJ11" s="15">
        <v>0</v>
      </c>
      <c r="BK11" s="15">
        <v>0</v>
      </c>
      <c r="BL11" s="15">
        <v>0</v>
      </c>
      <c r="BM11" s="17">
        <v>0</v>
      </c>
      <c r="BN11" s="15">
        <v>0</v>
      </c>
      <c r="BO11" s="15">
        <v>0</v>
      </c>
      <c r="BP11" s="15">
        <v>0</v>
      </c>
      <c r="BQ11" s="15">
        <v>0</v>
      </c>
      <c r="BR11" s="15">
        <v>0</v>
      </c>
      <c r="BS11" s="17">
        <v>0</v>
      </c>
      <c r="BT11" s="15">
        <v>0</v>
      </c>
      <c r="BU11" s="15">
        <v>0</v>
      </c>
      <c r="BV11" s="15">
        <v>0</v>
      </c>
      <c r="BW11" s="15">
        <v>0</v>
      </c>
      <c r="BX11" s="17">
        <v>0</v>
      </c>
      <c r="BY11" s="15">
        <v>0</v>
      </c>
      <c r="BZ11" s="15">
        <v>0</v>
      </c>
      <c r="CA11" s="15">
        <v>0</v>
      </c>
      <c r="CB11" s="17">
        <v>0</v>
      </c>
      <c r="CC11" s="15">
        <v>0</v>
      </c>
      <c r="CD11" s="15">
        <v>0</v>
      </c>
      <c r="CE11" s="15">
        <v>0</v>
      </c>
      <c r="CF11" s="15">
        <v>0</v>
      </c>
      <c r="CG11" s="17">
        <v>0</v>
      </c>
      <c r="CH11" s="15">
        <v>0</v>
      </c>
      <c r="CI11" s="15">
        <v>0</v>
      </c>
      <c r="CJ11" s="15">
        <v>0</v>
      </c>
      <c r="CK11" s="15">
        <v>0</v>
      </c>
      <c r="CL11" s="17">
        <v>0</v>
      </c>
      <c r="CM11" s="15">
        <v>0</v>
      </c>
      <c r="CN11" s="15">
        <v>0</v>
      </c>
      <c r="CO11" s="17">
        <v>0</v>
      </c>
      <c r="CP11" s="15">
        <v>0</v>
      </c>
      <c r="CQ11" s="15">
        <v>0</v>
      </c>
      <c r="CR11" s="15">
        <v>0</v>
      </c>
      <c r="CS11" s="17">
        <v>0</v>
      </c>
      <c r="CT11" s="15">
        <v>0</v>
      </c>
      <c r="CU11" s="15">
        <v>0</v>
      </c>
      <c r="CV11" s="15">
        <v>0</v>
      </c>
      <c r="CW11" s="15">
        <v>0</v>
      </c>
      <c r="CX11" s="15">
        <v>0</v>
      </c>
      <c r="CY11" s="17">
        <v>0</v>
      </c>
      <c r="CZ11" s="15">
        <v>0</v>
      </c>
      <c r="DA11" s="15">
        <v>0</v>
      </c>
      <c r="DB11" s="15">
        <v>0</v>
      </c>
      <c r="DC11" s="15">
        <v>0</v>
      </c>
      <c r="DD11" s="17">
        <v>0</v>
      </c>
      <c r="DE11" s="15">
        <v>0</v>
      </c>
      <c r="DF11" s="15">
        <v>0</v>
      </c>
      <c r="DG11" s="15">
        <v>0</v>
      </c>
      <c r="DH11" s="17">
        <v>0</v>
      </c>
      <c r="DI11" s="15">
        <v>0</v>
      </c>
      <c r="DJ11" s="15">
        <v>0</v>
      </c>
      <c r="DK11" s="15">
        <v>0</v>
      </c>
      <c r="DL11" s="15">
        <v>0</v>
      </c>
      <c r="DM11" s="15">
        <v>0</v>
      </c>
      <c r="DN11" s="17">
        <v>0</v>
      </c>
      <c r="DO11" s="15">
        <v>0</v>
      </c>
      <c r="DP11" s="15">
        <v>0</v>
      </c>
      <c r="DQ11" s="15">
        <v>0</v>
      </c>
      <c r="DR11" s="15">
        <v>0</v>
      </c>
      <c r="DS11" s="17">
        <v>0</v>
      </c>
      <c r="DT11" s="15">
        <v>0</v>
      </c>
      <c r="DU11" s="15">
        <v>0</v>
      </c>
      <c r="DV11" s="15">
        <v>0</v>
      </c>
      <c r="DW11" s="15">
        <v>0</v>
      </c>
      <c r="DX11" s="17">
        <v>0</v>
      </c>
      <c r="DY11" s="15">
        <v>0</v>
      </c>
      <c r="DZ11" s="15">
        <v>0</v>
      </c>
      <c r="EA11" s="15">
        <v>0</v>
      </c>
      <c r="EB11" s="63">
        <v>0</v>
      </c>
      <c r="EC11" s="17">
        <v>0</v>
      </c>
      <c r="ED11" s="42"/>
      <c r="EE11" s="15"/>
    </row>
    <row r="12" spans="1:135" ht="12.75">
      <c r="A12" s="40">
        <v>43843</v>
      </c>
      <c r="B12" s="15">
        <v>0</v>
      </c>
      <c r="C12" s="15">
        <v>0</v>
      </c>
      <c r="D12" s="15">
        <v>0</v>
      </c>
      <c r="E12" s="15">
        <f t="shared" ref="E12:G12" si="7">B12-C12-D12</f>
        <v>0</v>
      </c>
      <c r="F12" s="15">
        <f t="shared" si="7"/>
        <v>0</v>
      </c>
      <c r="G12" s="15">
        <f t="shared" si="7"/>
        <v>0</v>
      </c>
      <c r="H12" s="15">
        <f t="shared" si="1"/>
        <v>0</v>
      </c>
      <c r="I12" s="15">
        <v>0</v>
      </c>
      <c r="J12" s="15">
        <v>0</v>
      </c>
      <c r="K12" s="17">
        <v>0</v>
      </c>
      <c r="L12" s="15">
        <v>0</v>
      </c>
      <c r="M12" s="15">
        <v>0</v>
      </c>
      <c r="N12" s="17">
        <v>0</v>
      </c>
      <c r="O12" s="15">
        <v>0</v>
      </c>
      <c r="P12" s="15">
        <v>0</v>
      </c>
      <c r="Q12" s="15">
        <v>0</v>
      </c>
      <c r="R12" s="15">
        <v>0</v>
      </c>
      <c r="S12" s="15">
        <v>0</v>
      </c>
      <c r="T12" s="17">
        <v>0</v>
      </c>
      <c r="U12" s="15">
        <v>0</v>
      </c>
      <c r="V12" s="15">
        <v>0</v>
      </c>
      <c r="W12" s="15">
        <v>0</v>
      </c>
      <c r="X12" s="15">
        <v>0</v>
      </c>
      <c r="Y12" s="17">
        <v>0</v>
      </c>
      <c r="Z12" s="15">
        <v>0</v>
      </c>
      <c r="AA12" s="15">
        <v>0</v>
      </c>
      <c r="AB12" s="15">
        <v>0</v>
      </c>
      <c r="AC12" s="15">
        <v>0</v>
      </c>
      <c r="AD12" s="17">
        <v>0</v>
      </c>
      <c r="AE12" s="15">
        <v>0</v>
      </c>
      <c r="AF12" s="15">
        <v>0</v>
      </c>
      <c r="AG12" s="15">
        <v>0</v>
      </c>
      <c r="AH12" s="15">
        <v>0</v>
      </c>
      <c r="AI12" s="15">
        <v>0</v>
      </c>
      <c r="AJ12" s="17">
        <v>0</v>
      </c>
      <c r="AK12" s="15">
        <v>0</v>
      </c>
      <c r="AL12" s="15">
        <v>0</v>
      </c>
      <c r="AM12" s="15">
        <v>0</v>
      </c>
      <c r="AN12" s="15">
        <v>0</v>
      </c>
      <c r="AO12" s="17">
        <v>0</v>
      </c>
      <c r="AP12" s="15">
        <v>0</v>
      </c>
      <c r="AQ12" s="15">
        <v>0</v>
      </c>
      <c r="AR12" s="15">
        <v>0</v>
      </c>
      <c r="AS12" s="15">
        <v>0</v>
      </c>
      <c r="AT12" s="15"/>
      <c r="AU12" s="17">
        <v>0</v>
      </c>
      <c r="AV12" s="15">
        <v>0</v>
      </c>
      <c r="AW12" s="15">
        <v>0</v>
      </c>
      <c r="AX12" s="15">
        <v>0</v>
      </c>
      <c r="AY12" s="17">
        <v>0</v>
      </c>
      <c r="AZ12" s="15">
        <v>0</v>
      </c>
      <c r="BA12" s="15">
        <v>0</v>
      </c>
      <c r="BB12" s="15">
        <v>0</v>
      </c>
      <c r="BC12" s="17">
        <v>0</v>
      </c>
      <c r="BD12" s="15">
        <v>0</v>
      </c>
      <c r="BE12" s="15">
        <v>0</v>
      </c>
      <c r="BF12" s="15">
        <v>0</v>
      </c>
      <c r="BG12" s="15">
        <v>0</v>
      </c>
      <c r="BH12" s="17">
        <v>0</v>
      </c>
      <c r="BI12" s="15">
        <v>0</v>
      </c>
      <c r="BJ12" s="15">
        <v>0</v>
      </c>
      <c r="BK12" s="15">
        <v>0</v>
      </c>
      <c r="BL12" s="15">
        <v>0</v>
      </c>
      <c r="BM12" s="17">
        <v>0</v>
      </c>
      <c r="BN12" s="15">
        <v>0</v>
      </c>
      <c r="BO12" s="15">
        <v>0</v>
      </c>
      <c r="BP12" s="15">
        <v>0</v>
      </c>
      <c r="BQ12" s="15">
        <v>0</v>
      </c>
      <c r="BR12" s="15">
        <v>0</v>
      </c>
      <c r="BS12" s="17">
        <v>0</v>
      </c>
      <c r="BT12" s="15">
        <v>0</v>
      </c>
      <c r="BU12" s="15">
        <v>0</v>
      </c>
      <c r="BV12" s="15">
        <v>0</v>
      </c>
      <c r="BW12" s="15">
        <v>0</v>
      </c>
      <c r="BX12" s="17">
        <v>0</v>
      </c>
      <c r="BY12" s="15">
        <v>0</v>
      </c>
      <c r="BZ12" s="15">
        <v>0</v>
      </c>
      <c r="CA12" s="15">
        <v>0</v>
      </c>
      <c r="CB12" s="17">
        <v>0</v>
      </c>
      <c r="CC12" s="15">
        <v>0</v>
      </c>
      <c r="CD12" s="15">
        <v>0</v>
      </c>
      <c r="CE12" s="15">
        <v>0</v>
      </c>
      <c r="CF12" s="15">
        <v>0</v>
      </c>
      <c r="CG12" s="17">
        <v>0</v>
      </c>
      <c r="CH12" s="15">
        <v>0</v>
      </c>
      <c r="CI12" s="15">
        <v>0</v>
      </c>
      <c r="CJ12" s="15">
        <v>0</v>
      </c>
      <c r="CK12" s="15">
        <v>0</v>
      </c>
      <c r="CL12" s="17">
        <v>0</v>
      </c>
      <c r="CM12" s="15">
        <v>0</v>
      </c>
      <c r="CN12" s="15">
        <v>0</v>
      </c>
      <c r="CO12" s="17">
        <v>0</v>
      </c>
      <c r="CP12" s="15">
        <v>0</v>
      </c>
      <c r="CQ12" s="15">
        <v>0</v>
      </c>
      <c r="CR12" s="15">
        <v>0</v>
      </c>
      <c r="CS12" s="17">
        <v>0</v>
      </c>
      <c r="CT12" s="15">
        <v>0</v>
      </c>
      <c r="CU12" s="15">
        <v>0</v>
      </c>
      <c r="CV12" s="15">
        <v>0</v>
      </c>
      <c r="CW12" s="15">
        <v>0</v>
      </c>
      <c r="CX12" s="15">
        <v>0</v>
      </c>
      <c r="CY12" s="17">
        <v>0</v>
      </c>
      <c r="CZ12" s="15">
        <v>0</v>
      </c>
      <c r="DA12" s="15">
        <v>0</v>
      </c>
      <c r="DB12" s="15">
        <v>0</v>
      </c>
      <c r="DC12" s="15">
        <v>0</v>
      </c>
      <c r="DD12" s="17">
        <v>0</v>
      </c>
      <c r="DE12" s="15">
        <v>0</v>
      </c>
      <c r="DF12" s="15">
        <v>0</v>
      </c>
      <c r="DG12" s="15">
        <v>0</v>
      </c>
      <c r="DH12" s="17">
        <v>0</v>
      </c>
      <c r="DI12" s="15">
        <v>0</v>
      </c>
      <c r="DJ12" s="15">
        <v>0</v>
      </c>
      <c r="DK12" s="15">
        <v>0</v>
      </c>
      <c r="DL12" s="15">
        <v>0</v>
      </c>
      <c r="DM12" s="15">
        <v>0</v>
      </c>
      <c r="DN12" s="17">
        <v>0</v>
      </c>
      <c r="DO12" s="15">
        <v>0</v>
      </c>
      <c r="DP12" s="15">
        <v>0</v>
      </c>
      <c r="DQ12" s="15">
        <v>0</v>
      </c>
      <c r="DR12" s="15">
        <v>0</v>
      </c>
      <c r="DS12" s="17">
        <v>0</v>
      </c>
      <c r="DT12" s="15">
        <v>0</v>
      </c>
      <c r="DU12" s="15">
        <v>0</v>
      </c>
      <c r="DV12" s="15">
        <v>0</v>
      </c>
      <c r="DW12" s="15">
        <v>0</v>
      </c>
      <c r="DX12" s="17">
        <v>0</v>
      </c>
      <c r="DY12" s="15">
        <v>0</v>
      </c>
      <c r="DZ12" s="15">
        <v>0</v>
      </c>
      <c r="EA12" s="15">
        <v>0</v>
      </c>
      <c r="EB12" s="41">
        <v>0</v>
      </c>
      <c r="EC12" s="17">
        <v>0</v>
      </c>
      <c r="ED12" s="42"/>
      <c r="EE12" s="15"/>
    </row>
    <row r="13" spans="1:135" ht="12.75">
      <c r="A13" s="40">
        <v>43844</v>
      </c>
      <c r="B13" s="15">
        <v>0</v>
      </c>
      <c r="C13" s="15">
        <v>0</v>
      </c>
      <c r="D13" s="15">
        <v>0</v>
      </c>
      <c r="E13" s="15">
        <f t="shared" ref="E13:G13" si="8">B13-C13-D13</f>
        <v>0</v>
      </c>
      <c r="F13" s="15">
        <f t="shared" si="8"/>
        <v>0</v>
      </c>
      <c r="G13" s="15">
        <f t="shared" si="8"/>
        <v>0</v>
      </c>
      <c r="H13" s="15">
        <f t="shared" si="1"/>
        <v>0</v>
      </c>
      <c r="I13" s="15">
        <v>0</v>
      </c>
      <c r="J13" s="15">
        <v>0</v>
      </c>
      <c r="K13" s="17">
        <v>0</v>
      </c>
      <c r="L13" s="15">
        <v>0</v>
      </c>
      <c r="M13" s="15">
        <v>0</v>
      </c>
      <c r="N13" s="17">
        <v>0</v>
      </c>
      <c r="O13" s="15">
        <v>0</v>
      </c>
      <c r="P13" s="15">
        <v>0</v>
      </c>
      <c r="Q13" s="15">
        <v>0</v>
      </c>
      <c r="R13" s="15">
        <v>0</v>
      </c>
      <c r="S13" s="15">
        <v>0</v>
      </c>
      <c r="T13" s="17">
        <v>0</v>
      </c>
      <c r="U13" s="15">
        <v>0</v>
      </c>
      <c r="V13" s="15">
        <v>0</v>
      </c>
      <c r="W13" s="15">
        <v>0</v>
      </c>
      <c r="X13" s="15">
        <v>0</v>
      </c>
      <c r="Y13" s="17">
        <v>0</v>
      </c>
      <c r="Z13" s="15">
        <v>0</v>
      </c>
      <c r="AA13" s="15">
        <v>0</v>
      </c>
      <c r="AB13" s="15">
        <v>0</v>
      </c>
      <c r="AC13" s="15">
        <v>0</v>
      </c>
      <c r="AD13" s="17">
        <v>0</v>
      </c>
      <c r="AE13" s="15">
        <v>0</v>
      </c>
      <c r="AF13" s="15">
        <v>0</v>
      </c>
      <c r="AG13" s="15">
        <v>0</v>
      </c>
      <c r="AH13" s="15">
        <v>0</v>
      </c>
      <c r="AI13" s="15">
        <v>0</v>
      </c>
      <c r="AJ13" s="17">
        <v>0</v>
      </c>
      <c r="AK13" s="15">
        <v>0</v>
      </c>
      <c r="AL13" s="15">
        <v>0</v>
      </c>
      <c r="AM13" s="15">
        <v>0</v>
      </c>
      <c r="AN13" s="15">
        <v>0</v>
      </c>
      <c r="AO13" s="17">
        <v>0</v>
      </c>
      <c r="AP13" s="15">
        <v>0</v>
      </c>
      <c r="AQ13" s="15">
        <v>0</v>
      </c>
      <c r="AR13" s="15">
        <v>0</v>
      </c>
      <c r="AS13" s="15">
        <v>0</v>
      </c>
      <c r="AT13" s="15"/>
      <c r="AU13" s="17">
        <v>0</v>
      </c>
      <c r="AV13" s="15">
        <v>0</v>
      </c>
      <c r="AW13" s="15">
        <v>0</v>
      </c>
      <c r="AX13" s="15">
        <v>0</v>
      </c>
      <c r="AY13" s="17">
        <v>0</v>
      </c>
      <c r="AZ13" s="15">
        <v>0</v>
      </c>
      <c r="BA13" s="15">
        <v>0</v>
      </c>
      <c r="BB13" s="15">
        <v>0</v>
      </c>
      <c r="BC13" s="17">
        <v>0</v>
      </c>
      <c r="BD13" s="15">
        <v>0</v>
      </c>
      <c r="BE13" s="15">
        <v>0</v>
      </c>
      <c r="BF13" s="15">
        <v>0</v>
      </c>
      <c r="BG13" s="15">
        <v>0</v>
      </c>
      <c r="BH13" s="17">
        <v>0</v>
      </c>
      <c r="BI13" s="15">
        <v>0</v>
      </c>
      <c r="BJ13" s="15">
        <v>0</v>
      </c>
      <c r="BK13" s="15">
        <v>0</v>
      </c>
      <c r="BL13" s="15">
        <v>0</v>
      </c>
      <c r="BM13" s="17">
        <v>0</v>
      </c>
      <c r="BN13" s="15">
        <v>0</v>
      </c>
      <c r="BO13" s="15">
        <v>0</v>
      </c>
      <c r="BP13" s="15">
        <v>0</v>
      </c>
      <c r="BQ13" s="15">
        <v>0</v>
      </c>
      <c r="BR13" s="15">
        <v>0</v>
      </c>
      <c r="BS13" s="17">
        <v>0</v>
      </c>
      <c r="BT13" s="15">
        <v>0</v>
      </c>
      <c r="BU13" s="15">
        <v>0</v>
      </c>
      <c r="BV13" s="15">
        <v>0</v>
      </c>
      <c r="BW13" s="15">
        <v>0</v>
      </c>
      <c r="BX13" s="17">
        <v>0</v>
      </c>
      <c r="BY13" s="15">
        <v>0</v>
      </c>
      <c r="BZ13" s="15">
        <v>0</v>
      </c>
      <c r="CA13" s="15">
        <v>0</v>
      </c>
      <c r="CB13" s="17">
        <v>0</v>
      </c>
      <c r="CC13" s="15">
        <v>0</v>
      </c>
      <c r="CD13" s="15">
        <v>0</v>
      </c>
      <c r="CE13" s="15">
        <v>0</v>
      </c>
      <c r="CF13" s="15">
        <v>0</v>
      </c>
      <c r="CG13" s="17">
        <v>0</v>
      </c>
      <c r="CH13" s="15">
        <v>0</v>
      </c>
      <c r="CI13" s="15">
        <v>0</v>
      </c>
      <c r="CJ13" s="15">
        <v>0</v>
      </c>
      <c r="CK13" s="15">
        <v>0</v>
      </c>
      <c r="CL13" s="17">
        <v>0</v>
      </c>
      <c r="CM13" s="15">
        <v>0</v>
      </c>
      <c r="CN13" s="15">
        <v>0</v>
      </c>
      <c r="CO13" s="17">
        <v>0</v>
      </c>
      <c r="CP13" s="15">
        <v>0</v>
      </c>
      <c r="CQ13" s="15">
        <v>0</v>
      </c>
      <c r="CR13" s="15">
        <v>0</v>
      </c>
      <c r="CS13" s="17">
        <v>0</v>
      </c>
      <c r="CT13" s="15">
        <v>0</v>
      </c>
      <c r="CU13" s="15">
        <v>0</v>
      </c>
      <c r="CV13" s="15">
        <v>0</v>
      </c>
      <c r="CW13" s="15">
        <v>0</v>
      </c>
      <c r="CX13" s="15">
        <v>0</v>
      </c>
      <c r="CY13" s="17">
        <v>0</v>
      </c>
      <c r="CZ13" s="15">
        <v>0</v>
      </c>
      <c r="DA13" s="15">
        <v>0</v>
      </c>
      <c r="DB13" s="15">
        <v>0</v>
      </c>
      <c r="DC13" s="15">
        <v>0</v>
      </c>
      <c r="DD13" s="17">
        <v>0</v>
      </c>
      <c r="DE13" s="15">
        <v>0</v>
      </c>
      <c r="DF13" s="15">
        <v>0</v>
      </c>
      <c r="DG13" s="15">
        <v>0</v>
      </c>
      <c r="DH13" s="17">
        <v>0</v>
      </c>
      <c r="DI13" s="15">
        <v>0</v>
      </c>
      <c r="DJ13" s="15">
        <v>0</v>
      </c>
      <c r="DK13" s="15">
        <v>0</v>
      </c>
      <c r="DL13" s="15">
        <v>0</v>
      </c>
      <c r="DM13" s="15">
        <v>0</v>
      </c>
      <c r="DN13" s="17">
        <v>0</v>
      </c>
      <c r="DO13" s="15">
        <v>0</v>
      </c>
      <c r="DP13" s="15">
        <v>0</v>
      </c>
      <c r="DQ13" s="15">
        <v>0</v>
      </c>
      <c r="DR13" s="15">
        <v>0</v>
      </c>
      <c r="DS13" s="17">
        <v>0</v>
      </c>
      <c r="DT13" s="15">
        <v>0</v>
      </c>
      <c r="DU13" s="15">
        <v>0</v>
      </c>
      <c r="DV13" s="15">
        <v>0</v>
      </c>
      <c r="DW13" s="15">
        <v>0</v>
      </c>
      <c r="DX13" s="17">
        <v>0</v>
      </c>
      <c r="DY13" s="15">
        <v>0</v>
      </c>
      <c r="DZ13" s="15">
        <v>0</v>
      </c>
      <c r="EA13" s="15">
        <v>0</v>
      </c>
      <c r="EB13" s="63">
        <v>0</v>
      </c>
      <c r="EC13" s="17">
        <v>0</v>
      </c>
      <c r="ED13" s="42"/>
      <c r="EE13" s="15"/>
    </row>
    <row r="14" spans="1:135" ht="12.75">
      <c r="A14" s="40">
        <v>43845</v>
      </c>
      <c r="B14" s="15">
        <v>0</v>
      </c>
      <c r="C14" s="15">
        <v>0</v>
      </c>
      <c r="D14" s="15">
        <v>0</v>
      </c>
      <c r="E14" s="15">
        <f t="shared" ref="E14:G14" si="9">B14-C14-D14</f>
        <v>0</v>
      </c>
      <c r="F14" s="15">
        <f t="shared" si="9"/>
        <v>0</v>
      </c>
      <c r="G14" s="15">
        <f t="shared" si="9"/>
        <v>0</v>
      </c>
      <c r="H14" s="15">
        <f t="shared" si="1"/>
        <v>0</v>
      </c>
      <c r="I14" s="15">
        <v>0</v>
      </c>
      <c r="J14" s="15">
        <v>0</v>
      </c>
      <c r="K14" s="17">
        <v>0</v>
      </c>
      <c r="L14" s="15">
        <v>0</v>
      </c>
      <c r="M14" s="15">
        <v>0</v>
      </c>
      <c r="N14" s="17">
        <v>0</v>
      </c>
      <c r="O14" s="15">
        <v>0</v>
      </c>
      <c r="P14" s="15">
        <v>0</v>
      </c>
      <c r="Q14" s="15">
        <v>0</v>
      </c>
      <c r="R14" s="15">
        <v>0</v>
      </c>
      <c r="S14" s="15">
        <v>0</v>
      </c>
      <c r="T14" s="17">
        <v>0</v>
      </c>
      <c r="U14" s="15">
        <v>0</v>
      </c>
      <c r="V14" s="15">
        <v>0</v>
      </c>
      <c r="W14" s="15">
        <v>0</v>
      </c>
      <c r="X14" s="15">
        <v>0</v>
      </c>
      <c r="Y14" s="17">
        <v>0</v>
      </c>
      <c r="Z14" s="15">
        <v>0</v>
      </c>
      <c r="AA14" s="15">
        <v>0</v>
      </c>
      <c r="AB14" s="15">
        <v>0</v>
      </c>
      <c r="AC14" s="15">
        <v>0</v>
      </c>
      <c r="AD14" s="17">
        <v>0</v>
      </c>
      <c r="AE14" s="15">
        <v>0</v>
      </c>
      <c r="AF14" s="15">
        <v>0</v>
      </c>
      <c r="AG14" s="15">
        <v>0</v>
      </c>
      <c r="AH14" s="15">
        <v>0</v>
      </c>
      <c r="AI14" s="15">
        <v>0</v>
      </c>
      <c r="AJ14" s="17">
        <v>0</v>
      </c>
      <c r="AK14" s="15">
        <v>0</v>
      </c>
      <c r="AL14" s="15">
        <v>0</v>
      </c>
      <c r="AM14" s="15">
        <v>0</v>
      </c>
      <c r="AN14" s="15">
        <v>0</v>
      </c>
      <c r="AO14" s="17">
        <v>0</v>
      </c>
      <c r="AP14" s="15">
        <v>0</v>
      </c>
      <c r="AQ14" s="15">
        <v>0</v>
      </c>
      <c r="AR14" s="15">
        <v>0</v>
      </c>
      <c r="AS14" s="15">
        <v>0</v>
      </c>
      <c r="AT14" s="15"/>
      <c r="AU14" s="17">
        <v>0</v>
      </c>
      <c r="AV14" s="15">
        <v>0</v>
      </c>
      <c r="AW14" s="15">
        <v>0</v>
      </c>
      <c r="AX14" s="15">
        <v>0</v>
      </c>
      <c r="AY14" s="17">
        <v>0</v>
      </c>
      <c r="AZ14" s="15">
        <v>0</v>
      </c>
      <c r="BA14" s="15">
        <v>0</v>
      </c>
      <c r="BB14" s="15">
        <v>0</v>
      </c>
      <c r="BC14" s="17">
        <v>0</v>
      </c>
      <c r="BD14" s="15">
        <v>0</v>
      </c>
      <c r="BE14" s="15">
        <v>0</v>
      </c>
      <c r="BF14" s="15">
        <v>0</v>
      </c>
      <c r="BG14" s="15">
        <v>0</v>
      </c>
      <c r="BH14" s="17">
        <v>0</v>
      </c>
      <c r="BI14" s="15">
        <v>0</v>
      </c>
      <c r="BJ14" s="15">
        <v>0</v>
      </c>
      <c r="BK14" s="15">
        <v>0</v>
      </c>
      <c r="BL14" s="15">
        <v>0</v>
      </c>
      <c r="BM14" s="17">
        <v>0</v>
      </c>
      <c r="BN14" s="15">
        <v>0</v>
      </c>
      <c r="BO14" s="15">
        <v>0</v>
      </c>
      <c r="BP14" s="15">
        <v>0</v>
      </c>
      <c r="BQ14" s="15">
        <v>0</v>
      </c>
      <c r="BR14" s="15">
        <v>0</v>
      </c>
      <c r="BS14" s="17">
        <v>0</v>
      </c>
      <c r="BT14" s="15">
        <v>0</v>
      </c>
      <c r="BU14" s="15">
        <v>0</v>
      </c>
      <c r="BV14" s="15">
        <v>0</v>
      </c>
      <c r="BW14" s="15">
        <v>0</v>
      </c>
      <c r="BX14" s="17">
        <v>0</v>
      </c>
      <c r="BY14" s="15">
        <v>0</v>
      </c>
      <c r="BZ14" s="15">
        <v>0</v>
      </c>
      <c r="CA14" s="15">
        <v>0</v>
      </c>
      <c r="CB14" s="17">
        <v>0</v>
      </c>
      <c r="CC14" s="15">
        <v>0</v>
      </c>
      <c r="CD14" s="15">
        <v>0</v>
      </c>
      <c r="CE14" s="15">
        <v>0</v>
      </c>
      <c r="CF14" s="15">
        <v>0</v>
      </c>
      <c r="CG14" s="17">
        <v>0</v>
      </c>
      <c r="CH14" s="15">
        <v>0</v>
      </c>
      <c r="CI14" s="15">
        <v>0</v>
      </c>
      <c r="CJ14" s="15">
        <v>0</v>
      </c>
      <c r="CK14" s="15">
        <v>0</v>
      </c>
      <c r="CL14" s="17">
        <v>0</v>
      </c>
      <c r="CM14" s="15">
        <v>0</v>
      </c>
      <c r="CN14" s="15">
        <v>0</v>
      </c>
      <c r="CO14" s="17">
        <v>0</v>
      </c>
      <c r="CP14" s="15">
        <v>0</v>
      </c>
      <c r="CQ14" s="15">
        <v>0</v>
      </c>
      <c r="CR14" s="15">
        <v>0</v>
      </c>
      <c r="CS14" s="17">
        <v>0</v>
      </c>
      <c r="CT14" s="15">
        <v>0</v>
      </c>
      <c r="CU14" s="15">
        <v>0</v>
      </c>
      <c r="CV14" s="15">
        <v>0</v>
      </c>
      <c r="CW14" s="15">
        <v>0</v>
      </c>
      <c r="CX14" s="15">
        <v>0</v>
      </c>
      <c r="CY14" s="17">
        <v>0</v>
      </c>
      <c r="CZ14" s="15">
        <v>0</v>
      </c>
      <c r="DA14" s="15">
        <v>0</v>
      </c>
      <c r="DB14" s="15">
        <v>0</v>
      </c>
      <c r="DC14" s="15">
        <v>0</v>
      </c>
      <c r="DD14" s="17">
        <v>0</v>
      </c>
      <c r="DE14" s="15">
        <v>0</v>
      </c>
      <c r="DF14" s="15">
        <v>0</v>
      </c>
      <c r="DG14" s="15">
        <v>0</v>
      </c>
      <c r="DH14" s="17">
        <v>0</v>
      </c>
      <c r="DI14" s="15">
        <v>0</v>
      </c>
      <c r="DJ14" s="15">
        <v>0</v>
      </c>
      <c r="DK14" s="15">
        <v>0</v>
      </c>
      <c r="DL14" s="15">
        <v>0</v>
      </c>
      <c r="DM14" s="15">
        <v>0</v>
      </c>
      <c r="DN14" s="17">
        <v>0</v>
      </c>
      <c r="DO14" s="15">
        <v>0</v>
      </c>
      <c r="DP14" s="15">
        <v>0</v>
      </c>
      <c r="DQ14" s="15">
        <v>0</v>
      </c>
      <c r="DR14" s="15">
        <v>0</v>
      </c>
      <c r="DS14" s="17">
        <v>0</v>
      </c>
      <c r="DT14" s="15">
        <v>0</v>
      </c>
      <c r="DU14" s="15">
        <v>0</v>
      </c>
      <c r="DV14" s="15">
        <v>0</v>
      </c>
      <c r="DW14" s="15">
        <v>0</v>
      </c>
      <c r="DX14" s="17">
        <v>0</v>
      </c>
      <c r="DY14" s="15">
        <v>0</v>
      </c>
      <c r="DZ14" s="15">
        <v>0</v>
      </c>
      <c r="EA14" s="15">
        <v>0</v>
      </c>
      <c r="EB14" s="41">
        <v>0</v>
      </c>
      <c r="EC14" s="17">
        <v>0</v>
      </c>
      <c r="ED14" s="42"/>
      <c r="EE14" s="15"/>
    </row>
    <row r="15" spans="1:135" ht="12.75">
      <c r="A15" s="40">
        <v>43846</v>
      </c>
      <c r="B15" s="15">
        <v>0</v>
      </c>
      <c r="C15" s="15">
        <v>0</v>
      </c>
      <c r="D15" s="15">
        <v>0</v>
      </c>
      <c r="E15" s="15">
        <f t="shared" ref="E15:G15" si="10">B15-C15-D15</f>
        <v>0</v>
      </c>
      <c r="F15" s="15">
        <f t="shared" si="10"/>
        <v>0</v>
      </c>
      <c r="G15" s="15">
        <f t="shared" si="10"/>
        <v>0</v>
      </c>
      <c r="H15" s="15">
        <f t="shared" si="1"/>
        <v>0</v>
      </c>
      <c r="I15" s="15">
        <v>0</v>
      </c>
      <c r="J15" s="15">
        <v>0</v>
      </c>
      <c r="K15" s="17">
        <v>0</v>
      </c>
      <c r="L15" s="15">
        <v>0</v>
      </c>
      <c r="M15" s="15">
        <v>0</v>
      </c>
      <c r="N15" s="17">
        <v>0</v>
      </c>
      <c r="O15" s="15">
        <v>0</v>
      </c>
      <c r="P15" s="15">
        <v>0</v>
      </c>
      <c r="Q15" s="15">
        <v>0</v>
      </c>
      <c r="R15" s="15">
        <v>0</v>
      </c>
      <c r="S15" s="15">
        <v>0</v>
      </c>
      <c r="T15" s="17">
        <v>0</v>
      </c>
      <c r="U15" s="15">
        <v>0</v>
      </c>
      <c r="V15" s="15">
        <v>0</v>
      </c>
      <c r="W15" s="15">
        <v>0</v>
      </c>
      <c r="X15" s="15">
        <v>0</v>
      </c>
      <c r="Y15" s="17">
        <v>0</v>
      </c>
      <c r="Z15" s="15">
        <v>0</v>
      </c>
      <c r="AA15" s="15">
        <v>0</v>
      </c>
      <c r="AB15" s="15">
        <v>0</v>
      </c>
      <c r="AC15" s="15">
        <v>0</v>
      </c>
      <c r="AD15" s="17">
        <v>0</v>
      </c>
      <c r="AE15" s="15">
        <v>0</v>
      </c>
      <c r="AF15" s="15">
        <v>0</v>
      </c>
      <c r="AG15" s="15">
        <v>0</v>
      </c>
      <c r="AH15" s="15">
        <v>0</v>
      </c>
      <c r="AI15" s="15">
        <v>0</v>
      </c>
      <c r="AJ15" s="17">
        <v>0</v>
      </c>
      <c r="AK15" s="15">
        <v>0</v>
      </c>
      <c r="AL15" s="15">
        <v>0</v>
      </c>
      <c r="AM15" s="15">
        <v>0</v>
      </c>
      <c r="AN15" s="15">
        <v>0</v>
      </c>
      <c r="AO15" s="17">
        <v>0</v>
      </c>
      <c r="AP15" s="15">
        <v>0</v>
      </c>
      <c r="AQ15" s="15">
        <v>0</v>
      </c>
      <c r="AR15" s="15">
        <v>0</v>
      </c>
      <c r="AS15" s="15">
        <v>0</v>
      </c>
      <c r="AT15" s="15"/>
      <c r="AU15" s="17">
        <v>0</v>
      </c>
      <c r="AV15" s="15">
        <v>0</v>
      </c>
      <c r="AW15" s="15">
        <v>0</v>
      </c>
      <c r="AX15" s="15">
        <v>0</v>
      </c>
      <c r="AY15" s="17">
        <v>0</v>
      </c>
      <c r="AZ15" s="15">
        <v>0</v>
      </c>
      <c r="BA15" s="15">
        <v>0</v>
      </c>
      <c r="BB15" s="15">
        <v>0</v>
      </c>
      <c r="BC15" s="17">
        <v>0</v>
      </c>
      <c r="BD15" s="15">
        <v>0</v>
      </c>
      <c r="BE15" s="15">
        <v>0</v>
      </c>
      <c r="BF15" s="15">
        <v>0</v>
      </c>
      <c r="BG15" s="15">
        <v>0</v>
      </c>
      <c r="BH15" s="17">
        <v>0</v>
      </c>
      <c r="BI15" s="15">
        <v>0</v>
      </c>
      <c r="BJ15" s="15">
        <v>0</v>
      </c>
      <c r="BK15" s="15">
        <v>0</v>
      </c>
      <c r="BL15" s="15">
        <v>0</v>
      </c>
      <c r="BM15" s="17">
        <v>0</v>
      </c>
      <c r="BN15" s="15">
        <v>0</v>
      </c>
      <c r="BO15" s="15">
        <v>0</v>
      </c>
      <c r="BP15" s="15">
        <v>0</v>
      </c>
      <c r="BQ15" s="15">
        <v>0</v>
      </c>
      <c r="BR15" s="15">
        <v>0</v>
      </c>
      <c r="BS15" s="17">
        <v>0</v>
      </c>
      <c r="BT15" s="15">
        <v>0</v>
      </c>
      <c r="BU15" s="15">
        <v>0</v>
      </c>
      <c r="BV15" s="15">
        <v>0</v>
      </c>
      <c r="BW15" s="15">
        <v>0</v>
      </c>
      <c r="BX15" s="17">
        <v>0</v>
      </c>
      <c r="BY15" s="15">
        <v>0</v>
      </c>
      <c r="BZ15" s="15">
        <v>0</v>
      </c>
      <c r="CA15" s="15">
        <v>0</v>
      </c>
      <c r="CB15" s="17">
        <v>0</v>
      </c>
      <c r="CC15" s="15">
        <v>0</v>
      </c>
      <c r="CD15" s="15">
        <v>0</v>
      </c>
      <c r="CE15" s="15">
        <v>0</v>
      </c>
      <c r="CF15" s="15">
        <v>0</v>
      </c>
      <c r="CG15" s="17">
        <v>0</v>
      </c>
      <c r="CH15" s="15">
        <v>0</v>
      </c>
      <c r="CI15" s="15">
        <v>0</v>
      </c>
      <c r="CJ15" s="15">
        <v>0</v>
      </c>
      <c r="CK15" s="15">
        <v>0</v>
      </c>
      <c r="CL15" s="17">
        <v>0</v>
      </c>
      <c r="CM15" s="15">
        <v>0</v>
      </c>
      <c r="CN15" s="15">
        <v>0</v>
      </c>
      <c r="CO15" s="17">
        <v>0</v>
      </c>
      <c r="CP15" s="15">
        <v>0</v>
      </c>
      <c r="CQ15" s="15">
        <v>0</v>
      </c>
      <c r="CR15" s="15">
        <v>0</v>
      </c>
      <c r="CS15" s="17">
        <v>0</v>
      </c>
      <c r="CT15" s="15">
        <v>0</v>
      </c>
      <c r="CU15" s="15">
        <v>0</v>
      </c>
      <c r="CV15" s="15">
        <v>0</v>
      </c>
      <c r="CW15" s="15">
        <v>0</v>
      </c>
      <c r="CX15" s="15">
        <v>0</v>
      </c>
      <c r="CY15" s="17">
        <v>0</v>
      </c>
      <c r="CZ15" s="15">
        <v>0</v>
      </c>
      <c r="DA15" s="15">
        <v>0</v>
      </c>
      <c r="DB15" s="15">
        <v>0</v>
      </c>
      <c r="DC15" s="15">
        <v>0</v>
      </c>
      <c r="DD15" s="17">
        <v>0</v>
      </c>
      <c r="DE15" s="15">
        <v>0</v>
      </c>
      <c r="DF15" s="15">
        <v>0</v>
      </c>
      <c r="DG15" s="15">
        <v>0</v>
      </c>
      <c r="DH15" s="17">
        <v>0</v>
      </c>
      <c r="DI15" s="15">
        <v>0</v>
      </c>
      <c r="DJ15" s="15">
        <v>0</v>
      </c>
      <c r="DK15" s="15">
        <v>0</v>
      </c>
      <c r="DL15" s="15">
        <v>0</v>
      </c>
      <c r="DM15" s="15">
        <v>0</v>
      </c>
      <c r="DN15" s="17">
        <v>0</v>
      </c>
      <c r="DO15" s="15">
        <v>0</v>
      </c>
      <c r="DP15" s="15">
        <v>0</v>
      </c>
      <c r="DQ15" s="15">
        <v>0</v>
      </c>
      <c r="DR15" s="15">
        <v>0</v>
      </c>
      <c r="DS15" s="17">
        <v>0</v>
      </c>
      <c r="DT15" s="15">
        <v>0</v>
      </c>
      <c r="DU15" s="15">
        <v>0</v>
      </c>
      <c r="DV15" s="15">
        <v>0</v>
      </c>
      <c r="DW15" s="15">
        <v>0</v>
      </c>
      <c r="DX15" s="17">
        <v>0</v>
      </c>
      <c r="DY15" s="15">
        <v>0</v>
      </c>
      <c r="DZ15" s="15">
        <v>0</v>
      </c>
      <c r="EA15" s="15">
        <v>0</v>
      </c>
      <c r="EB15" s="63">
        <v>0</v>
      </c>
      <c r="EC15" s="17">
        <v>0</v>
      </c>
      <c r="ED15" s="42"/>
      <c r="EE15" s="15"/>
    </row>
    <row r="16" spans="1:135" ht="12.75">
      <c r="A16" s="40">
        <v>43847</v>
      </c>
      <c r="B16" s="15">
        <v>0</v>
      </c>
      <c r="C16" s="15">
        <v>0</v>
      </c>
      <c r="D16" s="15">
        <v>0</v>
      </c>
      <c r="E16" s="15">
        <f t="shared" ref="E16:G16" si="11">B16-C16-D16</f>
        <v>0</v>
      </c>
      <c r="F16" s="15">
        <f t="shared" si="11"/>
        <v>0</v>
      </c>
      <c r="G16" s="15">
        <f t="shared" si="11"/>
        <v>0</v>
      </c>
      <c r="H16" s="15">
        <f t="shared" si="1"/>
        <v>0</v>
      </c>
      <c r="I16" s="15">
        <v>0</v>
      </c>
      <c r="J16" s="15">
        <v>0</v>
      </c>
      <c r="K16" s="17">
        <v>0</v>
      </c>
      <c r="L16" s="15">
        <v>0</v>
      </c>
      <c r="M16" s="15">
        <v>0</v>
      </c>
      <c r="N16" s="17">
        <v>0</v>
      </c>
      <c r="O16" s="15">
        <v>0</v>
      </c>
      <c r="P16" s="15">
        <v>0</v>
      </c>
      <c r="Q16" s="15">
        <v>0</v>
      </c>
      <c r="R16" s="15">
        <v>0</v>
      </c>
      <c r="S16" s="15">
        <v>0</v>
      </c>
      <c r="T16" s="17">
        <v>0</v>
      </c>
      <c r="U16" s="15">
        <v>0</v>
      </c>
      <c r="V16" s="15">
        <v>0</v>
      </c>
      <c r="W16" s="15">
        <v>0</v>
      </c>
      <c r="X16" s="15">
        <v>0</v>
      </c>
      <c r="Y16" s="17">
        <v>0</v>
      </c>
      <c r="Z16" s="15">
        <v>0</v>
      </c>
      <c r="AA16" s="15">
        <v>0</v>
      </c>
      <c r="AB16" s="15">
        <v>0</v>
      </c>
      <c r="AC16" s="15">
        <v>0</v>
      </c>
      <c r="AD16" s="17">
        <v>0</v>
      </c>
      <c r="AE16" s="15">
        <v>0</v>
      </c>
      <c r="AF16" s="15">
        <v>0</v>
      </c>
      <c r="AG16" s="15">
        <v>0</v>
      </c>
      <c r="AH16" s="15">
        <v>0</v>
      </c>
      <c r="AI16" s="15">
        <v>0</v>
      </c>
      <c r="AJ16" s="17">
        <v>0</v>
      </c>
      <c r="AK16" s="15">
        <v>0</v>
      </c>
      <c r="AL16" s="15">
        <v>0</v>
      </c>
      <c r="AM16" s="15">
        <v>0</v>
      </c>
      <c r="AN16" s="15">
        <v>0</v>
      </c>
      <c r="AO16" s="17">
        <v>0</v>
      </c>
      <c r="AP16" s="15">
        <v>0</v>
      </c>
      <c r="AQ16" s="15">
        <v>0</v>
      </c>
      <c r="AR16" s="15">
        <v>0</v>
      </c>
      <c r="AS16" s="15">
        <v>0</v>
      </c>
      <c r="AT16" s="15"/>
      <c r="AU16" s="17">
        <v>0</v>
      </c>
      <c r="AV16" s="15">
        <v>0</v>
      </c>
      <c r="AW16" s="15">
        <v>0</v>
      </c>
      <c r="AX16" s="15">
        <v>0</v>
      </c>
      <c r="AY16" s="17">
        <v>0</v>
      </c>
      <c r="AZ16" s="15">
        <v>0</v>
      </c>
      <c r="BA16" s="15">
        <v>0</v>
      </c>
      <c r="BB16" s="15">
        <v>0</v>
      </c>
      <c r="BC16" s="17">
        <v>0</v>
      </c>
      <c r="BD16" s="15">
        <v>0</v>
      </c>
      <c r="BE16" s="15">
        <v>0</v>
      </c>
      <c r="BF16" s="15">
        <v>0</v>
      </c>
      <c r="BG16" s="15">
        <v>0</v>
      </c>
      <c r="BH16" s="17">
        <v>0</v>
      </c>
      <c r="BI16" s="15">
        <v>0</v>
      </c>
      <c r="BJ16" s="15">
        <v>0</v>
      </c>
      <c r="BK16" s="15">
        <v>0</v>
      </c>
      <c r="BL16" s="15">
        <v>0</v>
      </c>
      <c r="BM16" s="17">
        <v>0</v>
      </c>
      <c r="BN16" s="15">
        <v>0</v>
      </c>
      <c r="BO16" s="15">
        <v>0</v>
      </c>
      <c r="BP16" s="15">
        <v>0</v>
      </c>
      <c r="BQ16" s="15">
        <v>0</v>
      </c>
      <c r="BR16" s="15">
        <v>0</v>
      </c>
      <c r="BS16" s="17">
        <v>0</v>
      </c>
      <c r="BT16" s="15">
        <v>0</v>
      </c>
      <c r="BU16" s="15">
        <v>0</v>
      </c>
      <c r="BV16" s="15">
        <v>0</v>
      </c>
      <c r="BW16" s="15">
        <v>0</v>
      </c>
      <c r="BX16" s="17">
        <v>0</v>
      </c>
      <c r="BY16" s="15">
        <v>0</v>
      </c>
      <c r="BZ16" s="15">
        <v>0</v>
      </c>
      <c r="CA16" s="15">
        <v>0</v>
      </c>
      <c r="CB16" s="17">
        <v>0</v>
      </c>
      <c r="CC16" s="15">
        <v>0</v>
      </c>
      <c r="CD16" s="15">
        <v>0</v>
      </c>
      <c r="CE16" s="15">
        <v>0</v>
      </c>
      <c r="CF16" s="15">
        <v>0</v>
      </c>
      <c r="CG16" s="17">
        <v>0</v>
      </c>
      <c r="CH16" s="15">
        <v>0</v>
      </c>
      <c r="CI16" s="15">
        <v>0</v>
      </c>
      <c r="CJ16" s="15">
        <v>0</v>
      </c>
      <c r="CK16" s="15">
        <v>0</v>
      </c>
      <c r="CL16" s="17">
        <v>0</v>
      </c>
      <c r="CM16" s="15">
        <v>0</v>
      </c>
      <c r="CN16" s="15">
        <v>0</v>
      </c>
      <c r="CO16" s="17">
        <v>0</v>
      </c>
      <c r="CP16" s="15">
        <v>0</v>
      </c>
      <c r="CQ16" s="15">
        <v>0</v>
      </c>
      <c r="CR16" s="15">
        <v>0</v>
      </c>
      <c r="CS16" s="17">
        <v>0</v>
      </c>
      <c r="CT16" s="15">
        <v>0</v>
      </c>
      <c r="CU16" s="15">
        <v>0</v>
      </c>
      <c r="CV16" s="15">
        <v>0</v>
      </c>
      <c r="CW16" s="15">
        <v>0</v>
      </c>
      <c r="CX16" s="15">
        <v>0</v>
      </c>
      <c r="CY16" s="17">
        <v>0</v>
      </c>
      <c r="CZ16" s="15">
        <v>0</v>
      </c>
      <c r="DA16" s="15">
        <v>0</v>
      </c>
      <c r="DB16" s="15">
        <v>0</v>
      </c>
      <c r="DC16" s="15">
        <v>0</v>
      </c>
      <c r="DD16" s="17">
        <v>0</v>
      </c>
      <c r="DE16" s="15">
        <v>0</v>
      </c>
      <c r="DF16" s="15">
        <v>0</v>
      </c>
      <c r="DG16" s="15">
        <v>0</v>
      </c>
      <c r="DH16" s="17">
        <v>0</v>
      </c>
      <c r="DI16" s="15">
        <v>0</v>
      </c>
      <c r="DJ16" s="15">
        <v>0</v>
      </c>
      <c r="DK16" s="15">
        <v>0</v>
      </c>
      <c r="DL16" s="15">
        <v>0</v>
      </c>
      <c r="DM16" s="15">
        <v>0</v>
      </c>
      <c r="DN16" s="17">
        <v>0</v>
      </c>
      <c r="DO16" s="15">
        <v>0</v>
      </c>
      <c r="DP16" s="15">
        <v>0</v>
      </c>
      <c r="DQ16" s="15">
        <v>0</v>
      </c>
      <c r="DR16" s="15">
        <v>0</v>
      </c>
      <c r="DS16" s="17">
        <v>0</v>
      </c>
      <c r="DT16" s="15">
        <v>0</v>
      </c>
      <c r="DU16" s="15">
        <v>0</v>
      </c>
      <c r="DV16" s="15">
        <v>0</v>
      </c>
      <c r="DW16" s="15">
        <v>0</v>
      </c>
      <c r="DX16" s="17">
        <v>0</v>
      </c>
      <c r="DY16" s="15">
        <v>0</v>
      </c>
      <c r="DZ16" s="15">
        <v>0</v>
      </c>
      <c r="EA16" s="15">
        <v>0</v>
      </c>
      <c r="EB16" s="41">
        <v>0</v>
      </c>
      <c r="EC16" s="17">
        <v>0</v>
      </c>
      <c r="ED16" s="42"/>
      <c r="EE16" s="15"/>
    </row>
    <row r="17" spans="1:135" ht="12.75">
      <c r="A17" s="40">
        <v>43848</v>
      </c>
      <c r="B17" s="15">
        <v>0</v>
      </c>
      <c r="C17" s="15">
        <v>0</v>
      </c>
      <c r="D17" s="15">
        <v>0</v>
      </c>
      <c r="E17" s="15">
        <f t="shared" ref="E17:G17" si="12">B17-C17-D17</f>
        <v>0</v>
      </c>
      <c r="F17" s="15">
        <f t="shared" si="12"/>
        <v>0</v>
      </c>
      <c r="G17" s="15">
        <f t="shared" si="12"/>
        <v>0</v>
      </c>
      <c r="H17" s="15">
        <f t="shared" si="1"/>
        <v>0</v>
      </c>
      <c r="I17" s="15">
        <v>0</v>
      </c>
      <c r="J17" s="15">
        <v>0</v>
      </c>
      <c r="K17" s="17">
        <v>0</v>
      </c>
      <c r="L17" s="15">
        <v>0</v>
      </c>
      <c r="M17" s="15">
        <v>0</v>
      </c>
      <c r="N17" s="17">
        <v>0</v>
      </c>
      <c r="O17" s="15">
        <v>0</v>
      </c>
      <c r="P17" s="15">
        <v>0</v>
      </c>
      <c r="Q17" s="15">
        <v>0</v>
      </c>
      <c r="R17" s="15">
        <v>0</v>
      </c>
      <c r="S17" s="15">
        <v>0</v>
      </c>
      <c r="T17" s="17">
        <v>0</v>
      </c>
      <c r="U17" s="15">
        <v>0</v>
      </c>
      <c r="V17" s="15">
        <v>0</v>
      </c>
      <c r="W17" s="15">
        <v>0</v>
      </c>
      <c r="X17" s="15">
        <v>0</v>
      </c>
      <c r="Y17" s="17">
        <v>0</v>
      </c>
      <c r="Z17" s="15">
        <v>0</v>
      </c>
      <c r="AA17" s="15">
        <v>0</v>
      </c>
      <c r="AB17" s="15">
        <v>0</v>
      </c>
      <c r="AC17" s="15">
        <v>0</v>
      </c>
      <c r="AD17" s="17">
        <v>0</v>
      </c>
      <c r="AE17" s="15">
        <v>0</v>
      </c>
      <c r="AF17" s="15">
        <v>0</v>
      </c>
      <c r="AG17" s="15">
        <v>0</v>
      </c>
      <c r="AH17" s="15">
        <v>0</v>
      </c>
      <c r="AI17" s="15">
        <v>0</v>
      </c>
      <c r="AJ17" s="17">
        <v>0</v>
      </c>
      <c r="AK17" s="15">
        <v>0</v>
      </c>
      <c r="AL17" s="15">
        <v>0</v>
      </c>
      <c r="AM17" s="15">
        <v>0</v>
      </c>
      <c r="AN17" s="15">
        <v>0</v>
      </c>
      <c r="AO17" s="17">
        <v>0</v>
      </c>
      <c r="AP17" s="15">
        <v>0</v>
      </c>
      <c r="AQ17" s="15">
        <v>0</v>
      </c>
      <c r="AR17" s="15">
        <v>0</v>
      </c>
      <c r="AS17" s="15">
        <v>0</v>
      </c>
      <c r="AT17" s="15"/>
      <c r="AU17" s="17">
        <v>0</v>
      </c>
      <c r="AV17" s="15">
        <v>0</v>
      </c>
      <c r="AW17" s="15">
        <v>0</v>
      </c>
      <c r="AX17" s="15">
        <v>0</v>
      </c>
      <c r="AY17" s="17">
        <v>0</v>
      </c>
      <c r="AZ17" s="15">
        <v>0</v>
      </c>
      <c r="BA17" s="15">
        <v>0</v>
      </c>
      <c r="BB17" s="15">
        <v>0</v>
      </c>
      <c r="BC17" s="17">
        <v>0</v>
      </c>
      <c r="BD17" s="15">
        <v>0</v>
      </c>
      <c r="BE17" s="15">
        <v>0</v>
      </c>
      <c r="BF17" s="15">
        <v>0</v>
      </c>
      <c r="BG17" s="15">
        <v>0</v>
      </c>
      <c r="BH17" s="17">
        <v>0</v>
      </c>
      <c r="BI17" s="15">
        <v>0</v>
      </c>
      <c r="BJ17" s="15">
        <v>0</v>
      </c>
      <c r="BK17" s="15">
        <v>0</v>
      </c>
      <c r="BL17" s="15">
        <v>0</v>
      </c>
      <c r="BM17" s="17">
        <v>0</v>
      </c>
      <c r="BN17" s="15">
        <v>0</v>
      </c>
      <c r="BO17" s="15">
        <v>0</v>
      </c>
      <c r="BP17" s="15">
        <v>0</v>
      </c>
      <c r="BQ17" s="15">
        <v>0</v>
      </c>
      <c r="BR17" s="15">
        <v>0</v>
      </c>
      <c r="BS17" s="17">
        <v>0</v>
      </c>
      <c r="BT17" s="15">
        <v>0</v>
      </c>
      <c r="BU17" s="15">
        <v>0</v>
      </c>
      <c r="BV17" s="15">
        <v>0</v>
      </c>
      <c r="BW17" s="15">
        <v>0</v>
      </c>
      <c r="BX17" s="17">
        <v>0</v>
      </c>
      <c r="BY17" s="15">
        <v>0</v>
      </c>
      <c r="BZ17" s="15">
        <v>0</v>
      </c>
      <c r="CA17" s="15">
        <v>0</v>
      </c>
      <c r="CB17" s="17">
        <v>0</v>
      </c>
      <c r="CC17" s="15">
        <v>0</v>
      </c>
      <c r="CD17" s="15">
        <v>0</v>
      </c>
      <c r="CE17" s="15">
        <v>0</v>
      </c>
      <c r="CF17" s="15">
        <v>0</v>
      </c>
      <c r="CG17" s="17">
        <v>0</v>
      </c>
      <c r="CH17" s="15">
        <v>0</v>
      </c>
      <c r="CI17" s="15">
        <v>0</v>
      </c>
      <c r="CJ17" s="15">
        <v>0</v>
      </c>
      <c r="CK17" s="15">
        <v>0</v>
      </c>
      <c r="CL17" s="17">
        <v>0</v>
      </c>
      <c r="CM17" s="15">
        <v>0</v>
      </c>
      <c r="CN17" s="15">
        <v>0</v>
      </c>
      <c r="CO17" s="17">
        <v>0</v>
      </c>
      <c r="CP17" s="15">
        <v>0</v>
      </c>
      <c r="CQ17" s="15">
        <v>0</v>
      </c>
      <c r="CR17" s="15">
        <v>0</v>
      </c>
      <c r="CS17" s="17">
        <v>0</v>
      </c>
      <c r="CT17" s="15">
        <v>0</v>
      </c>
      <c r="CU17" s="15">
        <v>0</v>
      </c>
      <c r="CV17" s="15">
        <v>0</v>
      </c>
      <c r="CW17" s="15">
        <v>0</v>
      </c>
      <c r="CX17" s="15">
        <v>0</v>
      </c>
      <c r="CY17" s="17">
        <v>0</v>
      </c>
      <c r="CZ17" s="15">
        <v>0</v>
      </c>
      <c r="DA17" s="15">
        <v>0</v>
      </c>
      <c r="DB17" s="15">
        <v>0</v>
      </c>
      <c r="DC17" s="15">
        <v>0</v>
      </c>
      <c r="DD17" s="17">
        <v>0</v>
      </c>
      <c r="DE17" s="15">
        <v>0</v>
      </c>
      <c r="DF17" s="15">
        <v>0</v>
      </c>
      <c r="DG17" s="15">
        <v>0</v>
      </c>
      <c r="DH17" s="17">
        <v>0</v>
      </c>
      <c r="DI17" s="15">
        <v>0</v>
      </c>
      <c r="DJ17" s="15">
        <v>0</v>
      </c>
      <c r="DK17" s="15">
        <v>0</v>
      </c>
      <c r="DL17" s="15">
        <v>0</v>
      </c>
      <c r="DM17" s="15">
        <v>0</v>
      </c>
      <c r="DN17" s="17">
        <v>0</v>
      </c>
      <c r="DO17" s="15">
        <v>0</v>
      </c>
      <c r="DP17" s="15">
        <v>0</v>
      </c>
      <c r="DQ17" s="15">
        <v>0</v>
      </c>
      <c r="DR17" s="15">
        <v>0</v>
      </c>
      <c r="DS17" s="17">
        <v>0</v>
      </c>
      <c r="DT17" s="15">
        <v>0</v>
      </c>
      <c r="DU17" s="15">
        <v>0</v>
      </c>
      <c r="DV17" s="15">
        <v>0</v>
      </c>
      <c r="DW17" s="15">
        <v>0</v>
      </c>
      <c r="DX17" s="17">
        <v>0</v>
      </c>
      <c r="DY17" s="15">
        <v>0</v>
      </c>
      <c r="DZ17" s="15">
        <v>0</v>
      </c>
      <c r="EA17" s="15">
        <v>0</v>
      </c>
      <c r="EB17" s="63">
        <v>0</v>
      </c>
      <c r="EC17" s="17">
        <v>0</v>
      </c>
      <c r="ED17" s="42"/>
      <c r="EE17" s="15"/>
    </row>
    <row r="18" spans="1:135" ht="12.75">
      <c r="A18" s="40">
        <v>43849</v>
      </c>
      <c r="B18" s="15">
        <v>0</v>
      </c>
      <c r="C18" s="15">
        <v>0</v>
      </c>
      <c r="D18" s="15">
        <v>0</v>
      </c>
      <c r="E18" s="15">
        <f t="shared" ref="E18:G18" si="13">B18-C18-D18</f>
        <v>0</v>
      </c>
      <c r="F18" s="15">
        <f t="shared" si="13"/>
        <v>0</v>
      </c>
      <c r="G18" s="15">
        <f t="shared" si="13"/>
        <v>0</v>
      </c>
      <c r="H18" s="15">
        <f t="shared" si="1"/>
        <v>0</v>
      </c>
      <c r="I18" s="15">
        <v>0</v>
      </c>
      <c r="J18" s="15">
        <v>0</v>
      </c>
      <c r="K18" s="17">
        <v>0</v>
      </c>
      <c r="L18" s="15">
        <v>0</v>
      </c>
      <c r="M18" s="15">
        <v>0</v>
      </c>
      <c r="N18" s="17">
        <v>0</v>
      </c>
      <c r="O18" s="15">
        <v>0</v>
      </c>
      <c r="P18" s="15">
        <v>0</v>
      </c>
      <c r="Q18" s="15">
        <v>0</v>
      </c>
      <c r="R18" s="15">
        <v>0</v>
      </c>
      <c r="S18" s="15">
        <v>0</v>
      </c>
      <c r="T18" s="17">
        <v>0</v>
      </c>
      <c r="U18" s="15">
        <v>0</v>
      </c>
      <c r="V18" s="15">
        <v>0</v>
      </c>
      <c r="W18" s="15">
        <v>0</v>
      </c>
      <c r="X18" s="15">
        <v>0</v>
      </c>
      <c r="Y18" s="17">
        <v>0</v>
      </c>
      <c r="Z18" s="15">
        <v>0</v>
      </c>
      <c r="AA18" s="15">
        <v>0</v>
      </c>
      <c r="AB18" s="15">
        <v>0</v>
      </c>
      <c r="AC18" s="15">
        <v>0</v>
      </c>
      <c r="AD18" s="17">
        <v>0</v>
      </c>
      <c r="AE18" s="15">
        <v>0</v>
      </c>
      <c r="AF18" s="15">
        <v>0</v>
      </c>
      <c r="AG18" s="15">
        <v>0</v>
      </c>
      <c r="AH18" s="15">
        <v>0</v>
      </c>
      <c r="AI18" s="15">
        <v>0</v>
      </c>
      <c r="AJ18" s="17">
        <v>0</v>
      </c>
      <c r="AK18" s="15">
        <v>0</v>
      </c>
      <c r="AL18" s="15">
        <v>0</v>
      </c>
      <c r="AM18" s="15">
        <v>0</v>
      </c>
      <c r="AN18" s="15">
        <v>0</v>
      </c>
      <c r="AO18" s="17">
        <v>0</v>
      </c>
      <c r="AP18" s="15">
        <v>0</v>
      </c>
      <c r="AQ18" s="15">
        <v>0</v>
      </c>
      <c r="AR18" s="15">
        <v>0</v>
      </c>
      <c r="AS18" s="15">
        <v>0</v>
      </c>
      <c r="AT18" s="15"/>
      <c r="AU18" s="17">
        <v>0</v>
      </c>
      <c r="AV18" s="15">
        <v>0</v>
      </c>
      <c r="AW18" s="15">
        <v>0</v>
      </c>
      <c r="AX18" s="15">
        <v>0</v>
      </c>
      <c r="AY18" s="17">
        <v>0</v>
      </c>
      <c r="AZ18" s="15">
        <v>0</v>
      </c>
      <c r="BA18" s="15">
        <v>0</v>
      </c>
      <c r="BB18" s="15">
        <v>0</v>
      </c>
      <c r="BC18" s="17">
        <v>0</v>
      </c>
      <c r="BD18" s="15">
        <v>0</v>
      </c>
      <c r="BE18" s="15">
        <v>0</v>
      </c>
      <c r="BF18" s="15">
        <v>0</v>
      </c>
      <c r="BG18" s="15">
        <v>0</v>
      </c>
      <c r="BH18" s="17">
        <v>0</v>
      </c>
      <c r="BI18" s="15">
        <v>0</v>
      </c>
      <c r="BJ18" s="15">
        <v>0</v>
      </c>
      <c r="BK18" s="15">
        <v>0</v>
      </c>
      <c r="BL18" s="15">
        <v>0</v>
      </c>
      <c r="BM18" s="17">
        <v>0</v>
      </c>
      <c r="BN18" s="15">
        <v>0</v>
      </c>
      <c r="BO18" s="15">
        <v>0</v>
      </c>
      <c r="BP18" s="15">
        <v>0</v>
      </c>
      <c r="BQ18" s="15">
        <v>0</v>
      </c>
      <c r="BR18" s="15">
        <v>0</v>
      </c>
      <c r="BS18" s="17">
        <v>0</v>
      </c>
      <c r="BT18" s="15">
        <v>0</v>
      </c>
      <c r="BU18" s="15">
        <v>0</v>
      </c>
      <c r="BV18" s="15">
        <v>0</v>
      </c>
      <c r="BW18" s="15">
        <v>0</v>
      </c>
      <c r="BX18" s="17">
        <v>0</v>
      </c>
      <c r="BY18" s="15">
        <v>0</v>
      </c>
      <c r="BZ18" s="15">
        <v>0</v>
      </c>
      <c r="CA18" s="15">
        <v>0</v>
      </c>
      <c r="CB18" s="17">
        <v>0</v>
      </c>
      <c r="CC18" s="15">
        <v>0</v>
      </c>
      <c r="CD18" s="15">
        <v>0</v>
      </c>
      <c r="CE18" s="15">
        <v>0</v>
      </c>
      <c r="CF18" s="15">
        <v>0</v>
      </c>
      <c r="CG18" s="17">
        <v>0</v>
      </c>
      <c r="CH18" s="15">
        <v>0</v>
      </c>
      <c r="CI18" s="15">
        <v>0</v>
      </c>
      <c r="CJ18" s="15">
        <v>0</v>
      </c>
      <c r="CK18" s="15">
        <v>0</v>
      </c>
      <c r="CL18" s="17">
        <v>0</v>
      </c>
      <c r="CM18" s="15">
        <v>0</v>
      </c>
      <c r="CN18" s="15">
        <v>0</v>
      </c>
      <c r="CO18" s="17">
        <v>0</v>
      </c>
      <c r="CP18" s="15">
        <v>0</v>
      </c>
      <c r="CQ18" s="15">
        <v>0</v>
      </c>
      <c r="CR18" s="15">
        <v>0</v>
      </c>
      <c r="CS18" s="17">
        <v>0</v>
      </c>
      <c r="CT18" s="15">
        <v>0</v>
      </c>
      <c r="CU18" s="15">
        <v>0</v>
      </c>
      <c r="CV18" s="15">
        <v>0</v>
      </c>
      <c r="CW18" s="15">
        <v>0</v>
      </c>
      <c r="CX18" s="15">
        <v>0</v>
      </c>
      <c r="CY18" s="17">
        <v>0</v>
      </c>
      <c r="CZ18" s="15">
        <v>0</v>
      </c>
      <c r="DA18" s="15">
        <v>0</v>
      </c>
      <c r="DB18" s="15">
        <v>0</v>
      </c>
      <c r="DC18" s="15">
        <v>0</v>
      </c>
      <c r="DD18" s="17">
        <v>0</v>
      </c>
      <c r="DE18" s="15">
        <v>0</v>
      </c>
      <c r="DF18" s="15">
        <v>0</v>
      </c>
      <c r="DG18" s="15">
        <v>0</v>
      </c>
      <c r="DH18" s="17">
        <v>0</v>
      </c>
      <c r="DI18" s="15">
        <v>0</v>
      </c>
      <c r="DJ18" s="15">
        <v>0</v>
      </c>
      <c r="DK18" s="15">
        <v>0</v>
      </c>
      <c r="DL18" s="15">
        <v>0</v>
      </c>
      <c r="DM18" s="15">
        <v>0</v>
      </c>
      <c r="DN18" s="17">
        <v>0</v>
      </c>
      <c r="DO18" s="15">
        <v>0</v>
      </c>
      <c r="DP18" s="15">
        <v>0</v>
      </c>
      <c r="DQ18" s="15">
        <v>0</v>
      </c>
      <c r="DR18" s="15">
        <v>0</v>
      </c>
      <c r="DS18" s="17">
        <v>0</v>
      </c>
      <c r="DT18" s="15">
        <v>0</v>
      </c>
      <c r="DU18" s="15">
        <v>0</v>
      </c>
      <c r="DV18" s="15">
        <v>0</v>
      </c>
      <c r="DW18" s="15">
        <v>0</v>
      </c>
      <c r="DX18" s="17">
        <v>0</v>
      </c>
      <c r="DY18" s="15">
        <v>0</v>
      </c>
      <c r="DZ18" s="15">
        <v>0</v>
      </c>
      <c r="EA18" s="15">
        <v>0</v>
      </c>
      <c r="EB18" s="41">
        <v>0</v>
      </c>
      <c r="EC18" s="17">
        <v>0</v>
      </c>
      <c r="ED18" s="42"/>
      <c r="EE18" s="15"/>
    </row>
    <row r="19" spans="1:135" ht="12.75">
      <c r="A19" s="40">
        <v>43850</v>
      </c>
      <c r="B19" s="15">
        <v>0</v>
      </c>
      <c r="C19" s="15">
        <v>0</v>
      </c>
      <c r="D19" s="15">
        <v>0</v>
      </c>
      <c r="E19" s="15">
        <f t="shared" ref="E19:G19" si="14">B19-C19-D19</f>
        <v>0</v>
      </c>
      <c r="F19" s="15">
        <f t="shared" si="14"/>
        <v>0</v>
      </c>
      <c r="G19" s="15">
        <f t="shared" si="14"/>
        <v>0</v>
      </c>
      <c r="H19" s="15">
        <f t="shared" si="1"/>
        <v>0</v>
      </c>
      <c r="I19" s="15">
        <v>0</v>
      </c>
      <c r="J19" s="15">
        <v>0</v>
      </c>
      <c r="K19" s="17">
        <v>0</v>
      </c>
      <c r="L19" s="15">
        <v>0</v>
      </c>
      <c r="M19" s="15">
        <v>0</v>
      </c>
      <c r="N19" s="17">
        <v>0</v>
      </c>
      <c r="O19" s="15">
        <v>0</v>
      </c>
      <c r="P19" s="15">
        <v>0</v>
      </c>
      <c r="Q19" s="15">
        <v>0</v>
      </c>
      <c r="R19" s="15">
        <v>0</v>
      </c>
      <c r="S19" s="15">
        <v>0</v>
      </c>
      <c r="T19" s="17">
        <v>0</v>
      </c>
      <c r="U19" s="15">
        <v>0</v>
      </c>
      <c r="V19" s="15">
        <v>0</v>
      </c>
      <c r="W19" s="15">
        <v>0</v>
      </c>
      <c r="X19" s="15">
        <v>0</v>
      </c>
      <c r="Y19" s="17">
        <v>0</v>
      </c>
      <c r="Z19" s="15">
        <v>0</v>
      </c>
      <c r="AA19" s="15">
        <v>0</v>
      </c>
      <c r="AB19" s="15">
        <v>0</v>
      </c>
      <c r="AC19" s="15">
        <v>0</v>
      </c>
      <c r="AD19" s="17">
        <v>0</v>
      </c>
      <c r="AE19" s="15">
        <v>0</v>
      </c>
      <c r="AF19" s="15">
        <v>0</v>
      </c>
      <c r="AG19" s="15">
        <v>0</v>
      </c>
      <c r="AH19" s="15">
        <v>0</v>
      </c>
      <c r="AI19" s="15">
        <v>0</v>
      </c>
      <c r="AJ19" s="17">
        <v>0</v>
      </c>
      <c r="AK19" s="15">
        <v>0</v>
      </c>
      <c r="AL19" s="15">
        <v>0</v>
      </c>
      <c r="AM19" s="15">
        <v>0</v>
      </c>
      <c r="AN19" s="15">
        <v>0</v>
      </c>
      <c r="AO19" s="17">
        <v>0</v>
      </c>
      <c r="AP19" s="15">
        <v>0</v>
      </c>
      <c r="AQ19" s="15">
        <v>0</v>
      </c>
      <c r="AR19" s="15">
        <v>0</v>
      </c>
      <c r="AS19" s="15">
        <v>0</v>
      </c>
      <c r="AT19" s="15"/>
      <c r="AU19" s="17">
        <v>0</v>
      </c>
      <c r="AV19" s="15">
        <v>0</v>
      </c>
      <c r="AW19" s="15">
        <v>0</v>
      </c>
      <c r="AX19" s="15">
        <v>0</v>
      </c>
      <c r="AY19" s="17">
        <v>0</v>
      </c>
      <c r="AZ19" s="15">
        <v>0</v>
      </c>
      <c r="BA19" s="15">
        <v>0</v>
      </c>
      <c r="BB19" s="15">
        <v>0</v>
      </c>
      <c r="BC19" s="17">
        <v>0</v>
      </c>
      <c r="BD19" s="15">
        <v>0</v>
      </c>
      <c r="BE19" s="15">
        <v>0</v>
      </c>
      <c r="BF19" s="15">
        <v>0</v>
      </c>
      <c r="BG19" s="15">
        <v>0</v>
      </c>
      <c r="BH19" s="17">
        <v>0</v>
      </c>
      <c r="BI19" s="15">
        <v>0</v>
      </c>
      <c r="BJ19" s="15">
        <v>0</v>
      </c>
      <c r="BK19" s="15">
        <v>0</v>
      </c>
      <c r="BL19" s="15">
        <v>0</v>
      </c>
      <c r="BM19" s="17">
        <v>0</v>
      </c>
      <c r="BN19" s="15">
        <v>0</v>
      </c>
      <c r="BO19" s="15">
        <v>0</v>
      </c>
      <c r="BP19" s="15">
        <v>0</v>
      </c>
      <c r="BQ19" s="15">
        <v>0</v>
      </c>
      <c r="BR19" s="15">
        <v>0</v>
      </c>
      <c r="BS19" s="17">
        <v>0</v>
      </c>
      <c r="BT19" s="15">
        <v>0</v>
      </c>
      <c r="BU19" s="15">
        <v>0</v>
      </c>
      <c r="BV19" s="15">
        <v>0</v>
      </c>
      <c r="BW19" s="15">
        <v>0</v>
      </c>
      <c r="BX19" s="17">
        <v>0</v>
      </c>
      <c r="BY19" s="15">
        <v>0</v>
      </c>
      <c r="BZ19" s="15">
        <v>0</v>
      </c>
      <c r="CA19" s="15">
        <v>0</v>
      </c>
      <c r="CB19" s="17">
        <v>0</v>
      </c>
      <c r="CC19" s="15">
        <v>0</v>
      </c>
      <c r="CD19" s="15">
        <v>0</v>
      </c>
      <c r="CE19" s="15">
        <v>0</v>
      </c>
      <c r="CF19" s="15">
        <v>0</v>
      </c>
      <c r="CG19" s="17">
        <v>0</v>
      </c>
      <c r="CH19" s="15">
        <v>0</v>
      </c>
      <c r="CI19" s="15">
        <v>0</v>
      </c>
      <c r="CJ19" s="15">
        <v>0</v>
      </c>
      <c r="CK19" s="15">
        <v>0</v>
      </c>
      <c r="CL19" s="17">
        <v>0</v>
      </c>
      <c r="CM19" s="15">
        <v>0</v>
      </c>
      <c r="CN19" s="15">
        <v>0</v>
      </c>
      <c r="CO19" s="17">
        <v>0</v>
      </c>
      <c r="CP19" s="15">
        <v>0</v>
      </c>
      <c r="CQ19" s="15">
        <v>0</v>
      </c>
      <c r="CR19" s="15">
        <v>0</v>
      </c>
      <c r="CS19" s="17">
        <v>0</v>
      </c>
      <c r="CT19" s="15">
        <v>0</v>
      </c>
      <c r="CU19" s="15">
        <v>0</v>
      </c>
      <c r="CV19" s="15">
        <v>0</v>
      </c>
      <c r="CW19" s="15">
        <v>0</v>
      </c>
      <c r="CX19" s="15">
        <v>0</v>
      </c>
      <c r="CY19" s="17">
        <v>0</v>
      </c>
      <c r="CZ19" s="15">
        <v>0</v>
      </c>
      <c r="DA19" s="15">
        <v>0</v>
      </c>
      <c r="DB19" s="15">
        <v>0</v>
      </c>
      <c r="DC19" s="15">
        <v>0</v>
      </c>
      <c r="DD19" s="17">
        <v>0</v>
      </c>
      <c r="DE19" s="15">
        <v>0</v>
      </c>
      <c r="DF19" s="15">
        <v>0</v>
      </c>
      <c r="DG19" s="15">
        <v>0</v>
      </c>
      <c r="DH19" s="17">
        <v>0</v>
      </c>
      <c r="DI19" s="15">
        <v>0</v>
      </c>
      <c r="DJ19" s="15">
        <v>0</v>
      </c>
      <c r="DK19" s="15">
        <v>0</v>
      </c>
      <c r="DL19" s="15">
        <v>0</v>
      </c>
      <c r="DM19" s="15">
        <v>0</v>
      </c>
      <c r="DN19" s="17">
        <v>0</v>
      </c>
      <c r="DO19" s="15">
        <v>0</v>
      </c>
      <c r="DP19" s="15">
        <v>0</v>
      </c>
      <c r="DQ19" s="15">
        <v>0</v>
      </c>
      <c r="DR19" s="15">
        <v>0</v>
      </c>
      <c r="DS19" s="17">
        <v>0</v>
      </c>
      <c r="DT19" s="15">
        <v>0</v>
      </c>
      <c r="DU19" s="15">
        <v>0</v>
      </c>
      <c r="DV19" s="15">
        <v>0</v>
      </c>
      <c r="DW19" s="15">
        <v>0</v>
      </c>
      <c r="DX19" s="17">
        <v>0</v>
      </c>
      <c r="DY19" s="15">
        <v>0</v>
      </c>
      <c r="DZ19" s="15">
        <v>0</v>
      </c>
      <c r="EA19" s="15">
        <v>0</v>
      </c>
      <c r="EB19" s="63">
        <v>0</v>
      </c>
      <c r="EC19" s="17">
        <v>0</v>
      </c>
      <c r="ED19" s="42"/>
      <c r="EE19" s="15"/>
    </row>
    <row r="20" spans="1:135" ht="12.75">
      <c r="A20" s="40">
        <v>43851</v>
      </c>
      <c r="B20" s="15">
        <v>0</v>
      </c>
      <c r="C20" s="15">
        <v>0</v>
      </c>
      <c r="D20" s="15">
        <v>0</v>
      </c>
      <c r="E20" s="15">
        <f t="shared" ref="E20:G20" si="15">B20-C20-D20</f>
        <v>0</v>
      </c>
      <c r="F20" s="15">
        <f t="shared" si="15"/>
        <v>0</v>
      </c>
      <c r="G20" s="15">
        <f t="shared" si="15"/>
        <v>0</v>
      </c>
      <c r="H20" s="15">
        <f t="shared" si="1"/>
        <v>0</v>
      </c>
      <c r="I20" s="15">
        <v>0</v>
      </c>
      <c r="J20" s="15">
        <v>0</v>
      </c>
      <c r="K20" s="17">
        <v>0</v>
      </c>
      <c r="L20" s="15">
        <v>0</v>
      </c>
      <c r="M20" s="15">
        <v>0</v>
      </c>
      <c r="N20" s="17">
        <v>0</v>
      </c>
      <c r="O20" s="15">
        <v>0</v>
      </c>
      <c r="P20" s="15">
        <v>0</v>
      </c>
      <c r="Q20" s="15">
        <v>0</v>
      </c>
      <c r="R20" s="15">
        <v>0</v>
      </c>
      <c r="S20" s="15">
        <v>0</v>
      </c>
      <c r="T20" s="17">
        <v>0</v>
      </c>
      <c r="U20" s="15">
        <v>0</v>
      </c>
      <c r="V20" s="15">
        <v>0</v>
      </c>
      <c r="W20" s="15">
        <v>0</v>
      </c>
      <c r="X20" s="15">
        <v>0</v>
      </c>
      <c r="Y20" s="17">
        <v>0</v>
      </c>
      <c r="Z20" s="15">
        <v>0</v>
      </c>
      <c r="AA20" s="15">
        <v>0</v>
      </c>
      <c r="AB20" s="15">
        <v>0</v>
      </c>
      <c r="AC20" s="15">
        <v>0</v>
      </c>
      <c r="AD20" s="17">
        <v>0</v>
      </c>
      <c r="AE20" s="15">
        <v>0</v>
      </c>
      <c r="AF20" s="15">
        <v>0</v>
      </c>
      <c r="AG20" s="15">
        <v>0</v>
      </c>
      <c r="AH20" s="15">
        <v>0</v>
      </c>
      <c r="AI20" s="15">
        <v>0</v>
      </c>
      <c r="AJ20" s="17">
        <v>0</v>
      </c>
      <c r="AK20" s="15">
        <v>0</v>
      </c>
      <c r="AL20" s="15">
        <v>0</v>
      </c>
      <c r="AM20" s="15">
        <v>0</v>
      </c>
      <c r="AN20" s="15">
        <v>0</v>
      </c>
      <c r="AO20" s="17">
        <v>0</v>
      </c>
      <c r="AP20" s="15">
        <v>0</v>
      </c>
      <c r="AQ20" s="15">
        <v>0</v>
      </c>
      <c r="AR20" s="15">
        <v>0</v>
      </c>
      <c r="AS20" s="15">
        <v>0</v>
      </c>
      <c r="AT20" s="15"/>
      <c r="AU20" s="17">
        <v>0</v>
      </c>
      <c r="AV20" s="15">
        <v>0</v>
      </c>
      <c r="AW20" s="15">
        <v>0</v>
      </c>
      <c r="AX20" s="15">
        <v>0</v>
      </c>
      <c r="AY20" s="17">
        <v>0</v>
      </c>
      <c r="AZ20" s="15">
        <v>0</v>
      </c>
      <c r="BA20" s="15">
        <v>0</v>
      </c>
      <c r="BB20" s="15">
        <v>0</v>
      </c>
      <c r="BC20" s="17">
        <v>0</v>
      </c>
      <c r="BD20" s="15">
        <v>0</v>
      </c>
      <c r="BE20" s="15">
        <v>0</v>
      </c>
      <c r="BF20" s="15">
        <v>0</v>
      </c>
      <c r="BG20" s="15">
        <v>0</v>
      </c>
      <c r="BH20" s="17">
        <v>0</v>
      </c>
      <c r="BI20" s="15">
        <v>0</v>
      </c>
      <c r="BJ20" s="15">
        <v>0</v>
      </c>
      <c r="BK20" s="15">
        <v>0</v>
      </c>
      <c r="BL20" s="15">
        <v>0</v>
      </c>
      <c r="BM20" s="17">
        <v>0</v>
      </c>
      <c r="BN20" s="15">
        <v>0</v>
      </c>
      <c r="BO20" s="15">
        <v>0</v>
      </c>
      <c r="BP20" s="15">
        <v>0</v>
      </c>
      <c r="BQ20" s="15">
        <v>0</v>
      </c>
      <c r="BR20" s="15">
        <v>0</v>
      </c>
      <c r="BS20" s="17">
        <v>0</v>
      </c>
      <c r="BT20" s="15">
        <v>0</v>
      </c>
      <c r="BU20" s="15">
        <v>0</v>
      </c>
      <c r="BV20" s="15">
        <v>0</v>
      </c>
      <c r="BW20" s="15">
        <v>0</v>
      </c>
      <c r="BX20" s="17">
        <v>0</v>
      </c>
      <c r="BY20" s="15">
        <v>0</v>
      </c>
      <c r="BZ20" s="15">
        <v>0</v>
      </c>
      <c r="CA20" s="15">
        <v>0</v>
      </c>
      <c r="CB20" s="17">
        <v>0</v>
      </c>
      <c r="CC20" s="15">
        <v>0</v>
      </c>
      <c r="CD20" s="15">
        <v>0</v>
      </c>
      <c r="CE20" s="15">
        <v>0</v>
      </c>
      <c r="CF20" s="15">
        <v>0</v>
      </c>
      <c r="CG20" s="17">
        <v>0</v>
      </c>
      <c r="CH20" s="15">
        <v>0</v>
      </c>
      <c r="CI20" s="15">
        <v>0</v>
      </c>
      <c r="CJ20" s="15">
        <v>0</v>
      </c>
      <c r="CK20" s="15">
        <v>0</v>
      </c>
      <c r="CL20" s="17">
        <v>0</v>
      </c>
      <c r="CM20" s="15">
        <v>0</v>
      </c>
      <c r="CN20" s="15">
        <v>0</v>
      </c>
      <c r="CO20" s="17">
        <v>0</v>
      </c>
      <c r="CP20" s="15">
        <v>0</v>
      </c>
      <c r="CQ20" s="15">
        <v>0</v>
      </c>
      <c r="CR20" s="15">
        <v>0</v>
      </c>
      <c r="CS20" s="17">
        <v>0</v>
      </c>
      <c r="CT20" s="15">
        <v>0</v>
      </c>
      <c r="CU20" s="15">
        <v>0</v>
      </c>
      <c r="CV20" s="15">
        <v>0</v>
      </c>
      <c r="CW20" s="15">
        <v>0</v>
      </c>
      <c r="CX20" s="15">
        <v>0</v>
      </c>
      <c r="CY20" s="17">
        <v>0</v>
      </c>
      <c r="CZ20" s="15">
        <v>0</v>
      </c>
      <c r="DA20" s="15">
        <v>0</v>
      </c>
      <c r="DB20" s="15">
        <v>0</v>
      </c>
      <c r="DC20" s="15">
        <v>0</v>
      </c>
      <c r="DD20" s="17">
        <v>0</v>
      </c>
      <c r="DE20" s="15">
        <v>0</v>
      </c>
      <c r="DF20" s="15">
        <v>0</v>
      </c>
      <c r="DG20" s="15">
        <v>0</v>
      </c>
      <c r="DH20" s="17">
        <v>0</v>
      </c>
      <c r="DI20" s="15">
        <v>0</v>
      </c>
      <c r="DJ20" s="15">
        <v>0</v>
      </c>
      <c r="DK20" s="15">
        <v>0</v>
      </c>
      <c r="DL20" s="15">
        <v>0</v>
      </c>
      <c r="DM20" s="15">
        <v>0</v>
      </c>
      <c r="DN20" s="17">
        <v>0</v>
      </c>
      <c r="DO20" s="15">
        <v>0</v>
      </c>
      <c r="DP20" s="15">
        <v>0</v>
      </c>
      <c r="DQ20" s="15">
        <v>0</v>
      </c>
      <c r="DR20" s="15">
        <v>0</v>
      </c>
      <c r="DS20" s="17">
        <v>0</v>
      </c>
      <c r="DT20" s="15">
        <v>0</v>
      </c>
      <c r="DU20" s="15">
        <v>0</v>
      </c>
      <c r="DV20" s="15">
        <v>0</v>
      </c>
      <c r="DW20" s="15">
        <v>0</v>
      </c>
      <c r="DX20" s="17">
        <v>0</v>
      </c>
      <c r="DY20" s="15">
        <v>0</v>
      </c>
      <c r="DZ20" s="15">
        <v>0</v>
      </c>
      <c r="EA20" s="15">
        <v>0</v>
      </c>
      <c r="EB20" s="41">
        <v>0</v>
      </c>
      <c r="EC20" s="17">
        <v>0</v>
      </c>
      <c r="ED20" s="42"/>
      <c r="EE20" s="15"/>
    </row>
    <row r="21" spans="1:135" ht="12.75">
      <c r="A21" s="40">
        <v>43852</v>
      </c>
      <c r="B21" s="15">
        <v>0</v>
      </c>
      <c r="C21" s="15">
        <v>0</v>
      </c>
      <c r="D21" s="15">
        <v>0</v>
      </c>
      <c r="E21" s="15">
        <f t="shared" ref="E21:G21" si="16">B21-C21-D21</f>
        <v>0</v>
      </c>
      <c r="F21" s="15">
        <f t="shared" si="16"/>
        <v>0</v>
      </c>
      <c r="G21" s="15">
        <f t="shared" si="16"/>
        <v>0</v>
      </c>
      <c r="H21" s="15">
        <f t="shared" si="1"/>
        <v>0</v>
      </c>
      <c r="I21" s="15">
        <v>0</v>
      </c>
      <c r="J21" s="15">
        <v>0</v>
      </c>
      <c r="K21" s="17">
        <v>0</v>
      </c>
      <c r="L21" s="15">
        <v>0</v>
      </c>
      <c r="M21" s="15">
        <v>0</v>
      </c>
      <c r="N21" s="17">
        <v>0</v>
      </c>
      <c r="O21" s="15">
        <v>0</v>
      </c>
      <c r="P21" s="15">
        <v>0</v>
      </c>
      <c r="Q21" s="15">
        <v>0</v>
      </c>
      <c r="R21" s="15">
        <v>0</v>
      </c>
      <c r="S21" s="15">
        <v>0</v>
      </c>
      <c r="T21" s="17">
        <v>0</v>
      </c>
      <c r="U21" s="15">
        <v>0</v>
      </c>
      <c r="V21" s="15">
        <v>0</v>
      </c>
      <c r="W21" s="15">
        <v>0</v>
      </c>
      <c r="X21" s="15">
        <v>0</v>
      </c>
      <c r="Y21" s="17">
        <v>0</v>
      </c>
      <c r="Z21" s="15">
        <v>0</v>
      </c>
      <c r="AA21" s="15">
        <v>0</v>
      </c>
      <c r="AB21" s="15">
        <v>0</v>
      </c>
      <c r="AC21" s="15">
        <v>0</v>
      </c>
      <c r="AD21" s="17">
        <v>0</v>
      </c>
      <c r="AE21" s="15">
        <v>0</v>
      </c>
      <c r="AF21" s="15">
        <v>0</v>
      </c>
      <c r="AG21" s="15">
        <v>0</v>
      </c>
      <c r="AH21" s="15">
        <v>0</v>
      </c>
      <c r="AI21" s="15">
        <v>0</v>
      </c>
      <c r="AJ21" s="17">
        <v>0</v>
      </c>
      <c r="AK21" s="15">
        <v>0</v>
      </c>
      <c r="AL21" s="15">
        <v>0</v>
      </c>
      <c r="AM21" s="15">
        <v>0</v>
      </c>
      <c r="AN21" s="15">
        <v>0</v>
      </c>
      <c r="AO21" s="17">
        <v>0</v>
      </c>
      <c r="AP21" s="15">
        <v>0</v>
      </c>
      <c r="AQ21" s="15">
        <v>0</v>
      </c>
      <c r="AR21" s="15">
        <v>0</v>
      </c>
      <c r="AS21" s="15">
        <v>0</v>
      </c>
      <c r="AT21" s="15"/>
      <c r="AU21" s="17">
        <v>0</v>
      </c>
      <c r="AV21" s="15">
        <v>0</v>
      </c>
      <c r="AW21" s="15">
        <v>0</v>
      </c>
      <c r="AX21" s="15">
        <v>0</v>
      </c>
      <c r="AY21" s="17">
        <v>0</v>
      </c>
      <c r="AZ21" s="15">
        <v>0</v>
      </c>
      <c r="BA21" s="15">
        <v>0</v>
      </c>
      <c r="BB21" s="15">
        <v>0</v>
      </c>
      <c r="BC21" s="17">
        <v>0</v>
      </c>
      <c r="BD21" s="15">
        <v>0</v>
      </c>
      <c r="BE21" s="15">
        <v>0</v>
      </c>
      <c r="BF21" s="15">
        <v>0</v>
      </c>
      <c r="BG21" s="15">
        <v>0</v>
      </c>
      <c r="BH21" s="17">
        <v>0</v>
      </c>
      <c r="BI21" s="15">
        <v>0</v>
      </c>
      <c r="BJ21" s="15">
        <v>0</v>
      </c>
      <c r="BK21" s="15">
        <v>0</v>
      </c>
      <c r="BL21" s="15">
        <v>0</v>
      </c>
      <c r="BM21" s="17">
        <v>0</v>
      </c>
      <c r="BN21" s="15">
        <v>0</v>
      </c>
      <c r="BO21" s="15">
        <v>0</v>
      </c>
      <c r="BP21" s="15">
        <v>0</v>
      </c>
      <c r="BQ21" s="15">
        <v>0</v>
      </c>
      <c r="BR21" s="15">
        <v>0</v>
      </c>
      <c r="BS21" s="17">
        <v>0</v>
      </c>
      <c r="BT21" s="15">
        <v>0</v>
      </c>
      <c r="BU21" s="15">
        <v>0</v>
      </c>
      <c r="BV21" s="15">
        <v>0</v>
      </c>
      <c r="BW21" s="15">
        <v>0</v>
      </c>
      <c r="BX21" s="17">
        <v>0</v>
      </c>
      <c r="BY21" s="15">
        <v>0</v>
      </c>
      <c r="BZ21" s="15">
        <v>0</v>
      </c>
      <c r="CA21" s="15">
        <v>0</v>
      </c>
      <c r="CB21" s="17">
        <v>0</v>
      </c>
      <c r="CC21" s="15">
        <v>0</v>
      </c>
      <c r="CD21" s="15">
        <v>0</v>
      </c>
      <c r="CE21" s="15">
        <v>0</v>
      </c>
      <c r="CF21" s="15">
        <v>0</v>
      </c>
      <c r="CG21" s="17">
        <v>0</v>
      </c>
      <c r="CH21" s="15">
        <v>0</v>
      </c>
      <c r="CI21" s="15">
        <v>0</v>
      </c>
      <c r="CJ21" s="15">
        <v>0</v>
      </c>
      <c r="CK21" s="15">
        <v>0</v>
      </c>
      <c r="CL21" s="17">
        <v>0</v>
      </c>
      <c r="CM21" s="15">
        <v>0</v>
      </c>
      <c r="CN21" s="15">
        <v>0</v>
      </c>
      <c r="CO21" s="17">
        <v>0</v>
      </c>
      <c r="CP21" s="15">
        <v>0</v>
      </c>
      <c r="CQ21" s="15">
        <v>0</v>
      </c>
      <c r="CR21" s="15">
        <v>0</v>
      </c>
      <c r="CS21" s="17">
        <v>0</v>
      </c>
      <c r="CT21" s="15">
        <v>0</v>
      </c>
      <c r="CU21" s="15">
        <v>0</v>
      </c>
      <c r="CV21" s="15">
        <v>0</v>
      </c>
      <c r="CW21" s="15">
        <v>0</v>
      </c>
      <c r="CX21" s="15">
        <v>0</v>
      </c>
      <c r="CY21" s="17">
        <v>0</v>
      </c>
      <c r="CZ21" s="15">
        <v>0</v>
      </c>
      <c r="DA21" s="15">
        <v>0</v>
      </c>
      <c r="DB21" s="15">
        <v>0</v>
      </c>
      <c r="DC21" s="15">
        <v>0</v>
      </c>
      <c r="DD21" s="17">
        <v>0</v>
      </c>
      <c r="DE21" s="15">
        <v>0</v>
      </c>
      <c r="DF21" s="15">
        <v>0</v>
      </c>
      <c r="DG21" s="15">
        <v>0</v>
      </c>
      <c r="DH21" s="17">
        <v>0</v>
      </c>
      <c r="DI21" s="15">
        <v>0</v>
      </c>
      <c r="DJ21" s="15">
        <v>0</v>
      </c>
      <c r="DK21" s="15">
        <v>0</v>
      </c>
      <c r="DL21" s="15">
        <v>0</v>
      </c>
      <c r="DM21" s="15">
        <v>0</v>
      </c>
      <c r="DN21" s="17">
        <v>0</v>
      </c>
      <c r="DO21" s="15">
        <v>0</v>
      </c>
      <c r="DP21" s="15">
        <v>0</v>
      </c>
      <c r="DQ21" s="15">
        <v>0</v>
      </c>
      <c r="DR21" s="15">
        <v>0</v>
      </c>
      <c r="DS21" s="17">
        <v>0</v>
      </c>
      <c r="DT21" s="15">
        <v>0</v>
      </c>
      <c r="DU21" s="15">
        <v>0</v>
      </c>
      <c r="DV21" s="15">
        <v>0</v>
      </c>
      <c r="DW21" s="15">
        <v>0</v>
      </c>
      <c r="DX21" s="17">
        <v>0</v>
      </c>
      <c r="DY21" s="15">
        <v>0</v>
      </c>
      <c r="DZ21" s="15">
        <v>0</v>
      </c>
      <c r="EA21" s="15">
        <v>0</v>
      </c>
      <c r="EB21" s="63">
        <v>0</v>
      </c>
      <c r="EC21" s="17">
        <v>0</v>
      </c>
      <c r="ED21" s="42"/>
      <c r="EE21" s="15"/>
    </row>
    <row r="22" spans="1:135" ht="12.75">
      <c r="A22" s="40">
        <v>43853</v>
      </c>
      <c r="B22" s="15">
        <v>0</v>
      </c>
      <c r="C22" s="15">
        <v>0</v>
      </c>
      <c r="D22" s="15">
        <v>0</v>
      </c>
      <c r="E22" s="15">
        <f t="shared" ref="E22:G22" si="17">B22-C22-D22</f>
        <v>0</v>
      </c>
      <c r="F22" s="15">
        <f t="shared" si="17"/>
        <v>0</v>
      </c>
      <c r="G22" s="15">
        <f t="shared" si="17"/>
        <v>0</v>
      </c>
      <c r="H22" s="15">
        <f t="shared" si="1"/>
        <v>0</v>
      </c>
      <c r="I22" s="15">
        <v>0</v>
      </c>
      <c r="J22" s="15">
        <v>0</v>
      </c>
      <c r="K22" s="17">
        <v>0</v>
      </c>
      <c r="L22" s="15">
        <v>0</v>
      </c>
      <c r="M22" s="15">
        <v>0</v>
      </c>
      <c r="N22" s="17">
        <v>0</v>
      </c>
      <c r="O22" s="15">
        <v>0</v>
      </c>
      <c r="P22" s="15">
        <v>0</v>
      </c>
      <c r="Q22" s="15">
        <v>0</v>
      </c>
      <c r="R22" s="15">
        <v>0</v>
      </c>
      <c r="S22" s="15">
        <v>0</v>
      </c>
      <c r="T22" s="17">
        <v>0</v>
      </c>
      <c r="U22" s="15">
        <v>0</v>
      </c>
      <c r="V22" s="15">
        <v>0</v>
      </c>
      <c r="W22" s="15">
        <v>0</v>
      </c>
      <c r="X22" s="15">
        <v>0</v>
      </c>
      <c r="Y22" s="17">
        <v>0</v>
      </c>
      <c r="Z22" s="15">
        <v>0</v>
      </c>
      <c r="AA22" s="15">
        <v>0</v>
      </c>
      <c r="AB22" s="15">
        <v>0</v>
      </c>
      <c r="AC22" s="15">
        <v>0</v>
      </c>
      <c r="AD22" s="17">
        <v>0</v>
      </c>
      <c r="AE22" s="15">
        <v>0</v>
      </c>
      <c r="AF22" s="15">
        <v>0</v>
      </c>
      <c r="AG22" s="15">
        <v>0</v>
      </c>
      <c r="AH22" s="15">
        <v>0</v>
      </c>
      <c r="AI22" s="15">
        <v>0</v>
      </c>
      <c r="AJ22" s="17">
        <v>0</v>
      </c>
      <c r="AK22" s="15">
        <v>0</v>
      </c>
      <c r="AL22" s="15">
        <v>0</v>
      </c>
      <c r="AM22" s="15">
        <v>0</v>
      </c>
      <c r="AN22" s="15">
        <v>0</v>
      </c>
      <c r="AO22" s="17">
        <v>0</v>
      </c>
      <c r="AP22" s="15">
        <v>0</v>
      </c>
      <c r="AQ22" s="15">
        <v>0</v>
      </c>
      <c r="AR22" s="15">
        <v>0</v>
      </c>
      <c r="AS22" s="15">
        <v>0</v>
      </c>
      <c r="AT22" s="15"/>
      <c r="AU22" s="17">
        <v>0</v>
      </c>
      <c r="AV22" s="15">
        <v>0</v>
      </c>
      <c r="AW22" s="15">
        <v>0</v>
      </c>
      <c r="AX22" s="15">
        <v>0</v>
      </c>
      <c r="AY22" s="17">
        <v>0</v>
      </c>
      <c r="AZ22" s="15">
        <v>0</v>
      </c>
      <c r="BA22" s="15">
        <v>0</v>
      </c>
      <c r="BB22" s="15">
        <v>0</v>
      </c>
      <c r="BC22" s="17">
        <v>0</v>
      </c>
      <c r="BD22" s="15">
        <v>0</v>
      </c>
      <c r="BE22" s="15">
        <v>0</v>
      </c>
      <c r="BF22" s="15">
        <v>0</v>
      </c>
      <c r="BG22" s="15">
        <v>0</v>
      </c>
      <c r="BH22" s="17">
        <v>0</v>
      </c>
      <c r="BI22" s="15">
        <v>0</v>
      </c>
      <c r="BJ22" s="15">
        <v>0</v>
      </c>
      <c r="BK22" s="15">
        <v>0</v>
      </c>
      <c r="BL22" s="15">
        <v>0</v>
      </c>
      <c r="BM22" s="17">
        <v>0</v>
      </c>
      <c r="BN22" s="15">
        <v>0</v>
      </c>
      <c r="BO22" s="15">
        <v>0</v>
      </c>
      <c r="BP22" s="15">
        <v>0</v>
      </c>
      <c r="BQ22" s="15">
        <v>0</v>
      </c>
      <c r="BR22" s="15">
        <v>0</v>
      </c>
      <c r="BS22" s="17">
        <v>0</v>
      </c>
      <c r="BT22" s="15">
        <v>0</v>
      </c>
      <c r="BU22" s="15">
        <v>0</v>
      </c>
      <c r="BV22" s="15">
        <v>0</v>
      </c>
      <c r="BW22" s="15">
        <v>0</v>
      </c>
      <c r="BX22" s="17">
        <v>0</v>
      </c>
      <c r="BY22" s="15">
        <v>0</v>
      </c>
      <c r="BZ22" s="15">
        <v>0</v>
      </c>
      <c r="CA22" s="15">
        <v>0</v>
      </c>
      <c r="CB22" s="17">
        <v>0</v>
      </c>
      <c r="CC22" s="15">
        <v>0</v>
      </c>
      <c r="CD22" s="15">
        <v>0</v>
      </c>
      <c r="CE22" s="15">
        <v>0</v>
      </c>
      <c r="CF22" s="15">
        <v>0</v>
      </c>
      <c r="CG22" s="17">
        <v>0</v>
      </c>
      <c r="CH22" s="15">
        <v>0</v>
      </c>
      <c r="CI22" s="15">
        <v>0</v>
      </c>
      <c r="CJ22" s="15">
        <v>0</v>
      </c>
      <c r="CK22" s="15">
        <v>0</v>
      </c>
      <c r="CL22" s="17">
        <v>0</v>
      </c>
      <c r="CM22" s="15">
        <v>0</v>
      </c>
      <c r="CN22" s="15">
        <v>0</v>
      </c>
      <c r="CO22" s="17">
        <v>0</v>
      </c>
      <c r="CP22" s="15">
        <v>0</v>
      </c>
      <c r="CQ22" s="15">
        <v>0</v>
      </c>
      <c r="CR22" s="15">
        <v>0</v>
      </c>
      <c r="CS22" s="17">
        <v>0</v>
      </c>
      <c r="CT22" s="15">
        <v>0</v>
      </c>
      <c r="CU22" s="15">
        <v>0</v>
      </c>
      <c r="CV22" s="15">
        <v>0</v>
      </c>
      <c r="CW22" s="15">
        <v>0</v>
      </c>
      <c r="CX22" s="15">
        <v>0</v>
      </c>
      <c r="CY22" s="17">
        <v>0</v>
      </c>
      <c r="CZ22" s="15">
        <v>0</v>
      </c>
      <c r="DA22" s="15">
        <v>0</v>
      </c>
      <c r="DB22" s="15">
        <v>0</v>
      </c>
      <c r="DC22" s="15">
        <v>0</v>
      </c>
      <c r="DD22" s="17">
        <v>0</v>
      </c>
      <c r="DE22" s="15">
        <v>0</v>
      </c>
      <c r="DF22" s="15">
        <v>0</v>
      </c>
      <c r="DG22" s="15">
        <v>0</v>
      </c>
      <c r="DH22" s="17">
        <v>0</v>
      </c>
      <c r="DI22" s="15">
        <v>0</v>
      </c>
      <c r="DJ22" s="15">
        <v>0</v>
      </c>
      <c r="DK22" s="15">
        <v>0</v>
      </c>
      <c r="DL22" s="15">
        <v>0</v>
      </c>
      <c r="DM22" s="15">
        <v>0</v>
      </c>
      <c r="DN22" s="17">
        <v>0</v>
      </c>
      <c r="DO22" s="15">
        <v>0</v>
      </c>
      <c r="DP22" s="15">
        <v>0</v>
      </c>
      <c r="DQ22" s="15">
        <v>0</v>
      </c>
      <c r="DR22" s="15">
        <v>0</v>
      </c>
      <c r="DS22" s="17">
        <v>0</v>
      </c>
      <c r="DT22" s="15">
        <v>0</v>
      </c>
      <c r="DU22" s="15">
        <v>0</v>
      </c>
      <c r="DV22" s="15">
        <v>0</v>
      </c>
      <c r="DW22" s="15">
        <v>0</v>
      </c>
      <c r="DX22" s="17">
        <v>0</v>
      </c>
      <c r="DY22" s="15">
        <v>0</v>
      </c>
      <c r="DZ22" s="15">
        <v>0</v>
      </c>
      <c r="EA22" s="15">
        <v>0</v>
      </c>
      <c r="EB22" s="41">
        <v>0</v>
      </c>
      <c r="EC22" s="17">
        <v>0</v>
      </c>
      <c r="ED22" s="42"/>
      <c r="EE22" s="15"/>
    </row>
    <row r="23" spans="1:135" ht="12.75">
      <c r="A23" s="40">
        <v>43854</v>
      </c>
      <c r="B23" s="15">
        <v>0</v>
      </c>
      <c r="C23" s="15">
        <v>0</v>
      </c>
      <c r="D23" s="15">
        <v>0</v>
      </c>
      <c r="E23" s="15">
        <f t="shared" ref="E23:G23" si="18">B23-C23-D23</f>
        <v>0</v>
      </c>
      <c r="F23" s="15">
        <f t="shared" si="18"/>
        <v>0</v>
      </c>
      <c r="G23" s="15">
        <f t="shared" si="18"/>
        <v>0</v>
      </c>
      <c r="H23" s="15">
        <f t="shared" si="1"/>
        <v>0</v>
      </c>
      <c r="I23" s="15">
        <v>0</v>
      </c>
      <c r="J23" s="15">
        <v>0</v>
      </c>
      <c r="K23" s="17">
        <v>0</v>
      </c>
      <c r="L23" s="15">
        <v>0</v>
      </c>
      <c r="M23" s="15">
        <v>0</v>
      </c>
      <c r="N23" s="17">
        <v>0</v>
      </c>
      <c r="O23" s="15">
        <v>0</v>
      </c>
      <c r="P23" s="15">
        <v>0</v>
      </c>
      <c r="Q23" s="15">
        <v>0</v>
      </c>
      <c r="R23" s="15">
        <v>0</v>
      </c>
      <c r="S23" s="15">
        <v>0</v>
      </c>
      <c r="T23" s="17">
        <v>0</v>
      </c>
      <c r="U23" s="15">
        <v>0</v>
      </c>
      <c r="V23" s="15">
        <v>0</v>
      </c>
      <c r="W23" s="15">
        <v>0</v>
      </c>
      <c r="X23" s="15">
        <v>0</v>
      </c>
      <c r="Y23" s="17">
        <v>0</v>
      </c>
      <c r="Z23" s="15">
        <v>0</v>
      </c>
      <c r="AA23" s="15">
        <v>0</v>
      </c>
      <c r="AB23" s="15">
        <v>0</v>
      </c>
      <c r="AC23" s="15">
        <v>0</v>
      </c>
      <c r="AD23" s="17">
        <v>0</v>
      </c>
      <c r="AE23" s="15">
        <v>0</v>
      </c>
      <c r="AF23" s="15">
        <v>0</v>
      </c>
      <c r="AG23" s="15">
        <v>0</v>
      </c>
      <c r="AH23" s="15">
        <v>0</v>
      </c>
      <c r="AI23" s="15">
        <v>0</v>
      </c>
      <c r="AJ23" s="17">
        <v>0</v>
      </c>
      <c r="AK23" s="15">
        <v>0</v>
      </c>
      <c r="AL23" s="15">
        <v>0</v>
      </c>
      <c r="AM23" s="15">
        <v>0</v>
      </c>
      <c r="AN23" s="15">
        <v>0</v>
      </c>
      <c r="AO23" s="17">
        <v>0</v>
      </c>
      <c r="AP23" s="15">
        <v>0</v>
      </c>
      <c r="AQ23" s="15">
        <v>0</v>
      </c>
      <c r="AR23" s="15">
        <v>0</v>
      </c>
      <c r="AS23" s="15">
        <v>0</v>
      </c>
      <c r="AT23" s="15"/>
      <c r="AU23" s="17">
        <v>0</v>
      </c>
      <c r="AV23" s="15">
        <v>0</v>
      </c>
      <c r="AW23" s="15">
        <v>0</v>
      </c>
      <c r="AX23" s="15">
        <v>0</v>
      </c>
      <c r="AY23" s="17">
        <v>0</v>
      </c>
      <c r="AZ23" s="15">
        <v>0</v>
      </c>
      <c r="BA23" s="15">
        <v>0</v>
      </c>
      <c r="BB23" s="15">
        <v>0</v>
      </c>
      <c r="BC23" s="17">
        <v>0</v>
      </c>
      <c r="BD23" s="15">
        <v>0</v>
      </c>
      <c r="BE23" s="15">
        <v>0</v>
      </c>
      <c r="BF23" s="15">
        <v>0</v>
      </c>
      <c r="BG23" s="15">
        <v>0</v>
      </c>
      <c r="BH23" s="17">
        <v>0</v>
      </c>
      <c r="BI23" s="15">
        <v>0</v>
      </c>
      <c r="BJ23" s="15">
        <v>0</v>
      </c>
      <c r="BK23" s="15">
        <v>0</v>
      </c>
      <c r="BL23" s="15">
        <v>0</v>
      </c>
      <c r="BM23" s="17">
        <v>0</v>
      </c>
      <c r="BN23" s="15">
        <v>0</v>
      </c>
      <c r="BO23" s="15">
        <v>0</v>
      </c>
      <c r="BP23" s="15">
        <v>0</v>
      </c>
      <c r="BQ23" s="15">
        <v>0</v>
      </c>
      <c r="BR23" s="15">
        <v>0</v>
      </c>
      <c r="BS23" s="17">
        <v>0</v>
      </c>
      <c r="BT23" s="15">
        <v>0</v>
      </c>
      <c r="BU23" s="15">
        <v>0</v>
      </c>
      <c r="BV23" s="15">
        <v>0</v>
      </c>
      <c r="BW23" s="15">
        <v>0</v>
      </c>
      <c r="BX23" s="17">
        <v>0</v>
      </c>
      <c r="BY23" s="15">
        <v>0</v>
      </c>
      <c r="BZ23" s="15">
        <v>0</v>
      </c>
      <c r="CA23" s="15">
        <v>0</v>
      </c>
      <c r="CB23" s="17">
        <v>0</v>
      </c>
      <c r="CC23" s="15">
        <v>0</v>
      </c>
      <c r="CD23" s="15">
        <v>0</v>
      </c>
      <c r="CE23" s="15">
        <v>0</v>
      </c>
      <c r="CF23" s="15">
        <v>0</v>
      </c>
      <c r="CG23" s="17">
        <v>0</v>
      </c>
      <c r="CH23" s="15">
        <v>0</v>
      </c>
      <c r="CI23" s="15">
        <v>0</v>
      </c>
      <c r="CJ23" s="15">
        <v>0</v>
      </c>
      <c r="CK23" s="15">
        <v>0</v>
      </c>
      <c r="CL23" s="17">
        <v>0</v>
      </c>
      <c r="CM23" s="15">
        <v>0</v>
      </c>
      <c r="CN23" s="15">
        <v>0</v>
      </c>
      <c r="CO23" s="17">
        <v>0</v>
      </c>
      <c r="CP23" s="15">
        <v>0</v>
      </c>
      <c r="CQ23" s="15">
        <v>0</v>
      </c>
      <c r="CR23" s="15">
        <v>0</v>
      </c>
      <c r="CS23" s="17">
        <v>0</v>
      </c>
      <c r="CT23" s="15">
        <v>0</v>
      </c>
      <c r="CU23" s="15">
        <v>0</v>
      </c>
      <c r="CV23" s="15">
        <v>0</v>
      </c>
      <c r="CW23" s="15">
        <v>0</v>
      </c>
      <c r="CX23" s="15">
        <v>0</v>
      </c>
      <c r="CY23" s="17">
        <v>0</v>
      </c>
      <c r="CZ23" s="15">
        <v>0</v>
      </c>
      <c r="DA23" s="15">
        <v>0</v>
      </c>
      <c r="DB23" s="15">
        <v>0</v>
      </c>
      <c r="DC23" s="15">
        <v>0</v>
      </c>
      <c r="DD23" s="17">
        <v>0</v>
      </c>
      <c r="DE23" s="15">
        <v>0</v>
      </c>
      <c r="DF23" s="15">
        <v>0</v>
      </c>
      <c r="DG23" s="15">
        <v>0</v>
      </c>
      <c r="DH23" s="17">
        <v>0</v>
      </c>
      <c r="DI23" s="15">
        <v>0</v>
      </c>
      <c r="DJ23" s="15">
        <v>0</v>
      </c>
      <c r="DK23" s="15">
        <v>0</v>
      </c>
      <c r="DL23" s="15">
        <v>0</v>
      </c>
      <c r="DM23" s="15">
        <v>0</v>
      </c>
      <c r="DN23" s="17">
        <v>0</v>
      </c>
      <c r="DO23" s="15">
        <v>0</v>
      </c>
      <c r="DP23" s="15">
        <v>0</v>
      </c>
      <c r="DQ23" s="15">
        <v>0</v>
      </c>
      <c r="DR23" s="15">
        <v>0</v>
      </c>
      <c r="DS23" s="17">
        <v>0</v>
      </c>
      <c r="DT23" s="15">
        <v>0</v>
      </c>
      <c r="DU23" s="15">
        <v>0</v>
      </c>
      <c r="DV23" s="15">
        <v>0</v>
      </c>
      <c r="DW23" s="15">
        <v>0</v>
      </c>
      <c r="DX23" s="17">
        <v>0</v>
      </c>
      <c r="DY23" s="15">
        <v>0</v>
      </c>
      <c r="DZ23" s="15">
        <v>0</v>
      </c>
      <c r="EA23" s="15">
        <v>0</v>
      </c>
      <c r="EB23" s="63">
        <v>0</v>
      </c>
      <c r="EC23" s="17">
        <v>0</v>
      </c>
      <c r="ED23" s="42"/>
      <c r="EE23" s="15"/>
    </row>
    <row r="24" spans="1:135" ht="12.75">
      <c r="A24" s="40">
        <v>43855</v>
      </c>
      <c r="B24" s="15">
        <v>0</v>
      </c>
      <c r="C24" s="15">
        <v>0</v>
      </c>
      <c r="D24" s="15">
        <v>0</v>
      </c>
      <c r="E24" s="15">
        <f t="shared" ref="E24:G24" si="19">B24-C24-D24</f>
        <v>0</v>
      </c>
      <c r="F24" s="15">
        <f t="shared" si="19"/>
        <v>0</v>
      </c>
      <c r="G24" s="15">
        <f t="shared" si="19"/>
        <v>0</v>
      </c>
      <c r="H24" s="15">
        <f t="shared" si="1"/>
        <v>0</v>
      </c>
      <c r="I24" s="15">
        <v>0</v>
      </c>
      <c r="J24" s="15">
        <v>0</v>
      </c>
      <c r="K24" s="17">
        <v>0</v>
      </c>
      <c r="L24" s="15">
        <v>0</v>
      </c>
      <c r="M24" s="15">
        <v>0</v>
      </c>
      <c r="N24" s="17">
        <v>0</v>
      </c>
      <c r="O24" s="15">
        <v>0</v>
      </c>
      <c r="P24" s="15">
        <v>0</v>
      </c>
      <c r="Q24" s="15">
        <v>0</v>
      </c>
      <c r="R24" s="15">
        <v>0</v>
      </c>
      <c r="S24" s="15">
        <v>0</v>
      </c>
      <c r="T24" s="17">
        <v>0</v>
      </c>
      <c r="U24" s="15">
        <v>0</v>
      </c>
      <c r="V24" s="15">
        <v>0</v>
      </c>
      <c r="W24" s="15">
        <v>0</v>
      </c>
      <c r="X24" s="15">
        <v>0</v>
      </c>
      <c r="Y24" s="17">
        <v>0</v>
      </c>
      <c r="Z24" s="15">
        <v>0</v>
      </c>
      <c r="AA24" s="15">
        <v>0</v>
      </c>
      <c r="AB24" s="15">
        <v>0</v>
      </c>
      <c r="AC24" s="15">
        <v>0</v>
      </c>
      <c r="AD24" s="17">
        <v>0</v>
      </c>
      <c r="AE24" s="15">
        <v>0</v>
      </c>
      <c r="AF24" s="15">
        <v>0</v>
      </c>
      <c r="AG24" s="15">
        <v>0</v>
      </c>
      <c r="AH24" s="15">
        <v>0</v>
      </c>
      <c r="AI24" s="15">
        <v>0</v>
      </c>
      <c r="AJ24" s="17">
        <v>0</v>
      </c>
      <c r="AK24" s="15">
        <v>0</v>
      </c>
      <c r="AL24" s="15">
        <v>0</v>
      </c>
      <c r="AM24" s="15">
        <v>0</v>
      </c>
      <c r="AN24" s="15">
        <v>0</v>
      </c>
      <c r="AO24" s="17">
        <v>0</v>
      </c>
      <c r="AP24" s="15">
        <v>0</v>
      </c>
      <c r="AQ24" s="15">
        <v>0</v>
      </c>
      <c r="AR24" s="15">
        <v>0</v>
      </c>
      <c r="AS24" s="15">
        <v>0</v>
      </c>
      <c r="AT24" s="15"/>
      <c r="AU24" s="17">
        <v>0</v>
      </c>
      <c r="AV24" s="15">
        <v>0</v>
      </c>
      <c r="AW24" s="15">
        <v>0</v>
      </c>
      <c r="AX24" s="15">
        <v>0</v>
      </c>
      <c r="AY24" s="17">
        <v>0</v>
      </c>
      <c r="AZ24" s="15">
        <v>0</v>
      </c>
      <c r="BA24" s="15">
        <v>0</v>
      </c>
      <c r="BB24" s="15">
        <v>0</v>
      </c>
      <c r="BC24" s="17">
        <v>0</v>
      </c>
      <c r="BD24" s="15">
        <v>0</v>
      </c>
      <c r="BE24" s="15">
        <v>0</v>
      </c>
      <c r="BF24" s="15">
        <v>0</v>
      </c>
      <c r="BG24" s="15">
        <v>0</v>
      </c>
      <c r="BH24" s="17">
        <v>0</v>
      </c>
      <c r="BI24" s="15">
        <v>0</v>
      </c>
      <c r="BJ24" s="15">
        <v>0</v>
      </c>
      <c r="BK24" s="15">
        <v>0</v>
      </c>
      <c r="BL24" s="15">
        <v>0</v>
      </c>
      <c r="BM24" s="17">
        <v>0</v>
      </c>
      <c r="BN24" s="15">
        <v>0</v>
      </c>
      <c r="BO24" s="15">
        <v>0</v>
      </c>
      <c r="BP24" s="15">
        <v>0</v>
      </c>
      <c r="BQ24" s="15">
        <v>0</v>
      </c>
      <c r="BR24" s="15">
        <v>0</v>
      </c>
      <c r="BS24" s="17">
        <v>0</v>
      </c>
      <c r="BT24" s="15">
        <v>0</v>
      </c>
      <c r="BU24" s="15">
        <v>0</v>
      </c>
      <c r="BV24" s="15">
        <v>0</v>
      </c>
      <c r="BW24" s="15">
        <v>0</v>
      </c>
      <c r="BX24" s="17">
        <v>0</v>
      </c>
      <c r="BY24" s="15">
        <v>0</v>
      </c>
      <c r="BZ24" s="15">
        <v>0</v>
      </c>
      <c r="CA24" s="15">
        <v>0</v>
      </c>
      <c r="CB24" s="17">
        <v>0</v>
      </c>
      <c r="CC24" s="15">
        <v>0</v>
      </c>
      <c r="CD24" s="15">
        <v>0</v>
      </c>
      <c r="CE24" s="15">
        <v>0</v>
      </c>
      <c r="CF24" s="15">
        <v>0</v>
      </c>
      <c r="CG24" s="17">
        <v>0</v>
      </c>
      <c r="CH24" s="15">
        <v>0</v>
      </c>
      <c r="CI24" s="15">
        <v>0</v>
      </c>
      <c r="CJ24" s="15">
        <v>0</v>
      </c>
      <c r="CK24" s="15">
        <v>0</v>
      </c>
      <c r="CL24" s="17">
        <v>0</v>
      </c>
      <c r="CM24" s="15">
        <v>0</v>
      </c>
      <c r="CN24" s="15">
        <v>0</v>
      </c>
      <c r="CO24" s="17">
        <v>0</v>
      </c>
      <c r="CP24" s="15">
        <v>0</v>
      </c>
      <c r="CQ24" s="15">
        <v>0</v>
      </c>
      <c r="CR24" s="15">
        <v>0</v>
      </c>
      <c r="CS24" s="17">
        <v>0</v>
      </c>
      <c r="CT24" s="15">
        <v>0</v>
      </c>
      <c r="CU24" s="15">
        <v>0</v>
      </c>
      <c r="CV24" s="15">
        <v>0</v>
      </c>
      <c r="CW24" s="15">
        <v>0</v>
      </c>
      <c r="CX24" s="15">
        <v>0</v>
      </c>
      <c r="CY24" s="17">
        <v>0</v>
      </c>
      <c r="CZ24" s="15">
        <v>0</v>
      </c>
      <c r="DA24" s="15">
        <v>0</v>
      </c>
      <c r="DB24" s="15">
        <v>0</v>
      </c>
      <c r="DC24" s="15">
        <v>0</v>
      </c>
      <c r="DD24" s="17">
        <v>0</v>
      </c>
      <c r="DE24" s="15">
        <v>0</v>
      </c>
      <c r="DF24" s="15">
        <v>0</v>
      </c>
      <c r="DG24" s="15">
        <v>0</v>
      </c>
      <c r="DH24" s="17">
        <v>0</v>
      </c>
      <c r="DI24" s="15">
        <v>0</v>
      </c>
      <c r="DJ24" s="15">
        <v>0</v>
      </c>
      <c r="DK24" s="15">
        <v>0</v>
      </c>
      <c r="DL24" s="15">
        <v>0</v>
      </c>
      <c r="DM24" s="15">
        <v>0</v>
      </c>
      <c r="DN24" s="17">
        <v>0</v>
      </c>
      <c r="DO24" s="15">
        <v>0</v>
      </c>
      <c r="DP24" s="15">
        <v>0</v>
      </c>
      <c r="DQ24" s="15">
        <v>0</v>
      </c>
      <c r="DR24" s="15">
        <v>0</v>
      </c>
      <c r="DS24" s="17">
        <v>0</v>
      </c>
      <c r="DT24" s="15">
        <v>0</v>
      </c>
      <c r="DU24" s="15">
        <v>0</v>
      </c>
      <c r="DV24" s="15">
        <v>0</v>
      </c>
      <c r="DW24" s="15">
        <v>0</v>
      </c>
      <c r="DX24" s="17">
        <v>0</v>
      </c>
      <c r="DY24" s="15">
        <v>0</v>
      </c>
      <c r="DZ24" s="15">
        <v>0</v>
      </c>
      <c r="EA24" s="15">
        <v>0</v>
      </c>
      <c r="EB24" s="41">
        <v>0</v>
      </c>
      <c r="EC24" s="17">
        <v>0</v>
      </c>
      <c r="ED24" s="42"/>
      <c r="EE24" s="15"/>
    </row>
    <row r="25" spans="1:135" ht="12.75">
      <c r="A25" s="40">
        <v>43856</v>
      </c>
      <c r="B25" s="15">
        <v>0</v>
      </c>
      <c r="C25" s="15">
        <v>0</v>
      </c>
      <c r="D25" s="15">
        <v>0</v>
      </c>
      <c r="E25" s="15">
        <f t="shared" ref="E25:G25" si="20">B25-C25-D25</f>
        <v>0</v>
      </c>
      <c r="F25" s="15">
        <f t="shared" si="20"/>
        <v>0</v>
      </c>
      <c r="G25" s="15">
        <f t="shared" si="20"/>
        <v>0</v>
      </c>
      <c r="H25" s="15">
        <f t="shared" si="1"/>
        <v>0</v>
      </c>
      <c r="I25" s="15">
        <v>0</v>
      </c>
      <c r="J25" s="15">
        <v>0</v>
      </c>
      <c r="K25" s="17">
        <v>0</v>
      </c>
      <c r="L25" s="15">
        <v>0</v>
      </c>
      <c r="M25" s="15">
        <v>0</v>
      </c>
      <c r="N25" s="17">
        <v>0</v>
      </c>
      <c r="O25" s="15">
        <v>0</v>
      </c>
      <c r="P25" s="15">
        <v>0</v>
      </c>
      <c r="Q25" s="15">
        <v>0</v>
      </c>
      <c r="R25" s="15">
        <v>0</v>
      </c>
      <c r="S25" s="15">
        <v>0</v>
      </c>
      <c r="T25" s="17">
        <v>0</v>
      </c>
      <c r="U25" s="15">
        <v>0</v>
      </c>
      <c r="V25" s="15">
        <v>0</v>
      </c>
      <c r="W25" s="15">
        <v>0</v>
      </c>
      <c r="X25" s="15">
        <v>0</v>
      </c>
      <c r="Y25" s="17">
        <v>0</v>
      </c>
      <c r="Z25" s="15">
        <v>0</v>
      </c>
      <c r="AA25" s="15">
        <v>0</v>
      </c>
      <c r="AB25" s="15">
        <v>0</v>
      </c>
      <c r="AC25" s="15">
        <v>0</v>
      </c>
      <c r="AD25" s="17">
        <v>0</v>
      </c>
      <c r="AE25" s="15">
        <v>0</v>
      </c>
      <c r="AF25" s="15">
        <v>0</v>
      </c>
      <c r="AG25" s="15">
        <v>0</v>
      </c>
      <c r="AH25" s="15">
        <v>0</v>
      </c>
      <c r="AI25" s="15">
        <v>0</v>
      </c>
      <c r="AJ25" s="17">
        <v>0</v>
      </c>
      <c r="AK25" s="15">
        <v>0</v>
      </c>
      <c r="AL25" s="15">
        <v>0</v>
      </c>
      <c r="AM25" s="15">
        <v>0</v>
      </c>
      <c r="AN25" s="15">
        <v>0</v>
      </c>
      <c r="AO25" s="17">
        <v>0</v>
      </c>
      <c r="AP25" s="15">
        <v>0</v>
      </c>
      <c r="AQ25" s="15">
        <v>0</v>
      </c>
      <c r="AR25" s="15">
        <v>0</v>
      </c>
      <c r="AS25" s="15">
        <v>0</v>
      </c>
      <c r="AT25" s="15"/>
      <c r="AU25" s="17">
        <v>0</v>
      </c>
      <c r="AV25" s="15">
        <v>0</v>
      </c>
      <c r="AW25" s="15">
        <v>0</v>
      </c>
      <c r="AX25" s="15">
        <v>0</v>
      </c>
      <c r="AY25" s="17">
        <v>0</v>
      </c>
      <c r="AZ25" s="15">
        <v>0</v>
      </c>
      <c r="BA25" s="15">
        <v>0</v>
      </c>
      <c r="BB25" s="15">
        <v>0</v>
      </c>
      <c r="BC25" s="17">
        <v>0</v>
      </c>
      <c r="BD25" s="15">
        <v>0</v>
      </c>
      <c r="BE25" s="15">
        <v>0</v>
      </c>
      <c r="BF25" s="15">
        <v>0</v>
      </c>
      <c r="BG25" s="15">
        <v>0</v>
      </c>
      <c r="BH25" s="17">
        <v>0</v>
      </c>
      <c r="BI25" s="15">
        <v>0</v>
      </c>
      <c r="BJ25" s="15">
        <v>0</v>
      </c>
      <c r="BK25" s="15">
        <v>0</v>
      </c>
      <c r="BL25" s="15">
        <v>0</v>
      </c>
      <c r="BM25" s="17">
        <v>0</v>
      </c>
      <c r="BN25" s="15">
        <v>0</v>
      </c>
      <c r="BO25" s="15">
        <v>0</v>
      </c>
      <c r="BP25" s="15">
        <v>0</v>
      </c>
      <c r="BQ25" s="15">
        <v>0</v>
      </c>
      <c r="BR25" s="15">
        <v>0</v>
      </c>
      <c r="BS25" s="17">
        <v>0</v>
      </c>
      <c r="BT25" s="15">
        <v>0</v>
      </c>
      <c r="BU25" s="15">
        <v>0</v>
      </c>
      <c r="BV25" s="15">
        <v>0</v>
      </c>
      <c r="BW25" s="15">
        <v>0</v>
      </c>
      <c r="BX25" s="17">
        <v>0</v>
      </c>
      <c r="BY25" s="15">
        <v>0</v>
      </c>
      <c r="BZ25" s="15">
        <v>0</v>
      </c>
      <c r="CA25" s="15">
        <v>0</v>
      </c>
      <c r="CB25" s="17">
        <v>0</v>
      </c>
      <c r="CC25" s="15">
        <v>0</v>
      </c>
      <c r="CD25" s="15">
        <v>0</v>
      </c>
      <c r="CE25" s="15">
        <v>0</v>
      </c>
      <c r="CF25" s="15">
        <v>0</v>
      </c>
      <c r="CG25" s="17">
        <v>0</v>
      </c>
      <c r="CH25" s="15">
        <v>0</v>
      </c>
      <c r="CI25" s="15">
        <v>0</v>
      </c>
      <c r="CJ25" s="15">
        <v>0</v>
      </c>
      <c r="CK25" s="15">
        <v>0</v>
      </c>
      <c r="CL25" s="17">
        <v>0</v>
      </c>
      <c r="CM25" s="15">
        <v>0</v>
      </c>
      <c r="CN25" s="15">
        <v>0</v>
      </c>
      <c r="CO25" s="17">
        <v>0</v>
      </c>
      <c r="CP25" s="15">
        <v>0</v>
      </c>
      <c r="CQ25" s="15">
        <v>0</v>
      </c>
      <c r="CR25" s="15">
        <v>0</v>
      </c>
      <c r="CS25" s="17">
        <v>0</v>
      </c>
      <c r="CT25" s="15">
        <v>0</v>
      </c>
      <c r="CU25" s="15">
        <v>0</v>
      </c>
      <c r="CV25" s="15">
        <v>0</v>
      </c>
      <c r="CW25" s="15">
        <v>0</v>
      </c>
      <c r="CX25" s="15">
        <v>0</v>
      </c>
      <c r="CY25" s="17">
        <v>0</v>
      </c>
      <c r="CZ25" s="15">
        <v>0</v>
      </c>
      <c r="DA25" s="15">
        <v>0</v>
      </c>
      <c r="DB25" s="15">
        <v>0</v>
      </c>
      <c r="DC25" s="15">
        <v>0</v>
      </c>
      <c r="DD25" s="17">
        <v>0</v>
      </c>
      <c r="DE25" s="15">
        <v>0</v>
      </c>
      <c r="DF25" s="15">
        <v>0</v>
      </c>
      <c r="DG25" s="15">
        <v>0</v>
      </c>
      <c r="DH25" s="17">
        <v>0</v>
      </c>
      <c r="DI25" s="15">
        <v>0</v>
      </c>
      <c r="DJ25" s="15">
        <v>0</v>
      </c>
      <c r="DK25" s="15">
        <v>0</v>
      </c>
      <c r="DL25" s="15">
        <v>0</v>
      </c>
      <c r="DM25" s="15">
        <v>0</v>
      </c>
      <c r="DN25" s="17">
        <v>0</v>
      </c>
      <c r="DO25" s="15">
        <v>0</v>
      </c>
      <c r="DP25" s="15">
        <v>0</v>
      </c>
      <c r="DQ25" s="15">
        <v>0</v>
      </c>
      <c r="DR25" s="15">
        <v>0</v>
      </c>
      <c r="DS25" s="17">
        <v>0</v>
      </c>
      <c r="DT25" s="15">
        <v>0</v>
      </c>
      <c r="DU25" s="15">
        <v>0</v>
      </c>
      <c r="DV25" s="15">
        <v>0</v>
      </c>
      <c r="DW25" s="15">
        <v>0</v>
      </c>
      <c r="DX25" s="17">
        <v>0</v>
      </c>
      <c r="DY25" s="15">
        <v>0</v>
      </c>
      <c r="DZ25" s="15">
        <v>0</v>
      </c>
      <c r="EA25" s="15">
        <v>0</v>
      </c>
      <c r="EB25" s="63">
        <v>0</v>
      </c>
      <c r="EC25" s="17">
        <v>0</v>
      </c>
      <c r="ED25" s="42"/>
      <c r="EE25" s="15"/>
    </row>
    <row r="26" spans="1:135" ht="12.75">
      <c r="A26" s="40">
        <v>43857</v>
      </c>
      <c r="B26" s="15">
        <v>0</v>
      </c>
      <c r="C26" s="15">
        <v>0</v>
      </c>
      <c r="D26" s="15">
        <v>0</v>
      </c>
      <c r="E26" s="15">
        <f t="shared" ref="E26:G26" si="21">B26-C26-D26</f>
        <v>0</v>
      </c>
      <c r="F26" s="15">
        <f t="shared" si="21"/>
        <v>0</v>
      </c>
      <c r="G26" s="15">
        <f t="shared" si="21"/>
        <v>0</v>
      </c>
      <c r="H26" s="15">
        <f t="shared" si="1"/>
        <v>0</v>
      </c>
      <c r="I26" s="15">
        <v>0</v>
      </c>
      <c r="J26" s="15">
        <v>0</v>
      </c>
      <c r="K26" s="17">
        <v>0</v>
      </c>
      <c r="L26" s="15">
        <v>0</v>
      </c>
      <c r="M26" s="15">
        <v>0</v>
      </c>
      <c r="N26" s="17">
        <v>0</v>
      </c>
      <c r="O26" s="15">
        <v>0</v>
      </c>
      <c r="P26" s="15">
        <v>0</v>
      </c>
      <c r="Q26" s="15">
        <v>0</v>
      </c>
      <c r="R26" s="15">
        <v>0</v>
      </c>
      <c r="S26" s="15">
        <v>0</v>
      </c>
      <c r="T26" s="17">
        <v>0</v>
      </c>
      <c r="U26" s="15">
        <v>0</v>
      </c>
      <c r="V26" s="15">
        <v>0</v>
      </c>
      <c r="W26" s="15">
        <v>0</v>
      </c>
      <c r="X26" s="15">
        <v>0</v>
      </c>
      <c r="Y26" s="17">
        <v>0</v>
      </c>
      <c r="Z26" s="15">
        <v>0</v>
      </c>
      <c r="AA26" s="15">
        <v>0</v>
      </c>
      <c r="AB26" s="15">
        <v>0</v>
      </c>
      <c r="AC26" s="15">
        <v>0</v>
      </c>
      <c r="AD26" s="17">
        <v>0</v>
      </c>
      <c r="AE26" s="15">
        <v>0</v>
      </c>
      <c r="AF26" s="15">
        <v>0</v>
      </c>
      <c r="AG26" s="15">
        <v>0</v>
      </c>
      <c r="AH26" s="15">
        <v>0</v>
      </c>
      <c r="AI26" s="15">
        <v>0</v>
      </c>
      <c r="AJ26" s="17">
        <v>0</v>
      </c>
      <c r="AK26" s="15">
        <v>0</v>
      </c>
      <c r="AL26" s="15">
        <v>0</v>
      </c>
      <c r="AM26" s="15">
        <v>0</v>
      </c>
      <c r="AN26" s="15">
        <v>0</v>
      </c>
      <c r="AO26" s="17">
        <v>0</v>
      </c>
      <c r="AP26" s="15">
        <v>0</v>
      </c>
      <c r="AQ26" s="15">
        <v>0</v>
      </c>
      <c r="AR26" s="15">
        <v>0</v>
      </c>
      <c r="AS26" s="15">
        <v>0</v>
      </c>
      <c r="AT26" s="15"/>
      <c r="AU26" s="17">
        <v>0</v>
      </c>
      <c r="AV26" s="15">
        <v>0</v>
      </c>
      <c r="AW26" s="15">
        <v>0</v>
      </c>
      <c r="AX26" s="15">
        <v>0</v>
      </c>
      <c r="AY26" s="17">
        <v>0</v>
      </c>
      <c r="AZ26" s="15">
        <v>0</v>
      </c>
      <c r="BA26" s="15">
        <v>0</v>
      </c>
      <c r="BB26" s="15">
        <v>0</v>
      </c>
      <c r="BC26" s="17">
        <v>0</v>
      </c>
      <c r="BD26" s="15">
        <v>0</v>
      </c>
      <c r="BE26" s="15">
        <v>0</v>
      </c>
      <c r="BF26" s="15">
        <v>0</v>
      </c>
      <c r="BG26" s="15">
        <v>0</v>
      </c>
      <c r="BH26" s="17">
        <v>0</v>
      </c>
      <c r="BI26" s="15">
        <v>0</v>
      </c>
      <c r="BJ26" s="15">
        <v>0</v>
      </c>
      <c r="BK26" s="15">
        <v>0</v>
      </c>
      <c r="BL26" s="15">
        <v>0</v>
      </c>
      <c r="BM26" s="17">
        <v>0</v>
      </c>
      <c r="BN26" s="15">
        <v>0</v>
      </c>
      <c r="BO26" s="15">
        <v>0</v>
      </c>
      <c r="BP26" s="15">
        <v>0</v>
      </c>
      <c r="BQ26" s="15">
        <v>0</v>
      </c>
      <c r="BR26" s="15">
        <v>0</v>
      </c>
      <c r="BS26" s="17">
        <v>0</v>
      </c>
      <c r="BT26" s="15">
        <v>0</v>
      </c>
      <c r="BU26" s="15">
        <v>0</v>
      </c>
      <c r="BV26" s="15">
        <v>0</v>
      </c>
      <c r="BW26" s="15">
        <v>0</v>
      </c>
      <c r="BX26" s="17">
        <v>0</v>
      </c>
      <c r="BY26" s="15">
        <v>0</v>
      </c>
      <c r="BZ26" s="15">
        <v>0</v>
      </c>
      <c r="CA26" s="15">
        <v>0</v>
      </c>
      <c r="CB26" s="17">
        <v>0</v>
      </c>
      <c r="CC26" s="15">
        <v>0</v>
      </c>
      <c r="CD26" s="15">
        <v>0</v>
      </c>
      <c r="CE26" s="15">
        <v>0</v>
      </c>
      <c r="CF26" s="15">
        <v>0</v>
      </c>
      <c r="CG26" s="17">
        <v>0</v>
      </c>
      <c r="CH26" s="15">
        <v>0</v>
      </c>
      <c r="CI26" s="15">
        <v>0</v>
      </c>
      <c r="CJ26" s="15">
        <v>0</v>
      </c>
      <c r="CK26" s="15">
        <v>0</v>
      </c>
      <c r="CL26" s="17">
        <v>0</v>
      </c>
      <c r="CM26" s="15">
        <v>0</v>
      </c>
      <c r="CN26" s="15">
        <v>0</v>
      </c>
      <c r="CO26" s="17">
        <v>0</v>
      </c>
      <c r="CP26" s="15">
        <v>0</v>
      </c>
      <c r="CQ26" s="15">
        <v>0</v>
      </c>
      <c r="CR26" s="15">
        <v>0</v>
      </c>
      <c r="CS26" s="17">
        <v>0</v>
      </c>
      <c r="CT26" s="15">
        <v>0</v>
      </c>
      <c r="CU26" s="15">
        <v>0</v>
      </c>
      <c r="CV26" s="15">
        <v>0</v>
      </c>
      <c r="CW26" s="15">
        <v>0</v>
      </c>
      <c r="CX26" s="15">
        <v>0</v>
      </c>
      <c r="CY26" s="17">
        <v>0</v>
      </c>
      <c r="CZ26" s="15">
        <v>0</v>
      </c>
      <c r="DA26" s="15">
        <v>0</v>
      </c>
      <c r="DB26" s="15">
        <v>0</v>
      </c>
      <c r="DC26" s="15">
        <v>0</v>
      </c>
      <c r="DD26" s="17">
        <v>0</v>
      </c>
      <c r="DE26" s="15">
        <v>0</v>
      </c>
      <c r="DF26" s="15">
        <v>0</v>
      </c>
      <c r="DG26" s="15">
        <v>0</v>
      </c>
      <c r="DH26" s="17">
        <v>0</v>
      </c>
      <c r="DI26" s="15">
        <v>0</v>
      </c>
      <c r="DJ26" s="15">
        <v>0</v>
      </c>
      <c r="DK26" s="15">
        <v>0</v>
      </c>
      <c r="DL26" s="15">
        <v>0</v>
      </c>
      <c r="DM26" s="15">
        <v>0</v>
      </c>
      <c r="DN26" s="17">
        <v>0</v>
      </c>
      <c r="DO26" s="15">
        <v>0</v>
      </c>
      <c r="DP26" s="15">
        <v>0</v>
      </c>
      <c r="DQ26" s="15">
        <v>0</v>
      </c>
      <c r="DR26" s="15">
        <v>0</v>
      </c>
      <c r="DS26" s="17">
        <v>0</v>
      </c>
      <c r="DT26" s="15">
        <v>0</v>
      </c>
      <c r="DU26" s="15">
        <v>0</v>
      </c>
      <c r="DV26" s="15">
        <v>0</v>
      </c>
      <c r="DW26" s="15">
        <v>0</v>
      </c>
      <c r="DX26" s="17">
        <v>0</v>
      </c>
      <c r="DY26" s="15">
        <v>0</v>
      </c>
      <c r="DZ26" s="15">
        <v>0</v>
      </c>
      <c r="EA26" s="15">
        <v>0</v>
      </c>
      <c r="EB26" s="41">
        <v>0</v>
      </c>
      <c r="EC26" s="17">
        <v>0</v>
      </c>
      <c r="ED26" s="42"/>
      <c r="EE26" s="15"/>
    </row>
    <row r="27" spans="1:135" ht="12.75">
      <c r="A27" s="40">
        <v>43858</v>
      </c>
      <c r="B27" s="15">
        <v>0</v>
      </c>
      <c r="C27" s="15">
        <v>0</v>
      </c>
      <c r="D27" s="15">
        <v>0</v>
      </c>
      <c r="E27" s="15">
        <f t="shared" ref="E27:G27" si="22">B27-C27-D27</f>
        <v>0</v>
      </c>
      <c r="F27" s="15">
        <f t="shared" si="22"/>
        <v>0</v>
      </c>
      <c r="G27" s="15">
        <f t="shared" si="22"/>
        <v>0</v>
      </c>
      <c r="H27" s="15">
        <f t="shared" si="1"/>
        <v>0</v>
      </c>
      <c r="I27" s="15">
        <v>0</v>
      </c>
      <c r="J27" s="15">
        <v>0</v>
      </c>
      <c r="K27" s="17">
        <v>0</v>
      </c>
      <c r="L27" s="15">
        <v>0</v>
      </c>
      <c r="M27" s="15">
        <v>0</v>
      </c>
      <c r="N27" s="17">
        <v>0</v>
      </c>
      <c r="O27" s="15">
        <v>0</v>
      </c>
      <c r="P27" s="15">
        <v>0</v>
      </c>
      <c r="Q27" s="15">
        <v>0</v>
      </c>
      <c r="R27" s="15">
        <v>0</v>
      </c>
      <c r="S27" s="15">
        <v>0</v>
      </c>
      <c r="T27" s="17">
        <v>0</v>
      </c>
      <c r="U27" s="15">
        <v>0</v>
      </c>
      <c r="V27" s="15">
        <v>0</v>
      </c>
      <c r="W27" s="15">
        <v>0</v>
      </c>
      <c r="X27" s="15">
        <v>0</v>
      </c>
      <c r="Y27" s="17">
        <v>0</v>
      </c>
      <c r="Z27" s="15">
        <v>0</v>
      </c>
      <c r="AA27" s="15">
        <v>0</v>
      </c>
      <c r="AB27" s="15">
        <v>0</v>
      </c>
      <c r="AC27" s="15">
        <v>0</v>
      </c>
      <c r="AD27" s="17">
        <v>0</v>
      </c>
      <c r="AE27" s="15">
        <v>0</v>
      </c>
      <c r="AF27" s="15">
        <v>0</v>
      </c>
      <c r="AG27" s="15">
        <v>0</v>
      </c>
      <c r="AH27" s="15">
        <v>0</v>
      </c>
      <c r="AI27" s="15">
        <v>0</v>
      </c>
      <c r="AJ27" s="17">
        <v>0</v>
      </c>
      <c r="AK27" s="15">
        <v>0</v>
      </c>
      <c r="AL27" s="15">
        <v>0</v>
      </c>
      <c r="AM27" s="15">
        <v>0</v>
      </c>
      <c r="AN27" s="15">
        <v>0</v>
      </c>
      <c r="AO27" s="17">
        <v>0</v>
      </c>
      <c r="AP27" s="15">
        <v>0</v>
      </c>
      <c r="AQ27" s="15">
        <v>0</v>
      </c>
      <c r="AR27" s="15">
        <v>0</v>
      </c>
      <c r="AS27" s="15">
        <v>0</v>
      </c>
      <c r="AT27" s="15"/>
      <c r="AU27" s="17">
        <v>0</v>
      </c>
      <c r="AV27" s="15">
        <v>0</v>
      </c>
      <c r="AW27" s="15">
        <v>0</v>
      </c>
      <c r="AX27" s="15">
        <v>0</v>
      </c>
      <c r="AY27" s="17">
        <v>0</v>
      </c>
      <c r="AZ27" s="15">
        <v>0</v>
      </c>
      <c r="BA27" s="15">
        <v>0</v>
      </c>
      <c r="BB27" s="15">
        <v>0</v>
      </c>
      <c r="BC27" s="17">
        <v>0</v>
      </c>
      <c r="BD27" s="15">
        <v>0</v>
      </c>
      <c r="BE27" s="15">
        <v>0</v>
      </c>
      <c r="BF27" s="15">
        <v>0</v>
      </c>
      <c r="BG27" s="15">
        <v>0</v>
      </c>
      <c r="BH27" s="17">
        <v>0</v>
      </c>
      <c r="BI27" s="15">
        <v>0</v>
      </c>
      <c r="BJ27" s="15">
        <v>0</v>
      </c>
      <c r="BK27" s="15">
        <v>0</v>
      </c>
      <c r="BL27" s="15">
        <v>0</v>
      </c>
      <c r="BM27" s="17">
        <v>0</v>
      </c>
      <c r="BN27" s="15">
        <v>0</v>
      </c>
      <c r="BO27" s="15">
        <v>0</v>
      </c>
      <c r="BP27" s="15">
        <v>0</v>
      </c>
      <c r="BQ27" s="15">
        <v>0</v>
      </c>
      <c r="BR27" s="15">
        <v>0</v>
      </c>
      <c r="BS27" s="17">
        <v>0</v>
      </c>
      <c r="BT27" s="15">
        <v>0</v>
      </c>
      <c r="BU27" s="15">
        <v>0</v>
      </c>
      <c r="BV27" s="15">
        <v>0</v>
      </c>
      <c r="BW27" s="15">
        <v>0</v>
      </c>
      <c r="BX27" s="17">
        <v>0</v>
      </c>
      <c r="BY27" s="15">
        <v>0</v>
      </c>
      <c r="BZ27" s="15">
        <v>0</v>
      </c>
      <c r="CA27" s="15">
        <v>0</v>
      </c>
      <c r="CB27" s="17">
        <v>0</v>
      </c>
      <c r="CC27" s="15">
        <v>0</v>
      </c>
      <c r="CD27" s="15">
        <v>0</v>
      </c>
      <c r="CE27" s="15">
        <v>0</v>
      </c>
      <c r="CF27" s="15">
        <v>0</v>
      </c>
      <c r="CG27" s="17">
        <v>0</v>
      </c>
      <c r="CH27" s="15">
        <v>0</v>
      </c>
      <c r="CI27" s="15">
        <v>0</v>
      </c>
      <c r="CJ27" s="15">
        <v>0</v>
      </c>
      <c r="CK27" s="15">
        <v>0</v>
      </c>
      <c r="CL27" s="17">
        <v>0</v>
      </c>
      <c r="CM27" s="15">
        <v>0</v>
      </c>
      <c r="CN27" s="15">
        <v>0</v>
      </c>
      <c r="CO27" s="17">
        <v>0</v>
      </c>
      <c r="CP27" s="15">
        <v>0</v>
      </c>
      <c r="CQ27" s="15">
        <v>0</v>
      </c>
      <c r="CR27" s="15">
        <v>0</v>
      </c>
      <c r="CS27" s="17">
        <v>0</v>
      </c>
      <c r="CT27" s="15">
        <v>0</v>
      </c>
      <c r="CU27" s="15">
        <v>0</v>
      </c>
      <c r="CV27" s="15">
        <v>0</v>
      </c>
      <c r="CW27" s="15">
        <v>0</v>
      </c>
      <c r="CX27" s="15">
        <v>0</v>
      </c>
      <c r="CY27" s="17">
        <v>0</v>
      </c>
      <c r="CZ27" s="15">
        <v>0</v>
      </c>
      <c r="DA27" s="15">
        <v>0</v>
      </c>
      <c r="DB27" s="15">
        <v>0</v>
      </c>
      <c r="DC27" s="15">
        <v>0</v>
      </c>
      <c r="DD27" s="17">
        <v>0</v>
      </c>
      <c r="DE27" s="15">
        <v>0</v>
      </c>
      <c r="DF27" s="15">
        <v>0</v>
      </c>
      <c r="DG27" s="15">
        <v>0</v>
      </c>
      <c r="DH27" s="17">
        <v>0</v>
      </c>
      <c r="DI27" s="15">
        <v>0</v>
      </c>
      <c r="DJ27" s="15">
        <v>0</v>
      </c>
      <c r="DK27" s="15">
        <v>0</v>
      </c>
      <c r="DL27" s="15">
        <v>0</v>
      </c>
      <c r="DM27" s="15">
        <v>0</v>
      </c>
      <c r="DN27" s="17">
        <v>0</v>
      </c>
      <c r="DO27" s="15">
        <v>0</v>
      </c>
      <c r="DP27" s="15">
        <v>0</v>
      </c>
      <c r="DQ27" s="15">
        <v>0</v>
      </c>
      <c r="DR27" s="15">
        <v>0</v>
      </c>
      <c r="DS27" s="17">
        <v>0</v>
      </c>
      <c r="DT27" s="15">
        <v>0</v>
      </c>
      <c r="DU27" s="15">
        <v>0</v>
      </c>
      <c r="DV27" s="15">
        <v>0</v>
      </c>
      <c r="DW27" s="15">
        <v>0</v>
      </c>
      <c r="DX27" s="17">
        <v>0</v>
      </c>
      <c r="DY27" s="15">
        <v>0</v>
      </c>
      <c r="DZ27" s="15">
        <v>0</v>
      </c>
      <c r="EA27" s="15">
        <v>0</v>
      </c>
      <c r="EB27" s="63">
        <v>0</v>
      </c>
      <c r="EC27" s="17">
        <v>0</v>
      </c>
      <c r="ED27" s="42"/>
      <c r="EE27" s="15"/>
    </row>
    <row r="28" spans="1:135" ht="12.75">
      <c r="A28" s="40">
        <v>43859</v>
      </c>
      <c r="B28" s="15">
        <v>0</v>
      </c>
      <c r="C28" s="15">
        <v>0</v>
      </c>
      <c r="D28" s="15">
        <v>0</v>
      </c>
      <c r="E28" s="15">
        <f t="shared" ref="E28:G28" si="23">B28-C28-D28</f>
        <v>0</v>
      </c>
      <c r="F28" s="15">
        <f t="shared" si="23"/>
        <v>0</v>
      </c>
      <c r="G28" s="15">
        <f t="shared" si="23"/>
        <v>0</v>
      </c>
      <c r="H28" s="15">
        <f t="shared" si="1"/>
        <v>0</v>
      </c>
      <c r="I28" s="15">
        <v>0</v>
      </c>
      <c r="J28" s="15">
        <v>0</v>
      </c>
      <c r="K28" s="17">
        <v>0</v>
      </c>
      <c r="L28" s="15">
        <v>0</v>
      </c>
      <c r="M28" s="15">
        <v>0</v>
      </c>
      <c r="N28" s="17">
        <v>0</v>
      </c>
      <c r="O28" s="15">
        <v>0</v>
      </c>
      <c r="P28" s="15">
        <v>0</v>
      </c>
      <c r="Q28" s="15">
        <v>0</v>
      </c>
      <c r="R28" s="15">
        <v>0</v>
      </c>
      <c r="S28" s="15">
        <v>0</v>
      </c>
      <c r="T28" s="17">
        <v>0</v>
      </c>
      <c r="U28" s="15">
        <v>0</v>
      </c>
      <c r="V28" s="15">
        <v>0</v>
      </c>
      <c r="W28" s="15">
        <v>0</v>
      </c>
      <c r="X28" s="15">
        <v>0</v>
      </c>
      <c r="Y28" s="17">
        <v>0</v>
      </c>
      <c r="Z28" s="15">
        <v>0</v>
      </c>
      <c r="AA28" s="15">
        <v>0</v>
      </c>
      <c r="AB28" s="15">
        <v>0</v>
      </c>
      <c r="AC28" s="15">
        <v>0</v>
      </c>
      <c r="AD28" s="17">
        <v>0</v>
      </c>
      <c r="AE28" s="15">
        <v>0</v>
      </c>
      <c r="AF28" s="15">
        <v>0</v>
      </c>
      <c r="AG28" s="15">
        <v>0</v>
      </c>
      <c r="AH28" s="15">
        <v>0</v>
      </c>
      <c r="AI28" s="15">
        <v>0</v>
      </c>
      <c r="AJ28" s="17">
        <v>0</v>
      </c>
      <c r="AK28" s="15">
        <v>0</v>
      </c>
      <c r="AL28" s="15">
        <v>0</v>
      </c>
      <c r="AM28" s="15">
        <v>0</v>
      </c>
      <c r="AN28" s="15">
        <v>0</v>
      </c>
      <c r="AO28" s="17">
        <v>0</v>
      </c>
      <c r="AP28" s="15">
        <v>0</v>
      </c>
      <c r="AQ28" s="15">
        <v>0</v>
      </c>
      <c r="AR28" s="15">
        <v>0</v>
      </c>
      <c r="AS28" s="15">
        <v>0</v>
      </c>
      <c r="AT28" s="15"/>
      <c r="AU28" s="17">
        <v>0</v>
      </c>
      <c r="AV28" s="15">
        <v>0</v>
      </c>
      <c r="AW28" s="15">
        <v>0</v>
      </c>
      <c r="AX28" s="15">
        <v>0</v>
      </c>
      <c r="AY28" s="17">
        <v>0</v>
      </c>
      <c r="AZ28" s="15">
        <v>0</v>
      </c>
      <c r="BA28" s="15">
        <v>0</v>
      </c>
      <c r="BB28" s="15">
        <v>0</v>
      </c>
      <c r="BC28" s="17">
        <v>0</v>
      </c>
      <c r="BD28" s="15">
        <v>0</v>
      </c>
      <c r="BE28" s="15">
        <v>0</v>
      </c>
      <c r="BF28" s="15">
        <v>0</v>
      </c>
      <c r="BG28" s="15">
        <v>0</v>
      </c>
      <c r="BH28" s="17">
        <v>0</v>
      </c>
      <c r="BI28" s="15">
        <v>0</v>
      </c>
      <c r="BJ28" s="15">
        <v>0</v>
      </c>
      <c r="BK28" s="15">
        <v>0</v>
      </c>
      <c r="BL28" s="15">
        <v>0</v>
      </c>
      <c r="BM28" s="17">
        <v>0</v>
      </c>
      <c r="BN28" s="15">
        <v>0</v>
      </c>
      <c r="BO28" s="15">
        <v>0</v>
      </c>
      <c r="BP28" s="15">
        <v>0</v>
      </c>
      <c r="BQ28" s="15">
        <v>0</v>
      </c>
      <c r="BR28" s="15">
        <v>0</v>
      </c>
      <c r="BS28" s="17">
        <v>0</v>
      </c>
      <c r="BT28" s="15">
        <v>0</v>
      </c>
      <c r="BU28" s="15">
        <v>0</v>
      </c>
      <c r="BV28" s="15">
        <v>0</v>
      </c>
      <c r="BW28" s="15">
        <v>0</v>
      </c>
      <c r="BX28" s="17">
        <v>0</v>
      </c>
      <c r="BY28" s="15">
        <v>0</v>
      </c>
      <c r="BZ28" s="15">
        <v>0</v>
      </c>
      <c r="CA28" s="15">
        <v>0</v>
      </c>
      <c r="CB28" s="17">
        <v>0</v>
      </c>
      <c r="CC28" s="15">
        <v>0</v>
      </c>
      <c r="CD28" s="15">
        <v>0</v>
      </c>
      <c r="CE28" s="15">
        <v>0</v>
      </c>
      <c r="CF28" s="15">
        <v>0</v>
      </c>
      <c r="CG28" s="17">
        <v>0</v>
      </c>
      <c r="CH28" s="15">
        <v>0</v>
      </c>
      <c r="CI28" s="15">
        <v>0</v>
      </c>
      <c r="CJ28" s="15">
        <v>0</v>
      </c>
      <c r="CK28" s="15">
        <v>0</v>
      </c>
      <c r="CL28" s="17">
        <v>0</v>
      </c>
      <c r="CM28" s="15">
        <v>0</v>
      </c>
      <c r="CN28" s="15">
        <v>0</v>
      </c>
      <c r="CO28" s="17">
        <v>0</v>
      </c>
      <c r="CP28" s="15">
        <v>0</v>
      </c>
      <c r="CQ28" s="15">
        <v>0</v>
      </c>
      <c r="CR28" s="15">
        <v>0</v>
      </c>
      <c r="CS28" s="17">
        <v>0</v>
      </c>
      <c r="CT28" s="15">
        <v>0</v>
      </c>
      <c r="CU28" s="15">
        <v>0</v>
      </c>
      <c r="CV28" s="15">
        <v>0</v>
      </c>
      <c r="CW28" s="15">
        <v>0</v>
      </c>
      <c r="CX28" s="15">
        <v>0</v>
      </c>
      <c r="CY28" s="17">
        <v>0</v>
      </c>
      <c r="CZ28" s="15">
        <v>0</v>
      </c>
      <c r="DA28" s="15">
        <v>0</v>
      </c>
      <c r="DB28" s="15">
        <v>0</v>
      </c>
      <c r="DC28" s="15">
        <v>0</v>
      </c>
      <c r="DD28" s="17">
        <v>0</v>
      </c>
      <c r="DE28" s="15">
        <v>0</v>
      </c>
      <c r="DF28" s="15">
        <v>0</v>
      </c>
      <c r="DG28" s="15">
        <v>0</v>
      </c>
      <c r="DH28" s="17">
        <v>0</v>
      </c>
      <c r="DI28" s="15">
        <v>0</v>
      </c>
      <c r="DJ28" s="15">
        <v>0</v>
      </c>
      <c r="DK28" s="15">
        <v>0</v>
      </c>
      <c r="DL28" s="15">
        <v>0</v>
      </c>
      <c r="DM28" s="15">
        <v>0</v>
      </c>
      <c r="DN28" s="17">
        <v>0</v>
      </c>
      <c r="DO28" s="15">
        <v>0</v>
      </c>
      <c r="DP28" s="15">
        <v>0</v>
      </c>
      <c r="DQ28" s="15">
        <v>0</v>
      </c>
      <c r="DR28" s="15">
        <v>0</v>
      </c>
      <c r="DS28" s="17">
        <v>0</v>
      </c>
      <c r="DT28" s="15">
        <v>0</v>
      </c>
      <c r="DU28" s="15">
        <v>0</v>
      </c>
      <c r="DV28" s="15">
        <v>0</v>
      </c>
      <c r="DW28" s="15">
        <v>0</v>
      </c>
      <c r="DX28" s="17">
        <v>0</v>
      </c>
      <c r="DY28" s="15">
        <v>0</v>
      </c>
      <c r="DZ28" s="15">
        <v>0</v>
      </c>
      <c r="EA28" s="15">
        <v>0</v>
      </c>
      <c r="EB28" s="41">
        <v>0</v>
      </c>
      <c r="EC28" s="17">
        <v>0</v>
      </c>
      <c r="ED28" s="42"/>
      <c r="EE28" s="15"/>
    </row>
    <row r="29" spans="1:135" ht="12.75">
      <c r="A29" s="40">
        <v>43860</v>
      </c>
      <c r="B29" s="15">
        <v>0</v>
      </c>
      <c r="C29" s="15">
        <v>0</v>
      </c>
      <c r="D29" s="15">
        <v>0</v>
      </c>
      <c r="E29" s="15">
        <f t="shared" ref="E29:G29" si="24">B29-C29-D29</f>
        <v>0</v>
      </c>
      <c r="F29" s="15">
        <f t="shared" si="24"/>
        <v>0</v>
      </c>
      <c r="G29" s="15">
        <f t="shared" si="24"/>
        <v>0</v>
      </c>
      <c r="H29" s="15">
        <f t="shared" si="1"/>
        <v>0</v>
      </c>
      <c r="I29" s="15">
        <v>0</v>
      </c>
      <c r="J29" s="15">
        <v>0</v>
      </c>
      <c r="K29" s="17">
        <v>0</v>
      </c>
      <c r="L29" s="15">
        <v>0</v>
      </c>
      <c r="M29" s="15">
        <v>0</v>
      </c>
      <c r="N29" s="17">
        <v>0</v>
      </c>
      <c r="O29" s="15">
        <v>0</v>
      </c>
      <c r="P29" s="15">
        <v>0</v>
      </c>
      <c r="Q29" s="15">
        <v>0</v>
      </c>
      <c r="R29" s="15">
        <v>0</v>
      </c>
      <c r="S29" s="15">
        <v>0</v>
      </c>
      <c r="T29" s="17">
        <v>0</v>
      </c>
      <c r="U29" s="15">
        <v>0</v>
      </c>
      <c r="V29" s="15">
        <v>0</v>
      </c>
      <c r="W29" s="15">
        <v>0</v>
      </c>
      <c r="X29" s="15">
        <v>0</v>
      </c>
      <c r="Y29" s="17">
        <v>0</v>
      </c>
      <c r="Z29" s="15">
        <v>0</v>
      </c>
      <c r="AA29" s="15">
        <v>0</v>
      </c>
      <c r="AB29" s="15">
        <v>0</v>
      </c>
      <c r="AC29" s="15">
        <v>0</v>
      </c>
      <c r="AD29" s="17">
        <v>0</v>
      </c>
      <c r="AE29" s="15">
        <v>0</v>
      </c>
      <c r="AF29" s="15">
        <v>0</v>
      </c>
      <c r="AG29" s="15">
        <v>0</v>
      </c>
      <c r="AH29" s="15">
        <v>0</v>
      </c>
      <c r="AI29" s="15">
        <v>0</v>
      </c>
      <c r="AJ29" s="17">
        <v>0</v>
      </c>
      <c r="AK29" s="15">
        <v>0</v>
      </c>
      <c r="AL29" s="15">
        <v>0</v>
      </c>
      <c r="AM29" s="15">
        <v>0</v>
      </c>
      <c r="AN29" s="15">
        <v>0</v>
      </c>
      <c r="AO29" s="17">
        <v>0</v>
      </c>
      <c r="AP29" s="15">
        <v>0</v>
      </c>
      <c r="AQ29" s="15">
        <v>0</v>
      </c>
      <c r="AR29" s="15">
        <v>0</v>
      </c>
      <c r="AS29" s="15">
        <v>0</v>
      </c>
      <c r="AT29" s="15"/>
      <c r="AU29" s="17">
        <v>0</v>
      </c>
      <c r="AV29" s="15">
        <v>0</v>
      </c>
      <c r="AW29" s="15">
        <v>0</v>
      </c>
      <c r="AX29" s="15">
        <v>0</v>
      </c>
      <c r="AY29" s="17">
        <v>0</v>
      </c>
      <c r="AZ29" s="15">
        <v>0</v>
      </c>
      <c r="BA29" s="15">
        <v>0</v>
      </c>
      <c r="BB29" s="15">
        <v>0</v>
      </c>
      <c r="BC29" s="17">
        <v>0</v>
      </c>
      <c r="BD29" s="15">
        <v>0</v>
      </c>
      <c r="BE29" s="15">
        <v>0</v>
      </c>
      <c r="BF29" s="15">
        <v>0</v>
      </c>
      <c r="BG29" s="15">
        <v>0</v>
      </c>
      <c r="BH29" s="17">
        <v>0</v>
      </c>
      <c r="BI29" s="15">
        <v>0</v>
      </c>
      <c r="BJ29" s="15">
        <v>0</v>
      </c>
      <c r="BK29" s="15">
        <v>0</v>
      </c>
      <c r="BL29" s="15">
        <v>0</v>
      </c>
      <c r="BM29" s="17">
        <v>0</v>
      </c>
      <c r="BN29" s="15">
        <v>0</v>
      </c>
      <c r="BO29" s="15">
        <v>0</v>
      </c>
      <c r="BP29" s="15">
        <v>0</v>
      </c>
      <c r="BQ29" s="15">
        <v>0</v>
      </c>
      <c r="BR29" s="15">
        <v>0</v>
      </c>
      <c r="BS29" s="17">
        <v>0</v>
      </c>
      <c r="BT29" s="15">
        <v>0</v>
      </c>
      <c r="BU29" s="15">
        <v>0</v>
      </c>
      <c r="BV29" s="15">
        <v>0</v>
      </c>
      <c r="BW29" s="15">
        <v>0</v>
      </c>
      <c r="BX29" s="17">
        <v>0</v>
      </c>
      <c r="BY29" s="15">
        <v>0</v>
      </c>
      <c r="BZ29" s="15">
        <v>0</v>
      </c>
      <c r="CA29" s="15">
        <v>0</v>
      </c>
      <c r="CB29" s="17">
        <v>0</v>
      </c>
      <c r="CC29" s="15">
        <v>0</v>
      </c>
      <c r="CD29" s="15">
        <v>0</v>
      </c>
      <c r="CE29" s="15">
        <v>0</v>
      </c>
      <c r="CF29" s="15">
        <v>0</v>
      </c>
      <c r="CG29" s="17">
        <v>0</v>
      </c>
      <c r="CH29" s="15">
        <v>0</v>
      </c>
      <c r="CI29" s="15">
        <v>0</v>
      </c>
      <c r="CJ29" s="15">
        <v>0</v>
      </c>
      <c r="CK29" s="15">
        <v>0</v>
      </c>
      <c r="CL29" s="17">
        <v>0</v>
      </c>
      <c r="CM29" s="15">
        <v>0</v>
      </c>
      <c r="CN29" s="15">
        <v>0</v>
      </c>
      <c r="CO29" s="17">
        <v>0</v>
      </c>
      <c r="CP29" s="15">
        <v>0</v>
      </c>
      <c r="CQ29" s="15">
        <v>0</v>
      </c>
      <c r="CR29" s="15">
        <v>0</v>
      </c>
      <c r="CS29" s="17">
        <v>0</v>
      </c>
      <c r="CT29" s="15">
        <v>0</v>
      </c>
      <c r="CU29" s="15">
        <v>0</v>
      </c>
      <c r="CV29" s="15">
        <v>0</v>
      </c>
      <c r="CW29" s="15">
        <v>0</v>
      </c>
      <c r="CX29" s="15">
        <v>0</v>
      </c>
      <c r="CY29" s="17">
        <v>0</v>
      </c>
      <c r="CZ29" s="15">
        <v>0</v>
      </c>
      <c r="DA29" s="15">
        <v>0</v>
      </c>
      <c r="DB29" s="15">
        <v>0</v>
      </c>
      <c r="DC29" s="15">
        <v>0</v>
      </c>
      <c r="DD29" s="17">
        <v>0</v>
      </c>
      <c r="DE29" s="15">
        <v>0</v>
      </c>
      <c r="DF29" s="15">
        <v>0</v>
      </c>
      <c r="DG29" s="15">
        <v>0</v>
      </c>
      <c r="DH29" s="17">
        <v>0</v>
      </c>
      <c r="DI29" s="15">
        <v>0</v>
      </c>
      <c r="DJ29" s="15">
        <v>0</v>
      </c>
      <c r="DK29" s="15">
        <v>0</v>
      </c>
      <c r="DL29" s="15">
        <v>0</v>
      </c>
      <c r="DM29" s="15">
        <v>0</v>
      </c>
      <c r="DN29" s="17">
        <v>0</v>
      </c>
      <c r="DO29" s="15">
        <v>0</v>
      </c>
      <c r="DP29" s="15">
        <v>0</v>
      </c>
      <c r="DQ29" s="15">
        <v>0</v>
      </c>
      <c r="DR29" s="15">
        <v>0</v>
      </c>
      <c r="DS29" s="17">
        <v>0</v>
      </c>
      <c r="DT29" s="15">
        <v>0</v>
      </c>
      <c r="DU29" s="15">
        <v>0</v>
      </c>
      <c r="DV29" s="15">
        <v>0</v>
      </c>
      <c r="DW29" s="15">
        <v>0</v>
      </c>
      <c r="DX29" s="17">
        <v>0</v>
      </c>
      <c r="DY29" s="15">
        <v>0</v>
      </c>
      <c r="DZ29" s="15">
        <v>0</v>
      </c>
      <c r="EA29" s="15">
        <v>0</v>
      </c>
      <c r="EB29" s="63">
        <v>0</v>
      </c>
      <c r="EC29" s="17">
        <v>0</v>
      </c>
      <c r="ED29" s="42"/>
      <c r="EE29" s="15"/>
    </row>
    <row r="30" spans="1:135" ht="12.75">
      <c r="A30" s="81">
        <v>43861</v>
      </c>
      <c r="B30" s="22">
        <v>0</v>
      </c>
      <c r="C30" s="22">
        <v>0</v>
      </c>
      <c r="D30" s="22">
        <v>0</v>
      </c>
      <c r="E30" s="22">
        <f t="shared" ref="E30:G30" si="25">B30-C30-D30</f>
        <v>0</v>
      </c>
      <c r="F30" s="22">
        <f t="shared" si="25"/>
        <v>0</v>
      </c>
      <c r="G30" s="22">
        <f t="shared" si="25"/>
        <v>0</v>
      </c>
      <c r="H30" s="22">
        <f t="shared" si="1"/>
        <v>0</v>
      </c>
      <c r="I30" s="22">
        <v>0</v>
      </c>
      <c r="J30" s="22">
        <v>0</v>
      </c>
      <c r="K30" s="24">
        <v>0</v>
      </c>
      <c r="L30" s="22">
        <v>0</v>
      </c>
      <c r="M30" s="22">
        <v>0</v>
      </c>
      <c r="N30" s="24">
        <v>0</v>
      </c>
      <c r="O30" s="22">
        <v>0</v>
      </c>
      <c r="P30" s="22">
        <v>0</v>
      </c>
      <c r="Q30" s="22">
        <v>0</v>
      </c>
      <c r="R30" s="22">
        <v>0</v>
      </c>
      <c r="S30" s="22">
        <v>0</v>
      </c>
      <c r="T30" s="24">
        <v>0</v>
      </c>
      <c r="U30" s="22">
        <v>0</v>
      </c>
      <c r="V30" s="22">
        <v>0</v>
      </c>
      <c r="W30" s="22">
        <v>0</v>
      </c>
      <c r="X30" s="22">
        <v>0</v>
      </c>
      <c r="Y30" s="24">
        <v>0</v>
      </c>
      <c r="Z30" s="22">
        <v>0</v>
      </c>
      <c r="AA30" s="22">
        <v>0</v>
      </c>
      <c r="AB30" s="22">
        <v>0</v>
      </c>
      <c r="AC30" s="22">
        <v>0</v>
      </c>
      <c r="AD30" s="24">
        <v>0</v>
      </c>
      <c r="AE30" s="22">
        <v>0</v>
      </c>
      <c r="AF30" s="22">
        <v>0</v>
      </c>
      <c r="AG30" s="22">
        <v>0</v>
      </c>
      <c r="AH30" s="22">
        <v>0</v>
      </c>
      <c r="AI30" s="22">
        <v>0</v>
      </c>
      <c r="AJ30" s="24">
        <v>0</v>
      </c>
      <c r="AK30" s="22">
        <v>0</v>
      </c>
      <c r="AL30" s="22">
        <v>0</v>
      </c>
      <c r="AM30" s="22">
        <v>0</v>
      </c>
      <c r="AN30" s="22">
        <v>0</v>
      </c>
      <c r="AO30" s="24">
        <v>0</v>
      </c>
      <c r="AP30" s="22">
        <v>0</v>
      </c>
      <c r="AQ30" s="22">
        <v>0</v>
      </c>
      <c r="AR30" s="22">
        <v>0</v>
      </c>
      <c r="AS30" s="15">
        <v>0</v>
      </c>
      <c r="AT30" s="22"/>
      <c r="AU30" s="24">
        <v>0</v>
      </c>
      <c r="AV30" s="22">
        <v>0</v>
      </c>
      <c r="AW30" s="22">
        <v>0</v>
      </c>
      <c r="AX30" s="15">
        <v>0</v>
      </c>
      <c r="AY30" s="24">
        <v>0</v>
      </c>
      <c r="AZ30" s="22">
        <v>0</v>
      </c>
      <c r="BA30" s="22">
        <v>0</v>
      </c>
      <c r="BB30" s="15">
        <v>0</v>
      </c>
      <c r="BC30" s="24">
        <v>0</v>
      </c>
      <c r="BD30" s="22">
        <v>0</v>
      </c>
      <c r="BE30" s="22">
        <v>0</v>
      </c>
      <c r="BF30" s="15">
        <v>0</v>
      </c>
      <c r="BG30" s="15">
        <v>0</v>
      </c>
      <c r="BH30" s="24">
        <v>0</v>
      </c>
      <c r="BI30" s="22">
        <v>0</v>
      </c>
      <c r="BJ30" s="22">
        <v>0</v>
      </c>
      <c r="BK30" s="22">
        <v>0</v>
      </c>
      <c r="BL30" s="22">
        <v>0</v>
      </c>
      <c r="BM30" s="24">
        <v>0</v>
      </c>
      <c r="BN30" s="22">
        <v>0</v>
      </c>
      <c r="BO30" s="22">
        <v>0</v>
      </c>
      <c r="BP30" s="22">
        <v>0</v>
      </c>
      <c r="BQ30" s="22">
        <v>0</v>
      </c>
      <c r="BR30" s="22">
        <v>0</v>
      </c>
      <c r="BS30" s="24">
        <v>0</v>
      </c>
      <c r="BT30" s="22">
        <v>0</v>
      </c>
      <c r="BU30" s="22">
        <v>0</v>
      </c>
      <c r="BV30" s="22">
        <v>0</v>
      </c>
      <c r="BW30" s="22">
        <v>0</v>
      </c>
      <c r="BX30" s="24">
        <v>0</v>
      </c>
      <c r="BY30" s="22">
        <v>0</v>
      </c>
      <c r="BZ30" s="22">
        <v>0</v>
      </c>
      <c r="CA30" s="22">
        <v>0</v>
      </c>
      <c r="CB30" s="24">
        <v>0</v>
      </c>
      <c r="CC30" s="22">
        <v>0</v>
      </c>
      <c r="CD30" s="22">
        <v>0</v>
      </c>
      <c r="CE30" s="22">
        <v>0</v>
      </c>
      <c r="CF30" s="22">
        <v>0</v>
      </c>
      <c r="CG30" s="24">
        <v>0</v>
      </c>
      <c r="CH30" s="22">
        <v>0</v>
      </c>
      <c r="CI30" s="22">
        <v>0</v>
      </c>
      <c r="CJ30" s="22">
        <v>0</v>
      </c>
      <c r="CK30" s="22">
        <v>0</v>
      </c>
      <c r="CL30" s="24">
        <v>0</v>
      </c>
      <c r="CM30" s="22">
        <v>0</v>
      </c>
      <c r="CN30" s="22">
        <v>0</v>
      </c>
      <c r="CO30" s="24">
        <v>0</v>
      </c>
      <c r="CP30" s="22">
        <v>0</v>
      </c>
      <c r="CQ30" s="22">
        <v>0</v>
      </c>
      <c r="CR30" s="22">
        <v>0</v>
      </c>
      <c r="CS30" s="24">
        <v>0</v>
      </c>
      <c r="CT30" s="22">
        <v>0</v>
      </c>
      <c r="CU30" s="22">
        <v>0</v>
      </c>
      <c r="CV30" s="22">
        <v>0</v>
      </c>
      <c r="CW30" s="22">
        <v>0</v>
      </c>
      <c r="CX30" s="22">
        <v>0</v>
      </c>
      <c r="CY30" s="24">
        <v>0</v>
      </c>
      <c r="CZ30" s="22">
        <v>0</v>
      </c>
      <c r="DA30" s="22">
        <v>0</v>
      </c>
      <c r="DB30" s="22">
        <v>0</v>
      </c>
      <c r="DC30" s="22">
        <v>0</v>
      </c>
      <c r="DD30" s="24">
        <v>0</v>
      </c>
      <c r="DE30" s="22">
        <v>0</v>
      </c>
      <c r="DF30" s="22">
        <v>0</v>
      </c>
      <c r="DG30" s="22">
        <v>0</v>
      </c>
      <c r="DH30" s="24">
        <v>0</v>
      </c>
      <c r="DI30" s="22">
        <v>0</v>
      </c>
      <c r="DJ30" s="22">
        <v>0</v>
      </c>
      <c r="DK30" s="22">
        <v>0</v>
      </c>
      <c r="DL30" s="22">
        <v>0</v>
      </c>
      <c r="DM30" s="22">
        <v>0</v>
      </c>
      <c r="DN30" s="24">
        <v>0</v>
      </c>
      <c r="DO30" s="22">
        <v>0</v>
      </c>
      <c r="DP30" s="22">
        <v>0</v>
      </c>
      <c r="DQ30" s="22">
        <v>0</v>
      </c>
      <c r="DR30" s="22">
        <v>0</v>
      </c>
      <c r="DS30" s="24">
        <v>0</v>
      </c>
      <c r="DT30" s="22">
        <v>0</v>
      </c>
      <c r="DU30" s="22">
        <v>0</v>
      </c>
      <c r="DV30" s="22">
        <v>0</v>
      </c>
      <c r="DW30" s="22">
        <v>0</v>
      </c>
      <c r="DX30" s="24">
        <v>0</v>
      </c>
      <c r="DY30" s="22">
        <v>0</v>
      </c>
      <c r="DZ30" s="22">
        <v>0</v>
      </c>
      <c r="EA30" s="22">
        <v>0</v>
      </c>
      <c r="EB30" s="61">
        <v>0</v>
      </c>
      <c r="EC30" s="24">
        <v>0</v>
      </c>
      <c r="ED30" s="42"/>
      <c r="EE30" s="15"/>
    </row>
    <row r="31" spans="1:135" ht="12.75">
      <c r="A31" s="40">
        <v>43862</v>
      </c>
      <c r="B31" s="15">
        <v>0</v>
      </c>
      <c r="C31" s="15">
        <v>0</v>
      </c>
      <c r="D31" s="15">
        <v>0</v>
      </c>
      <c r="E31" s="15">
        <f t="shared" ref="E31:G31" si="26">B31-C31-D31</f>
        <v>0</v>
      </c>
      <c r="F31" s="15">
        <f t="shared" si="26"/>
        <v>0</v>
      </c>
      <c r="G31" s="15">
        <f t="shared" si="26"/>
        <v>0</v>
      </c>
      <c r="H31" s="15">
        <f t="shared" si="1"/>
        <v>0</v>
      </c>
      <c r="I31" s="15">
        <v>0</v>
      </c>
      <c r="J31" s="15">
        <v>0</v>
      </c>
      <c r="K31" s="17">
        <v>0</v>
      </c>
      <c r="L31" s="15">
        <v>0</v>
      </c>
      <c r="M31" s="15">
        <v>0</v>
      </c>
      <c r="N31" s="17">
        <v>0</v>
      </c>
      <c r="O31" s="15">
        <v>0</v>
      </c>
      <c r="P31" s="15">
        <v>0</v>
      </c>
      <c r="Q31" s="15">
        <v>0</v>
      </c>
      <c r="R31" s="15">
        <v>0</v>
      </c>
      <c r="S31" s="15">
        <v>0</v>
      </c>
      <c r="T31" s="17">
        <v>0</v>
      </c>
      <c r="U31" s="15">
        <v>0</v>
      </c>
      <c r="V31" s="15">
        <v>0</v>
      </c>
      <c r="W31" s="15">
        <v>0</v>
      </c>
      <c r="X31" s="15">
        <v>0</v>
      </c>
      <c r="Y31" s="17">
        <v>0</v>
      </c>
      <c r="Z31" s="15">
        <v>0</v>
      </c>
      <c r="AA31" s="15">
        <v>0</v>
      </c>
      <c r="AB31" s="15">
        <v>0</v>
      </c>
      <c r="AC31" s="15">
        <v>0</v>
      </c>
      <c r="AD31" s="17">
        <v>0</v>
      </c>
      <c r="AE31" s="15">
        <v>0</v>
      </c>
      <c r="AF31" s="15">
        <v>0</v>
      </c>
      <c r="AG31" s="15">
        <v>0</v>
      </c>
      <c r="AH31" s="15">
        <v>0</v>
      </c>
      <c r="AI31" s="15">
        <v>0</v>
      </c>
      <c r="AJ31" s="17">
        <v>0</v>
      </c>
      <c r="AK31" s="15">
        <v>0</v>
      </c>
      <c r="AL31" s="15">
        <v>0</v>
      </c>
      <c r="AM31" s="15">
        <v>0</v>
      </c>
      <c r="AN31" s="15">
        <v>0</v>
      </c>
      <c r="AO31" s="17">
        <v>0</v>
      </c>
      <c r="AP31" s="15">
        <v>0</v>
      </c>
      <c r="AQ31" s="15">
        <v>0</v>
      </c>
      <c r="AR31" s="15">
        <v>0</v>
      </c>
      <c r="AS31" s="15">
        <v>0</v>
      </c>
      <c r="AT31" s="15"/>
      <c r="AU31" s="17">
        <v>0</v>
      </c>
      <c r="AV31" s="15">
        <v>0</v>
      </c>
      <c r="AW31" s="15">
        <v>0</v>
      </c>
      <c r="AX31" s="15">
        <v>0</v>
      </c>
      <c r="AY31" s="17">
        <v>0</v>
      </c>
      <c r="AZ31" s="15">
        <v>0</v>
      </c>
      <c r="BA31" s="15">
        <v>0</v>
      </c>
      <c r="BB31" s="15">
        <v>0</v>
      </c>
      <c r="BC31" s="17">
        <v>0</v>
      </c>
      <c r="BD31" s="15">
        <v>0</v>
      </c>
      <c r="BE31" s="15">
        <v>0</v>
      </c>
      <c r="BF31" s="15">
        <v>0</v>
      </c>
      <c r="BG31" s="15">
        <v>0</v>
      </c>
      <c r="BH31" s="17">
        <v>0</v>
      </c>
      <c r="BI31" s="15">
        <v>0</v>
      </c>
      <c r="BJ31" s="15">
        <v>0</v>
      </c>
      <c r="BK31" s="15">
        <v>0</v>
      </c>
      <c r="BL31" s="15">
        <v>0</v>
      </c>
      <c r="BM31" s="17">
        <v>0</v>
      </c>
      <c r="BN31" s="15">
        <v>0</v>
      </c>
      <c r="BO31" s="15">
        <v>0</v>
      </c>
      <c r="BP31" s="15">
        <v>0</v>
      </c>
      <c r="BQ31" s="15">
        <v>0</v>
      </c>
      <c r="BR31" s="15">
        <v>0</v>
      </c>
      <c r="BS31" s="17">
        <v>0</v>
      </c>
      <c r="BT31" s="15">
        <v>0</v>
      </c>
      <c r="BU31" s="15">
        <v>0</v>
      </c>
      <c r="BV31" s="15">
        <v>0</v>
      </c>
      <c r="BW31" s="15">
        <v>0</v>
      </c>
      <c r="BX31" s="17">
        <v>0</v>
      </c>
      <c r="BY31" s="15">
        <v>0</v>
      </c>
      <c r="BZ31" s="15">
        <v>0</v>
      </c>
      <c r="CA31" s="15">
        <v>0</v>
      </c>
      <c r="CB31" s="17">
        <v>0</v>
      </c>
      <c r="CC31" s="15">
        <v>0</v>
      </c>
      <c r="CD31" s="15">
        <v>0</v>
      </c>
      <c r="CE31" s="15">
        <v>0</v>
      </c>
      <c r="CF31" s="15">
        <v>0</v>
      </c>
      <c r="CG31" s="17">
        <v>0</v>
      </c>
      <c r="CH31" s="15">
        <v>0</v>
      </c>
      <c r="CI31" s="15">
        <v>0</v>
      </c>
      <c r="CJ31" s="15">
        <v>0</v>
      </c>
      <c r="CK31" s="15">
        <v>0</v>
      </c>
      <c r="CL31" s="17">
        <v>0</v>
      </c>
      <c r="CM31" s="15">
        <v>0</v>
      </c>
      <c r="CN31" s="15">
        <v>0</v>
      </c>
      <c r="CO31" s="17">
        <v>0</v>
      </c>
      <c r="CP31" s="15">
        <v>0</v>
      </c>
      <c r="CQ31" s="15">
        <v>0</v>
      </c>
      <c r="CR31" s="15">
        <v>0</v>
      </c>
      <c r="CS31" s="17">
        <v>0</v>
      </c>
      <c r="CT31" s="15">
        <v>0</v>
      </c>
      <c r="CU31" s="15">
        <v>0</v>
      </c>
      <c r="CV31" s="15">
        <v>0</v>
      </c>
      <c r="CW31" s="15">
        <v>0</v>
      </c>
      <c r="CX31" s="15">
        <v>0</v>
      </c>
      <c r="CY31" s="17">
        <v>0</v>
      </c>
      <c r="CZ31" s="15">
        <v>0</v>
      </c>
      <c r="DA31" s="15">
        <v>0</v>
      </c>
      <c r="DB31" s="15">
        <v>0</v>
      </c>
      <c r="DC31" s="15">
        <v>0</v>
      </c>
      <c r="DD31" s="17">
        <v>0</v>
      </c>
      <c r="DE31" s="15">
        <v>0</v>
      </c>
      <c r="DF31" s="15">
        <v>0</v>
      </c>
      <c r="DG31" s="15">
        <v>0</v>
      </c>
      <c r="DH31" s="17">
        <v>0</v>
      </c>
      <c r="DI31" s="15">
        <v>0</v>
      </c>
      <c r="DJ31" s="15">
        <v>0</v>
      </c>
      <c r="DK31" s="15">
        <v>0</v>
      </c>
      <c r="DL31" s="15">
        <v>0</v>
      </c>
      <c r="DM31" s="15">
        <v>0</v>
      </c>
      <c r="DN31" s="17">
        <v>0</v>
      </c>
      <c r="DO31" s="15">
        <v>0</v>
      </c>
      <c r="DP31" s="15">
        <v>0</v>
      </c>
      <c r="DQ31" s="15">
        <v>0</v>
      </c>
      <c r="DR31" s="15">
        <v>0</v>
      </c>
      <c r="DS31" s="17">
        <v>0</v>
      </c>
      <c r="DT31" s="15">
        <v>0</v>
      </c>
      <c r="DU31" s="15">
        <v>0</v>
      </c>
      <c r="DV31" s="15">
        <v>0</v>
      </c>
      <c r="DW31" s="15">
        <v>0</v>
      </c>
      <c r="DX31" s="17">
        <v>0</v>
      </c>
      <c r="DY31" s="15">
        <v>0</v>
      </c>
      <c r="DZ31" s="15">
        <v>0</v>
      </c>
      <c r="EA31" s="15">
        <v>0</v>
      </c>
      <c r="EB31" s="63">
        <v>0</v>
      </c>
      <c r="EC31" s="17">
        <v>0</v>
      </c>
      <c r="ED31" s="42"/>
      <c r="EE31" s="15"/>
    </row>
    <row r="32" spans="1:135" ht="12.75">
      <c r="A32" s="40">
        <v>43863</v>
      </c>
      <c r="B32" s="15">
        <v>0</v>
      </c>
      <c r="C32" s="15">
        <v>0</v>
      </c>
      <c r="D32" s="15">
        <v>0</v>
      </c>
      <c r="E32" s="15">
        <f t="shared" ref="E32:G32" si="27">B32-C32-D32</f>
        <v>0</v>
      </c>
      <c r="F32" s="15">
        <f t="shared" si="27"/>
        <v>0</v>
      </c>
      <c r="G32" s="15">
        <f t="shared" si="27"/>
        <v>0</v>
      </c>
      <c r="H32" s="15">
        <f t="shared" si="1"/>
        <v>0</v>
      </c>
      <c r="I32" s="15">
        <v>0</v>
      </c>
      <c r="J32" s="15">
        <v>0</v>
      </c>
      <c r="K32" s="17">
        <v>0</v>
      </c>
      <c r="L32" s="15">
        <v>0</v>
      </c>
      <c r="M32" s="15">
        <v>0</v>
      </c>
      <c r="N32" s="17">
        <v>0</v>
      </c>
      <c r="O32" s="15">
        <v>0</v>
      </c>
      <c r="P32" s="15">
        <v>0</v>
      </c>
      <c r="Q32" s="15">
        <v>0</v>
      </c>
      <c r="R32" s="15">
        <v>0</v>
      </c>
      <c r="S32" s="15">
        <v>0</v>
      </c>
      <c r="T32" s="17">
        <v>0</v>
      </c>
      <c r="U32" s="15">
        <v>0</v>
      </c>
      <c r="V32" s="15">
        <v>0</v>
      </c>
      <c r="W32" s="15">
        <v>0</v>
      </c>
      <c r="X32" s="15">
        <v>0</v>
      </c>
      <c r="Y32" s="17">
        <v>0</v>
      </c>
      <c r="Z32" s="15">
        <v>0</v>
      </c>
      <c r="AA32" s="15">
        <v>0</v>
      </c>
      <c r="AB32" s="15">
        <v>0</v>
      </c>
      <c r="AC32" s="15">
        <v>0</v>
      </c>
      <c r="AD32" s="17">
        <v>0</v>
      </c>
      <c r="AE32" s="15">
        <v>0</v>
      </c>
      <c r="AF32" s="15">
        <v>0</v>
      </c>
      <c r="AG32" s="15">
        <v>0</v>
      </c>
      <c r="AH32" s="15">
        <v>0</v>
      </c>
      <c r="AI32" s="15">
        <v>0</v>
      </c>
      <c r="AJ32" s="17">
        <v>0</v>
      </c>
      <c r="AK32" s="15">
        <v>0</v>
      </c>
      <c r="AL32" s="15">
        <v>0</v>
      </c>
      <c r="AM32" s="15">
        <v>0</v>
      </c>
      <c r="AN32" s="15">
        <v>0</v>
      </c>
      <c r="AO32" s="17">
        <v>0</v>
      </c>
      <c r="AP32" s="15">
        <v>0</v>
      </c>
      <c r="AQ32" s="15">
        <v>0</v>
      </c>
      <c r="AR32" s="15">
        <v>0</v>
      </c>
      <c r="AS32" s="15">
        <v>0</v>
      </c>
      <c r="AT32" s="15"/>
      <c r="AU32" s="17">
        <v>0</v>
      </c>
      <c r="AV32" s="15">
        <v>0</v>
      </c>
      <c r="AW32" s="15">
        <v>0</v>
      </c>
      <c r="AX32" s="15">
        <v>0</v>
      </c>
      <c r="AY32" s="17">
        <v>0</v>
      </c>
      <c r="AZ32" s="15">
        <v>0</v>
      </c>
      <c r="BA32" s="15">
        <v>0</v>
      </c>
      <c r="BB32" s="15">
        <v>0</v>
      </c>
      <c r="BC32" s="17">
        <v>0</v>
      </c>
      <c r="BD32" s="15">
        <v>0</v>
      </c>
      <c r="BE32" s="15">
        <v>0</v>
      </c>
      <c r="BF32" s="15">
        <v>0</v>
      </c>
      <c r="BG32" s="15">
        <v>0</v>
      </c>
      <c r="BH32" s="17">
        <v>0</v>
      </c>
      <c r="BI32" s="15">
        <v>0</v>
      </c>
      <c r="BJ32" s="15">
        <v>0</v>
      </c>
      <c r="BK32" s="15">
        <v>0</v>
      </c>
      <c r="BL32" s="15">
        <v>0</v>
      </c>
      <c r="BM32" s="17">
        <v>0</v>
      </c>
      <c r="BN32" s="15">
        <v>0</v>
      </c>
      <c r="BO32" s="15">
        <v>0</v>
      </c>
      <c r="BP32" s="15">
        <v>0</v>
      </c>
      <c r="BQ32" s="15">
        <v>0</v>
      </c>
      <c r="BR32" s="15">
        <v>0</v>
      </c>
      <c r="BS32" s="17">
        <v>0</v>
      </c>
      <c r="BT32" s="15">
        <v>0</v>
      </c>
      <c r="BU32" s="15">
        <v>0</v>
      </c>
      <c r="BV32" s="15">
        <v>0</v>
      </c>
      <c r="BW32" s="15">
        <v>0</v>
      </c>
      <c r="BX32" s="17">
        <v>0</v>
      </c>
      <c r="BY32" s="15">
        <v>0</v>
      </c>
      <c r="BZ32" s="15">
        <v>0</v>
      </c>
      <c r="CA32" s="15">
        <v>0</v>
      </c>
      <c r="CB32" s="17">
        <v>0</v>
      </c>
      <c r="CC32" s="15">
        <v>0</v>
      </c>
      <c r="CD32" s="15">
        <v>0</v>
      </c>
      <c r="CE32" s="15">
        <v>0</v>
      </c>
      <c r="CF32" s="15">
        <v>0</v>
      </c>
      <c r="CG32" s="17">
        <v>0</v>
      </c>
      <c r="CH32" s="15">
        <v>0</v>
      </c>
      <c r="CI32" s="15">
        <v>0</v>
      </c>
      <c r="CJ32" s="15">
        <v>0</v>
      </c>
      <c r="CK32" s="15">
        <v>0</v>
      </c>
      <c r="CL32" s="17">
        <v>0</v>
      </c>
      <c r="CM32" s="15">
        <v>0</v>
      </c>
      <c r="CN32" s="15">
        <v>0</v>
      </c>
      <c r="CO32" s="17">
        <v>0</v>
      </c>
      <c r="CP32" s="15">
        <v>0</v>
      </c>
      <c r="CQ32" s="15">
        <v>0</v>
      </c>
      <c r="CR32" s="15">
        <v>0</v>
      </c>
      <c r="CS32" s="17">
        <v>0</v>
      </c>
      <c r="CT32" s="15">
        <v>0</v>
      </c>
      <c r="CU32" s="15">
        <v>0</v>
      </c>
      <c r="CV32" s="15">
        <v>0</v>
      </c>
      <c r="CW32" s="15">
        <v>0</v>
      </c>
      <c r="CX32" s="15">
        <v>0</v>
      </c>
      <c r="CY32" s="17">
        <v>0</v>
      </c>
      <c r="CZ32" s="15">
        <v>0</v>
      </c>
      <c r="DA32" s="15">
        <v>0</v>
      </c>
      <c r="DB32" s="15">
        <v>0</v>
      </c>
      <c r="DC32" s="15">
        <v>0</v>
      </c>
      <c r="DD32" s="17">
        <v>0</v>
      </c>
      <c r="DE32" s="15">
        <v>0</v>
      </c>
      <c r="DF32" s="15">
        <v>0</v>
      </c>
      <c r="DG32" s="15">
        <v>0</v>
      </c>
      <c r="DH32" s="17">
        <v>0</v>
      </c>
      <c r="DI32" s="15">
        <v>0</v>
      </c>
      <c r="DJ32" s="15">
        <v>0</v>
      </c>
      <c r="DK32" s="15">
        <v>0</v>
      </c>
      <c r="DL32" s="15">
        <v>0</v>
      </c>
      <c r="DM32" s="15">
        <v>0</v>
      </c>
      <c r="DN32" s="17">
        <v>0</v>
      </c>
      <c r="DO32" s="15">
        <v>0</v>
      </c>
      <c r="DP32" s="15">
        <v>0</v>
      </c>
      <c r="DQ32" s="15">
        <v>0</v>
      </c>
      <c r="DR32" s="15">
        <v>0</v>
      </c>
      <c r="DS32" s="17">
        <v>0</v>
      </c>
      <c r="DT32" s="15">
        <v>0</v>
      </c>
      <c r="DU32" s="15">
        <v>0</v>
      </c>
      <c r="DV32" s="15">
        <v>0</v>
      </c>
      <c r="DW32" s="15">
        <v>0</v>
      </c>
      <c r="DX32" s="17">
        <v>0</v>
      </c>
      <c r="DY32" s="15">
        <v>0</v>
      </c>
      <c r="DZ32" s="15">
        <v>0</v>
      </c>
      <c r="EA32" s="15">
        <v>0</v>
      </c>
      <c r="EB32" s="41">
        <v>0</v>
      </c>
      <c r="EC32" s="17">
        <v>0</v>
      </c>
      <c r="ED32" s="42"/>
      <c r="EE32" s="15"/>
    </row>
    <row r="33" spans="1:135" ht="12.75">
      <c r="A33" s="40">
        <v>43864</v>
      </c>
      <c r="B33" s="15">
        <v>0</v>
      </c>
      <c r="C33" s="15">
        <v>0</v>
      </c>
      <c r="D33" s="15">
        <v>0</v>
      </c>
      <c r="E33" s="15">
        <f t="shared" ref="E33:G33" si="28">B33-C33-D33</f>
        <v>0</v>
      </c>
      <c r="F33" s="15">
        <f t="shared" si="28"/>
        <v>0</v>
      </c>
      <c r="G33" s="15">
        <f t="shared" si="28"/>
        <v>0</v>
      </c>
      <c r="H33" s="15">
        <f t="shared" si="1"/>
        <v>0</v>
      </c>
      <c r="I33" s="15">
        <v>0</v>
      </c>
      <c r="J33" s="15">
        <v>0</v>
      </c>
      <c r="K33" s="17">
        <v>0</v>
      </c>
      <c r="L33" s="15">
        <v>0</v>
      </c>
      <c r="M33" s="15">
        <v>0</v>
      </c>
      <c r="N33" s="17">
        <v>0</v>
      </c>
      <c r="O33" s="15">
        <v>0</v>
      </c>
      <c r="P33" s="15">
        <v>0</v>
      </c>
      <c r="Q33" s="15">
        <v>0</v>
      </c>
      <c r="R33" s="15">
        <v>0</v>
      </c>
      <c r="S33" s="15">
        <v>0</v>
      </c>
      <c r="T33" s="17">
        <v>0</v>
      </c>
      <c r="U33" s="15">
        <v>0</v>
      </c>
      <c r="V33" s="15">
        <v>0</v>
      </c>
      <c r="W33" s="15">
        <v>0</v>
      </c>
      <c r="X33" s="15">
        <v>0</v>
      </c>
      <c r="Y33" s="17">
        <v>0</v>
      </c>
      <c r="Z33" s="15">
        <v>0</v>
      </c>
      <c r="AA33" s="15">
        <v>0</v>
      </c>
      <c r="AB33" s="15">
        <v>0</v>
      </c>
      <c r="AC33" s="15">
        <v>0</v>
      </c>
      <c r="AD33" s="17">
        <v>0</v>
      </c>
      <c r="AE33" s="15">
        <v>0</v>
      </c>
      <c r="AF33" s="15">
        <v>0</v>
      </c>
      <c r="AG33" s="15">
        <v>0</v>
      </c>
      <c r="AH33" s="15">
        <v>0</v>
      </c>
      <c r="AI33" s="15">
        <v>0</v>
      </c>
      <c r="AJ33" s="17">
        <v>0</v>
      </c>
      <c r="AK33" s="15">
        <v>0</v>
      </c>
      <c r="AL33" s="15">
        <v>0</v>
      </c>
      <c r="AM33" s="15">
        <v>0</v>
      </c>
      <c r="AN33" s="15">
        <v>0</v>
      </c>
      <c r="AO33" s="17">
        <v>0</v>
      </c>
      <c r="AP33" s="15">
        <v>0</v>
      </c>
      <c r="AQ33" s="15">
        <v>0</v>
      </c>
      <c r="AR33" s="15">
        <v>0</v>
      </c>
      <c r="AS33" s="15">
        <v>0</v>
      </c>
      <c r="AT33" s="15"/>
      <c r="AU33" s="17">
        <v>0</v>
      </c>
      <c r="AV33" s="15">
        <v>0</v>
      </c>
      <c r="AW33" s="15">
        <v>0</v>
      </c>
      <c r="AX33" s="15">
        <v>0</v>
      </c>
      <c r="AY33" s="17">
        <v>0</v>
      </c>
      <c r="AZ33" s="15">
        <v>0</v>
      </c>
      <c r="BA33" s="15">
        <v>0</v>
      </c>
      <c r="BB33" s="15">
        <v>0</v>
      </c>
      <c r="BC33" s="17">
        <v>0</v>
      </c>
      <c r="BD33" s="15">
        <v>0</v>
      </c>
      <c r="BE33" s="15">
        <v>0</v>
      </c>
      <c r="BF33" s="15">
        <v>0</v>
      </c>
      <c r="BG33" s="15">
        <v>0</v>
      </c>
      <c r="BH33" s="17">
        <v>0</v>
      </c>
      <c r="BI33" s="15">
        <v>0</v>
      </c>
      <c r="BJ33" s="15">
        <v>0</v>
      </c>
      <c r="BK33" s="15">
        <v>0</v>
      </c>
      <c r="BL33" s="15">
        <v>0</v>
      </c>
      <c r="BM33" s="17">
        <v>0</v>
      </c>
      <c r="BN33" s="15">
        <v>0</v>
      </c>
      <c r="BO33" s="15">
        <v>0</v>
      </c>
      <c r="BP33" s="15">
        <v>0</v>
      </c>
      <c r="BQ33" s="15">
        <v>0</v>
      </c>
      <c r="BR33" s="15">
        <v>0</v>
      </c>
      <c r="BS33" s="17">
        <v>0</v>
      </c>
      <c r="BT33" s="15">
        <v>0</v>
      </c>
      <c r="BU33" s="15">
        <v>0</v>
      </c>
      <c r="BV33" s="15">
        <v>0</v>
      </c>
      <c r="BW33" s="15">
        <v>0</v>
      </c>
      <c r="BX33" s="17">
        <v>0</v>
      </c>
      <c r="BY33" s="15">
        <v>0</v>
      </c>
      <c r="BZ33" s="15">
        <v>0</v>
      </c>
      <c r="CA33" s="15">
        <v>0</v>
      </c>
      <c r="CB33" s="17">
        <v>0</v>
      </c>
      <c r="CC33" s="15">
        <v>0</v>
      </c>
      <c r="CD33" s="15">
        <v>0</v>
      </c>
      <c r="CE33" s="15">
        <v>0</v>
      </c>
      <c r="CF33" s="15">
        <v>0</v>
      </c>
      <c r="CG33" s="17">
        <v>0</v>
      </c>
      <c r="CH33" s="15">
        <v>0</v>
      </c>
      <c r="CI33" s="15">
        <v>0</v>
      </c>
      <c r="CJ33" s="15">
        <v>0</v>
      </c>
      <c r="CK33" s="15">
        <v>0</v>
      </c>
      <c r="CL33" s="17">
        <v>0</v>
      </c>
      <c r="CM33" s="15">
        <v>0</v>
      </c>
      <c r="CN33" s="15">
        <v>0</v>
      </c>
      <c r="CO33" s="17">
        <v>0</v>
      </c>
      <c r="CP33" s="15">
        <v>0</v>
      </c>
      <c r="CQ33" s="15">
        <v>0</v>
      </c>
      <c r="CR33" s="15">
        <v>0</v>
      </c>
      <c r="CS33" s="17">
        <v>0</v>
      </c>
      <c r="CT33" s="15">
        <v>0</v>
      </c>
      <c r="CU33" s="15">
        <v>0</v>
      </c>
      <c r="CV33" s="15">
        <v>0</v>
      </c>
      <c r="CW33" s="15">
        <v>0</v>
      </c>
      <c r="CX33" s="15">
        <v>0</v>
      </c>
      <c r="CY33" s="17">
        <v>0</v>
      </c>
      <c r="CZ33" s="15">
        <v>0</v>
      </c>
      <c r="DA33" s="15">
        <v>0</v>
      </c>
      <c r="DB33" s="15">
        <v>0</v>
      </c>
      <c r="DC33" s="15">
        <v>0</v>
      </c>
      <c r="DD33" s="17">
        <v>0</v>
      </c>
      <c r="DE33" s="15">
        <v>0</v>
      </c>
      <c r="DF33" s="15">
        <v>0</v>
      </c>
      <c r="DG33" s="15">
        <v>0</v>
      </c>
      <c r="DH33" s="17">
        <v>0</v>
      </c>
      <c r="DI33" s="15">
        <v>0</v>
      </c>
      <c r="DJ33" s="15">
        <v>0</v>
      </c>
      <c r="DK33" s="15">
        <v>0</v>
      </c>
      <c r="DL33" s="15">
        <v>0</v>
      </c>
      <c r="DM33" s="15">
        <v>0</v>
      </c>
      <c r="DN33" s="17">
        <v>0</v>
      </c>
      <c r="DO33" s="15">
        <v>0</v>
      </c>
      <c r="DP33" s="15">
        <v>0</v>
      </c>
      <c r="DQ33" s="15">
        <v>0</v>
      </c>
      <c r="DR33" s="15">
        <v>0</v>
      </c>
      <c r="DS33" s="17">
        <v>0</v>
      </c>
      <c r="DT33" s="15">
        <v>0</v>
      </c>
      <c r="DU33" s="15">
        <v>0</v>
      </c>
      <c r="DV33" s="15">
        <v>0</v>
      </c>
      <c r="DW33" s="15">
        <v>0</v>
      </c>
      <c r="DX33" s="17">
        <v>0</v>
      </c>
      <c r="DY33" s="15">
        <v>0</v>
      </c>
      <c r="DZ33" s="15">
        <v>0</v>
      </c>
      <c r="EA33" s="15">
        <v>0</v>
      </c>
      <c r="EB33" s="63">
        <v>0</v>
      </c>
      <c r="EC33" s="17">
        <v>0</v>
      </c>
      <c r="ED33" s="42"/>
      <c r="EE33" s="15"/>
    </row>
    <row r="34" spans="1:135" ht="12.75">
      <c r="A34" s="40">
        <v>43865</v>
      </c>
      <c r="B34" s="15">
        <v>0</v>
      </c>
      <c r="C34" s="15">
        <v>0</v>
      </c>
      <c r="D34" s="15">
        <v>0</v>
      </c>
      <c r="E34" s="15">
        <f t="shared" ref="E34:G34" si="29">B34-C34-D34</f>
        <v>0</v>
      </c>
      <c r="F34" s="15">
        <f t="shared" si="29"/>
        <v>0</v>
      </c>
      <c r="G34" s="15">
        <f t="shared" si="29"/>
        <v>0</v>
      </c>
      <c r="H34" s="15">
        <f t="shared" si="1"/>
        <v>0</v>
      </c>
      <c r="I34" s="15">
        <v>0</v>
      </c>
      <c r="J34" s="15">
        <v>0</v>
      </c>
      <c r="K34" s="17">
        <v>0</v>
      </c>
      <c r="L34" s="15">
        <v>0</v>
      </c>
      <c r="M34" s="15">
        <v>0</v>
      </c>
      <c r="N34" s="17">
        <v>0</v>
      </c>
      <c r="O34" s="15">
        <v>0</v>
      </c>
      <c r="P34" s="15">
        <v>0</v>
      </c>
      <c r="Q34" s="15">
        <v>0</v>
      </c>
      <c r="R34" s="15">
        <v>0</v>
      </c>
      <c r="S34" s="15">
        <v>0</v>
      </c>
      <c r="T34" s="17">
        <v>0</v>
      </c>
      <c r="U34" s="15">
        <v>0</v>
      </c>
      <c r="V34" s="15">
        <v>0</v>
      </c>
      <c r="W34" s="15">
        <v>0</v>
      </c>
      <c r="X34" s="15">
        <v>0</v>
      </c>
      <c r="Y34" s="17">
        <v>0</v>
      </c>
      <c r="Z34" s="15">
        <v>0</v>
      </c>
      <c r="AA34" s="15">
        <v>0</v>
      </c>
      <c r="AB34" s="15">
        <v>0</v>
      </c>
      <c r="AC34" s="15">
        <v>0</v>
      </c>
      <c r="AD34" s="17">
        <v>0</v>
      </c>
      <c r="AE34" s="15">
        <v>0</v>
      </c>
      <c r="AF34" s="15">
        <v>0</v>
      </c>
      <c r="AG34" s="15">
        <v>0</v>
      </c>
      <c r="AH34" s="15">
        <v>0</v>
      </c>
      <c r="AI34" s="15">
        <v>0</v>
      </c>
      <c r="AJ34" s="17">
        <v>0</v>
      </c>
      <c r="AK34" s="15">
        <v>0</v>
      </c>
      <c r="AL34" s="15">
        <v>0</v>
      </c>
      <c r="AM34" s="15">
        <v>0</v>
      </c>
      <c r="AN34" s="15">
        <v>0</v>
      </c>
      <c r="AO34" s="17">
        <v>0</v>
      </c>
      <c r="AP34" s="15">
        <v>0</v>
      </c>
      <c r="AQ34" s="15">
        <v>0</v>
      </c>
      <c r="AR34" s="15">
        <v>0</v>
      </c>
      <c r="AS34" s="15">
        <v>0</v>
      </c>
      <c r="AT34" s="15"/>
      <c r="AU34" s="17">
        <v>0</v>
      </c>
      <c r="AV34" s="15">
        <v>0</v>
      </c>
      <c r="AW34" s="15">
        <v>0</v>
      </c>
      <c r="AX34" s="15">
        <v>0</v>
      </c>
      <c r="AY34" s="17">
        <v>0</v>
      </c>
      <c r="AZ34" s="15">
        <v>0</v>
      </c>
      <c r="BA34" s="15">
        <v>0</v>
      </c>
      <c r="BB34" s="15">
        <v>0</v>
      </c>
      <c r="BC34" s="17">
        <v>0</v>
      </c>
      <c r="BD34" s="15">
        <v>0</v>
      </c>
      <c r="BE34" s="15">
        <v>0</v>
      </c>
      <c r="BF34" s="15">
        <v>0</v>
      </c>
      <c r="BG34" s="15">
        <v>0</v>
      </c>
      <c r="BH34" s="17">
        <v>0</v>
      </c>
      <c r="BI34" s="15">
        <v>0</v>
      </c>
      <c r="BJ34" s="15">
        <v>0</v>
      </c>
      <c r="BK34" s="15">
        <v>0</v>
      </c>
      <c r="BL34" s="15">
        <v>0</v>
      </c>
      <c r="BM34" s="17">
        <v>0</v>
      </c>
      <c r="BN34" s="15">
        <v>0</v>
      </c>
      <c r="BO34" s="15">
        <v>0</v>
      </c>
      <c r="BP34" s="15">
        <v>0</v>
      </c>
      <c r="BQ34" s="15">
        <v>0</v>
      </c>
      <c r="BR34" s="15">
        <v>0</v>
      </c>
      <c r="BS34" s="17">
        <v>0</v>
      </c>
      <c r="BT34" s="15">
        <v>0</v>
      </c>
      <c r="BU34" s="15">
        <v>0</v>
      </c>
      <c r="BV34" s="15">
        <v>0</v>
      </c>
      <c r="BW34" s="15">
        <v>0</v>
      </c>
      <c r="BX34" s="17">
        <v>0</v>
      </c>
      <c r="BY34" s="15">
        <v>0</v>
      </c>
      <c r="BZ34" s="15">
        <v>0</v>
      </c>
      <c r="CA34" s="15">
        <v>0</v>
      </c>
      <c r="CB34" s="17">
        <v>0</v>
      </c>
      <c r="CC34" s="15">
        <v>0</v>
      </c>
      <c r="CD34" s="15">
        <v>0</v>
      </c>
      <c r="CE34" s="15">
        <v>0</v>
      </c>
      <c r="CF34" s="15">
        <v>0</v>
      </c>
      <c r="CG34" s="17">
        <v>0</v>
      </c>
      <c r="CH34" s="15">
        <v>0</v>
      </c>
      <c r="CI34" s="15">
        <v>0</v>
      </c>
      <c r="CJ34" s="15">
        <v>0</v>
      </c>
      <c r="CK34" s="15">
        <v>0</v>
      </c>
      <c r="CL34" s="17">
        <v>0</v>
      </c>
      <c r="CM34" s="15">
        <v>0</v>
      </c>
      <c r="CN34" s="15">
        <v>0</v>
      </c>
      <c r="CO34" s="17">
        <v>0</v>
      </c>
      <c r="CP34" s="15">
        <v>0</v>
      </c>
      <c r="CQ34" s="15">
        <v>0</v>
      </c>
      <c r="CR34" s="15">
        <v>0</v>
      </c>
      <c r="CS34" s="17">
        <v>0</v>
      </c>
      <c r="CT34" s="15">
        <v>0</v>
      </c>
      <c r="CU34" s="15">
        <v>0</v>
      </c>
      <c r="CV34" s="15">
        <v>0</v>
      </c>
      <c r="CW34" s="15">
        <v>0</v>
      </c>
      <c r="CX34" s="15">
        <v>0</v>
      </c>
      <c r="CY34" s="17">
        <v>0</v>
      </c>
      <c r="CZ34" s="15">
        <v>0</v>
      </c>
      <c r="DA34" s="15">
        <v>0</v>
      </c>
      <c r="DB34" s="15">
        <v>0</v>
      </c>
      <c r="DC34" s="15">
        <v>0</v>
      </c>
      <c r="DD34" s="17">
        <v>0</v>
      </c>
      <c r="DE34" s="15">
        <v>0</v>
      </c>
      <c r="DF34" s="15">
        <v>0</v>
      </c>
      <c r="DG34" s="15">
        <v>0</v>
      </c>
      <c r="DH34" s="17">
        <v>0</v>
      </c>
      <c r="DI34" s="15">
        <v>0</v>
      </c>
      <c r="DJ34" s="15">
        <v>0</v>
      </c>
      <c r="DK34" s="15">
        <v>0</v>
      </c>
      <c r="DL34" s="15">
        <v>0</v>
      </c>
      <c r="DM34" s="15">
        <v>0</v>
      </c>
      <c r="DN34" s="17">
        <v>0</v>
      </c>
      <c r="DO34" s="15">
        <v>0</v>
      </c>
      <c r="DP34" s="15">
        <v>0</v>
      </c>
      <c r="DQ34" s="15">
        <v>0</v>
      </c>
      <c r="DR34" s="15">
        <v>0</v>
      </c>
      <c r="DS34" s="17">
        <v>0</v>
      </c>
      <c r="DT34" s="15">
        <v>0</v>
      </c>
      <c r="DU34" s="15">
        <v>0</v>
      </c>
      <c r="DV34" s="15">
        <v>0</v>
      </c>
      <c r="DW34" s="15">
        <v>0</v>
      </c>
      <c r="DX34" s="17">
        <v>0</v>
      </c>
      <c r="DY34" s="15">
        <v>0</v>
      </c>
      <c r="DZ34" s="15">
        <v>0</v>
      </c>
      <c r="EA34" s="15">
        <v>0</v>
      </c>
      <c r="EB34" s="41">
        <v>0</v>
      </c>
      <c r="EC34" s="17">
        <v>0</v>
      </c>
      <c r="ED34" s="42"/>
      <c r="EE34" s="15"/>
    </row>
    <row r="35" spans="1:135" ht="12.75">
      <c r="A35" s="40">
        <v>43866</v>
      </c>
      <c r="B35" s="15">
        <v>0</v>
      </c>
      <c r="C35" s="15">
        <v>0</v>
      </c>
      <c r="D35" s="15">
        <v>0</v>
      </c>
      <c r="E35" s="15">
        <f t="shared" ref="E35:G35" si="30">B35-C35-D35</f>
        <v>0</v>
      </c>
      <c r="F35" s="15">
        <f t="shared" si="30"/>
        <v>0</v>
      </c>
      <c r="G35" s="15">
        <f t="shared" si="30"/>
        <v>0</v>
      </c>
      <c r="H35" s="15">
        <f t="shared" si="1"/>
        <v>0</v>
      </c>
      <c r="I35" s="15">
        <v>0</v>
      </c>
      <c r="J35" s="15">
        <v>0</v>
      </c>
      <c r="K35" s="17">
        <v>0</v>
      </c>
      <c r="L35" s="15">
        <v>0</v>
      </c>
      <c r="M35" s="15">
        <v>0</v>
      </c>
      <c r="N35" s="17">
        <v>0</v>
      </c>
      <c r="O35" s="15">
        <v>0</v>
      </c>
      <c r="P35" s="15">
        <v>0</v>
      </c>
      <c r="Q35" s="15">
        <v>0</v>
      </c>
      <c r="R35" s="15">
        <v>0</v>
      </c>
      <c r="S35" s="15">
        <v>0</v>
      </c>
      <c r="T35" s="17">
        <v>0</v>
      </c>
      <c r="U35" s="15">
        <v>0</v>
      </c>
      <c r="V35" s="15">
        <v>0</v>
      </c>
      <c r="W35" s="15">
        <v>0</v>
      </c>
      <c r="X35" s="15">
        <v>0</v>
      </c>
      <c r="Y35" s="17">
        <v>0</v>
      </c>
      <c r="Z35" s="15">
        <v>0</v>
      </c>
      <c r="AA35" s="15">
        <v>0</v>
      </c>
      <c r="AB35" s="15">
        <v>0</v>
      </c>
      <c r="AC35" s="15">
        <v>0</v>
      </c>
      <c r="AD35" s="17">
        <v>0</v>
      </c>
      <c r="AE35" s="15">
        <v>0</v>
      </c>
      <c r="AF35" s="15">
        <v>0</v>
      </c>
      <c r="AG35" s="15">
        <v>0</v>
      </c>
      <c r="AH35" s="15">
        <v>0</v>
      </c>
      <c r="AI35" s="15">
        <v>0</v>
      </c>
      <c r="AJ35" s="17">
        <v>0</v>
      </c>
      <c r="AK35" s="15">
        <v>0</v>
      </c>
      <c r="AL35" s="15">
        <v>0</v>
      </c>
      <c r="AM35" s="15">
        <v>0</v>
      </c>
      <c r="AN35" s="15">
        <v>0</v>
      </c>
      <c r="AO35" s="17">
        <v>0</v>
      </c>
      <c r="AP35" s="15">
        <v>0</v>
      </c>
      <c r="AQ35" s="15">
        <v>0</v>
      </c>
      <c r="AR35" s="15">
        <v>0</v>
      </c>
      <c r="AS35" s="15">
        <v>0</v>
      </c>
      <c r="AT35" s="15"/>
      <c r="AU35" s="17">
        <v>0</v>
      </c>
      <c r="AV35" s="15">
        <v>0</v>
      </c>
      <c r="AW35" s="15">
        <v>0</v>
      </c>
      <c r="AX35" s="15">
        <v>0</v>
      </c>
      <c r="AY35" s="17">
        <v>0</v>
      </c>
      <c r="AZ35" s="15">
        <v>0</v>
      </c>
      <c r="BA35" s="15">
        <v>0</v>
      </c>
      <c r="BB35" s="15">
        <v>0</v>
      </c>
      <c r="BC35" s="17">
        <v>0</v>
      </c>
      <c r="BD35" s="15">
        <v>0</v>
      </c>
      <c r="BE35" s="15">
        <v>0</v>
      </c>
      <c r="BF35" s="15">
        <v>0</v>
      </c>
      <c r="BG35" s="15">
        <v>0</v>
      </c>
      <c r="BH35" s="17">
        <v>0</v>
      </c>
      <c r="BI35" s="15">
        <v>0</v>
      </c>
      <c r="BJ35" s="15">
        <v>0</v>
      </c>
      <c r="BK35" s="15">
        <v>0</v>
      </c>
      <c r="BL35" s="15">
        <v>0</v>
      </c>
      <c r="BM35" s="17">
        <v>0</v>
      </c>
      <c r="BN35" s="15">
        <v>0</v>
      </c>
      <c r="BO35" s="15">
        <v>0</v>
      </c>
      <c r="BP35" s="15">
        <v>0</v>
      </c>
      <c r="BQ35" s="15">
        <v>0</v>
      </c>
      <c r="BR35" s="15">
        <v>0</v>
      </c>
      <c r="BS35" s="17">
        <v>0</v>
      </c>
      <c r="BT35" s="15">
        <v>0</v>
      </c>
      <c r="BU35" s="15">
        <v>0</v>
      </c>
      <c r="BV35" s="15">
        <v>0</v>
      </c>
      <c r="BW35" s="15">
        <v>0</v>
      </c>
      <c r="BX35" s="17">
        <v>0</v>
      </c>
      <c r="BY35" s="15">
        <v>0</v>
      </c>
      <c r="BZ35" s="15">
        <v>0</v>
      </c>
      <c r="CA35" s="15">
        <v>0</v>
      </c>
      <c r="CB35" s="17">
        <v>0</v>
      </c>
      <c r="CC35" s="15">
        <v>0</v>
      </c>
      <c r="CD35" s="15">
        <v>0</v>
      </c>
      <c r="CE35" s="15">
        <v>0</v>
      </c>
      <c r="CF35" s="15">
        <v>0</v>
      </c>
      <c r="CG35" s="17">
        <v>0</v>
      </c>
      <c r="CH35" s="15">
        <v>0</v>
      </c>
      <c r="CI35" s="15">
        <v>0</v>
      </c>
      <c r="CJ35" s="15">
        <v>0</v>
      </c>
      <c r="CK35" s="15">
        <v>0</v>
      </c>
      <c r="CL35" s="17">
        <v>0</v>
      </c>
      <c r="CM35" s="15">
        <v>0</v>
      </c>
      <c r="CN35" s="15">
        <v>0</v>
      </c>
      <c r="CO35" s="17">
        <v>0</v>
      </c>
      <c r="CP35" s="15">
        <v>0</v>
      </c>
      <c r="CQ35" s="15">
        <v>0</v>
      </c>
      <c r="CR35" s="15">
        <v>0</v>
      </c>
      <c r="CS35" s="17">
        <v>0</v>
      </c>
      <c r="CT35" s="15">
        <v>0</v>
      </c>
      <c r="CU35" s="15">
        <v>0</v>
      </c>
      <c r="CV35" s="15">
        <v>0</v>
      </c>
      <c r="CW35" s="15">
        <v>0</v>
      </c>
      <c r="CX35" s="15">
        <v>0</v>
      </c>
      <c r="CY35" s="17">
        <v>0</v>
      </c>
      <c r="CZ35" s="15">
        <v>0</v>
      </c>
      <c r="DA35" s="15">
        <v>0</v>
      </c>
      <c r="DB35" s="15">
        <v>0</v>
      </c>
      <c r="DC35" s="15">
        <v>0</v>
      </c>
      <c r="DD35" s="17">
        <v>0</v>
      </c>
      <c r="DE35" s="15">
        <v>0</v>
      </c>
      <c r="DF35" s="15">
        <v>0</v>
      </c>
      <c r="DG35" s="15">
        <v>0</v>
      </c>
      <c r="DH35" s="17">
        <v>0</v>
      </c>
      <c r="DI35" s="15">
        <v>0</v>
      </c>
      <c r="DJ35" s="15">
        <v>0</v>
      </c>
      <c r="DK35" s="15">
        <v>0</v>
      </c>
      <c r="DL35" s="15">
        <v>0</v>
      </c>
      <c r="DM35" s="15">
        <v>0</v>
      </c>
      <c r="DN35" s="17">
        <v>0</v>
      </c>
      <c r="DO35" s="15">
        <v>0</v>
      </c>
      <c r="DP35" s="15">
        <v>0</v>
      </c>
      <c r="DQ35" s="15">
        <v>0</v>
      </c>
      <c r="DR35" s="15">
        <v>0</v>
      </c>
      <c r="DS35" s="17">
        <v>0</v>
      </c>
      <c r="DT35" s="15">
        <v>0</v>
      </c>
      <c r="DU35" s="15">
        <v>0</v>
      </c>
      <c r="DV35" s="15">
        <v>0</v>
      </c>
      <c r="DW35" s="15">
        <v>0</v>
      </c>
      <c r="DX35" s="17">
        <v>0</v>
      </c>
      <c r="DY35" s="15">
        <v>0</v>
      </c>
      <c r="DZ35" s="15">
        <v>0</v>
      </c>
      <c r="EA35" s="15">
        <v>0</v>
      </c>
      <c r="EB35" s="63">
        <v>0</v>
      </c>
      <c r="EC35" s="17">
        <v>0</v>
      </c>
      <c r="ED35" s="42"/>
      <c r="EE35" s="15"/>
    </row>
    <row r="36" spans="1:135" ht="12.75">
      <c r="A36" s="40">
        <v>43867</v>
      </c>
      <c r="B36" s="15">
        <v>0</v>
      </c>
      <c r="C36" s="15">
        <v>0</v>
      </c>
      <c r="D36" s="15">
        <v>0</v>
      </c>
      <c r="E36" s="15">
        <f t="shared" ref="E36:G36" si="31">B36-C36-D36</f>
        <v>0</v>
      </c>
      <c r="F36" s="15">
        <f t="shared" si="31"/>
        <v>0</v>
      </c>
      <c r="G36" s="15">
        <f t="shared" si="31"/>
        <v>0</v>
      </c>
      <c r="H36" s="15">
        <f t="shared" si="1"/>
        <v>0</v>
      </c>
      <c r="I36" s="15">
        <v>0</v>
      </c>
      <c r="J36" s="15">
        <v>0</v>
      </c>
      <c r="K36" s="17">
        <v>0</v>
      </c>
      <c r="L36" s="15">
        <v>0</v>
      </c>
      <c r="M36" s="15">
        <v>0</v>
      </c>
      <c r="N36" s="17">
        <v>0</v>
      </c>
      <c r="O36" s="15">
        <v>0</v>
      </c>
      <c r="P36" s="15">
        <v>0</v>
      </c>
      <c r="Q36" s="15">
        <v>0</v>
      </c>
      <c r="R36" s="15">
        <v>0</v>
      </c>
      <c r="S36" s="15">
        <v>0</v>
      </c>
      <c r="T36" s="17">
        <v>0</v>
      </c>
      <c r="U36" s="15">
        <v>0</v>
      </c>
      <c r="V36" s="15">
        <v>0</v>
      </c>
      <c r="W36" s="15">
        <v>0</v>
      </c>
      <c r="X36" s="15">
        <v>0</v>
      </c>
      <c r="Y36" s="17">
        <v>0</v>
      </c>
      <c r="Z36" s="15">
        <v>0</v>
      </c>
      <c r="AA36" s="15">
        <v>0</v>
      </c>
      <c r="AB36" s="15">
        <v>0</v>
      </c>
      <c r="AC36" s="15">
        <v>0</v>
      </c>
      <c r="AD36" s="17">
        <v>0</v>
      </c>
      <c r="AE36" s="15">
        <v>0</v>
      </c>
      <c r="AF36" s="15">
        <v>0</v>
      </c>
      <c r="AG36" s="15">
        <v>0</v>
      </c>
      <c r="AH36" s="15">
        <v>0</v>
      </c>
      <c r="AI36" s="15">
        <v>0</v>
      </c>
      <c r="AJ36" s="17">
        <v>0</v>
      </c>
      <c r="AK36" s="15">
        <v>0</v>
      </c>
      <c r="AL36" s="15">
        <v>0</v>
      </c>
      <c r="AM36" s="15">
        <v>0</v>
      </c>
      <c r="AN36" s="15">
        <v>0</v>
      </c>
      <c r="AO36" s="17">
        <v>0</v>
      </c>
      <c r="AP36" s="15">
        <v>0</v>
      </c>
      <c r="AQ36" s="15">
        <v>0</v>
      </c>
      <c r="AR36" s="15">
        <v>0</v>
      </c>
      <c r="AS36" s="15">
        <v>0</v>
      </c>
      <c r="AT36" s="15"/>
      <c r="AU36" s="17">
        <v>0</v>
      </c>
      <c r="AV36" s="15">
        <v>0</v>
      </c>
      <c r="AW36" s="15">
        <v>0</v>
      </c>
      <c r="AX36" s="15">
        <v>0</v>
      </c>
      <c r="AY36" s="17">
        <v>0</v>
      </c>
      <c r="AZ36" s="15">
        <v>0</v>
      </c>
      <c r="BA36" s="15">
        <v>0</v>
      </c>
      <c r="BB36" s="15">
        <v>0</v>
      </c>
      <c r="BC36" s="17">
        <v>0</v>
      </c>
      <c r="BD36" s="15">
        <v>0</v>
      </c>
      <c r="BE36" s="15">
        <v>0</v>
      </c>
      <c r="BF36" s="15">
        <v>0</v>
      </c>
      <c r="BG36" s="15">
        <v>0</v>
      </c>
      <c r="BH36" s="17">
        <v>0</v>
      </c>
      <c r="BI36" s="15">
        <v>0</v>
      </c>
      <c r="BJ36" s="15">
        <v>0</v>
      </c>
      <c r="BK36" s="15">
        <v>0</v>
      </c>
      <c r="BL36" s="15">
        <v>0</v>
      </c>
      <c r="BM36" s="17">
        <v>0</v>
      </c>
      <c r="BN36" s="15">
        <v>0</v>
      </c>
      <c r="BO36" s="15">
        <v>0</v>
      </c>
      <c r="BP36" s="15">
        <v>0</v>
      </c>
      <c r="BQ36" s="15">
        <v>0</v>
      </c>
      <c r="BR36" s="15">
        <v>0</v>
      </c>
      <c r="BS36" s="17">
        <v>0</v>
      </c>
      <c r="BT36" s="15">
        <v>0</v>
      </c>
      <c r="BU36" s="15">
        <v>0</v>
      </c>
      <c r="BV36" s="15">
        <v>0</v>
      </c>
      <c r="BW36" s="15">
        <v>0</v>
      </c>
      <c r="BX36" s="17">
        <v>0</v>
      </c>
      <c r="BY36" s="15">
        <v>0</v>
      </c>
      <c r="BZ36" s="15">
        <v>0</v>
      </c>
      <c r="CA36" s="15">
        <v>0</v>
      </c>
      <c r="CB36" s="17">
        <v>0</v>
      </c>
      <c r="CC36" s="15">
        <v>0</v>
      </c>
      <c r="CD36" s="15">
        <v>0</v>
      </c>
      <c r="CE36" s="15">
        <v>0</v>
      </c>
      <c r="CF36" s="15">
        <v>0</v>
      </c>
      <c r="CG36" s="17">
        <v>0</v>
      </c>
      <c r="CH36" s="15">
        <v>0</v>
      </c>
      <c r="CI36" s="15">
        <v>0</v>
      </c>
      <c r="CJ36" s="15">
        <v>0</v>
      </c>
      <c r="CK36" s="15">
        <v>0</v>
      </c>
      <c r="CL36" s="17">
        <v>0</v>
      </c>
      <c r="CM36" s="15">
        <v>0</v>
      </c>
      <c r="CN36" s="15">
        <v>0</v>
      </c>
      <c r="CO36" s="17">
        <v>0</v>
      </c>
      <c r="CP36" s="15">
        <v>0</v>
      </c>
      <c r="CQ36" s="15">
        <v>0</v>
      </c>
      <c r="CR36" s="15">
        <v>0</v>
      </c>
      <c r="CS36" s="17">
        <v>0</v>
      </c>
      <c r="CT36" s="15">
        <v>0</v>
      </c>
      <c r="CU36" s="15">
        <v>0</v>
      </c>
      <c r="CV36" s="15">
        <v>0</v>
      </c>
      <c r="CW36" s="15">
        <v>0</v>
      </c>
      <c r="CX36" s="15">
        <v>0</v>
      </c>
      <c r="CY36" s="17">
        <v>0</v>
      </c>
      <c r="CZ36" s="15">
        <v>0</v>
      </c>
      <c r="DA36" s="15">
        <v>0</v>
      </c>
      <c r="DB36" s="15">
        <v>0</v>
      </c>
      <c r="DC36" s="15">
        <v>0</v>
      </c>
      <c r="DD36" s="17">
        <v>0</v>
      </c>
      <c r="DE36" s="15">
        <v>0</v>
      </c>
      <c r="DF36" s="15">
        <v>0</v>
      </c>
      <c r="DG36" s="15">
        <v>0</v>
      </c>
      <c r="DH36" s="17">
        <v>0</v>
      </c>
      <c r="DI36" s="15">
        <v>0</v>
      </c>
      <c r="DJ36" s="15">
        <v>0</v>
      </c>
      <c r="DK36" s="15">
        <v>0</v>
      </c>
      <c r="DL36" s="15">
        <v>0</v>
      </c>
      <c r="DM36" s="15">
        <v>0</v>
      </c>
      <c r="DN36" s="17">
        <v>0</v>
      </c>
      <c r="DO36" s="15">
        <v>0</v>
      </c>
      <c r="DP36" s="15">
        <v>0</v>
      </c>
      <c r="DQ36" s="15">
        <v>0</v>
      </c>
      <c r="DR36" s="15">
        <v>0</v>
      </c>
      <c r="DS36" s="17">
        <v>0</v>
      </c>
      <c r="DT36" s="15">
        <v>0</v>
      </c>
      <c r="DU36" s="15">
        <v>0</v>
      </c>
      <c r="DV36" s="15">
        <v>0</v>
      </c>
      <c r="DW36" s="15">
        <v>0</v>
      </c>
      <c r="DX36" s="17">
        <v>0</v>
      </c>
      <c r="DY36" s="15">
        <v>0</v>
      </c>
      <c r="DZ36" s="15">
        <v>0</v>
      </c>
      <c r="EA36" s="15">
        <v>0</v>
      </c>
      <c r="EB36" s="41">
        <v>0</v>
      </c>
      <c r="EC36" s="17">
        <v>0</v>
      </c>
      <c r="ED36" s="42"/>
      <c r="EE36" s="15"/>
    </row>
    <row r="37" spans="1:135" ht="12.75">
      <c r="A37" s="40">
        <v>43868</v>
      </c>
      <c r="B37" s="15">
        <v>0</v>
      </c>
      <c r="C37" s="15">
        <v>0</v>
      </c>
      <c r="D37" s="15">
        <v>0</v>
      </c>
      <c r="E37" s="15">
        <f t="shared" ref="E37:G37" si="32">B37-C37-D37</f>
        <v>0</v>
      </c>
      <c r="F37" s="15">
        <f t="shared" si="32"/>
        <v>0</v>
      </c>
      <c r="G37" s="15">
        <f t="shared" si="32"/>
        <v>0</v>
      </c>
      <c r="H37" s="15">
        <f t="shared" si="1"/>
        <v>0</v>
      </c>
      <c r="I37" s="15">
        <v>0</v>
      </c>
      <c r="J37" s="15">
        <v>0</v>
      </c>
      <c r="K37" s="17">
        <v>0</v>
      </c>
      <c r="L37" s="15">
        <v>0</v>
      </c>
      <c r="M37" s="15">
        <v>0</v>
      </c>
      <c r="N37" s="17">
        <v>0</v>
      </c>
      <c r="O37" s="15">
        <v>0</v>
      </c>
      <c r="P37" s="15">
        <v>0</v>
      </c>
      <c r="Q37" s="15">
        <v>0</v>
      </c>
      <c r="R37" s="15">
        <v>0</v>
      </c>
      <c r="S37" s="15">
        <v>0</v>
      </c>
      <c r="T37" s="17">
        <v>0</v>
      </c>
      <c r="U37" s="15">
        <v>0</v>
      </c>
      <c r="V37" s="15">
        <v>0</v>
      </c>
      <c r="W37" s="15">
        <v>0</v>
      </c>
      <c r="X37" s="15">
        <v>0</v>
      </c>
      <c r="Y37" s="17">
        <v>0</v>
      </c>
      <c r="Z37" s="15">
        <v>0</v>
      </c>
      <c r="AA37" s="15">
        <v>0</v>
      </c>
      <c r="AB37" s="15">
        <v>0</v>
      </c>
      <c r="AC37" s="15">
        <v>0</v>
      </c>
      <c r="AD37" s="17">
        <v>0</v>
      </c>
      <c r="AE37" s="15">
        <v>0</v>
      </c>
      <c r="AF37" s="15">
        <v>0</v>
      </c>
      <c r="AG37" s="15">
        <v>0</v>
      </c>
      <c r="AH37" s="15">
        <v>0</v>
      </c>
      <c r="AI37" s="15">
        <v>0</v>
      </c>
      <c r="AJ37" s="17">
        <v>0</v>
      </c>
      <c r="AK37" s="15">
        <v>0</v>
      </c>
      <c r="AL37" s="15">
        <v>0</v>
      </c>
      <c r="AM37" s="15">
        <v>0</v>
      </c>
      <c r="AN37" s="15">
        <v>0</v>
      </c>
      <c r="AO37" s="17">
        <v>0</v>
      </c>
      <c r="AP37" s="15">
        <v>0</v>
      </c>
      <c r="AQ37" s="15">
        <v>0</v>
      </c>
      <c r="AR37" s="15">
        <v>0</v>
      </c>
      <c r="AS37" s="15">
        <v>0</v>
      </c>
      <c r="AT37" s="15"/>
      <c r="AU37" s="17">
        <v>0</v>
      </c>
      <c r="AV37" s="15">
        <v>0</v>
      </c>
      <c r="AW37" s="15">
        <v>0</v>
      </c>
      <c r="AX37" s="15">
        <v>0</v>
      </c>
      <c r="AY37" s="17">
        <v>0</v>
      </c>
      <c r="AZ37" s="15">
        <v>0</v>
      </c>
      <c r="BA37" s="15">
        <v>0</v>
      </c>
      <c r="BB37" s="15">
        <v>0</v>
      </c>
      <c r="BC37" s="17">
        <v>0</v>
      </c>
      <c r="BD37" s="15">
        <v>0</v>
      </c>
      <c r="BE37" s="15">
        <v>0</v>
      </c>
      <c r="BF37" s="15">
        <v>0</v>
      </c>
      <c r="BG37" s="15">
        <v>0</v>
      </c>
      <c r="BH37" s="17">
        <v>0</v>
      </c>
      <c r="BI37" s="15">
        <v>0</v>
      </c>
      <c r="BJ37" s="15">
        <v>0</v>
      </c>
      <c r="BK37" s="15">
        <v>0</v>
      </c>
      <c r="BL37" s="15">
        <v>0</v>
      </c>
      <c r="BM37" s="17">
        <v>0</v>
      </c>
      <c r="BN37" s="15">
        <v>0</v>
      </c>
      <c r="BO37" s="15">
        <v>0</v>
      </c>
      <c r="BP37" s="15">
        <v>0</v>
      </c>
      <c r="BQ37" s="15">
        <v>0</v>
      </c>
      <c r="BR37" s="15">
        <v>0</v>
      </c>
      <c r="BS37" s="17">
        <v>0</v>
      </c>
      <c r="BT37" s="15">
        <v>0</v>
      </c>
      <c r="BU37" s="15">
        <v>0</v>
      </c>
      <c r="BV37" s="15">
        <v>0</v>
      </c>
      <c r="BW37" s="15">
        <v>0</v>
      </c>
      <c r="BX37" s="17">
        <v>0</v>
      </c>
      <c r="BY37" s="15">
        <v>0</v>
      </c>
      <c r="BZ37" s="15">
        <v>0</v>
      </c>
      <c r="CA37" s="15">
        <v>0</v>
      </c>
      <c r="CB37" s="17">
        <v>0</v>
      </c>
      <c r="CC37" s="15">
        <v>0</v>
      </c>
      <c r="CD37" s="15">
        <v>0</v>
      </c>
      <c r="CE37" s="15">
        <v>0</v>
      </c>
      <c r="CF37" s="15">
        <v>0</v>
      </c>
      <c r="CG37" s="17">
        <v>0</v>
      </c>
      <c r="CH37" s="15">
        <v>0</v>
      </c>
      <c r="CI37" s="15">
        <v>0</v>
      </c>
      <c r="CJ37" s="15">
        <v>0</v>
      </c>
      <c r="CK37" s="15">
        <v>0</v>
      </c>
      <c r="CL37" s="17">
        <v>0</v>
      </c>
      <c r="CM37" s="15">
        <v>0</v>
      </c>
      <c r="CN37" s="15">
        <v>0</v>
      </c>
      <c r="CO37" s="17">
        <v>0</v>
      </c>
      <c r="CP37" s="15">
        <v>0</v>
      </c>
      <c r="CQ37" s="15">
        <v>0</v>
      </c>
      <c r="CR37" s="15">
        <v>0</v>
      </c>
      <c r="CS37" s="17">
        <v>0</v>
      </c>
      <c r="CT37" s="15">
        <v>0</v>
      </c>
      <c r="CU37" s="15">
        <v>0</v>
      </c>
      <c r="CV37" s="15">
        <v>0</v>
      </c>
      <c r="CW37" s="15">
        <v>0</v>
      </c>
      <c r="CX37" s="15">
        <v>0</v>
      </c>
      <c r="CY37" s="17">
        <v>0</v>
      </c>
      <c r="CZ37" s="15">
        <v>0</v>
      </c>
      <c r="DA37" s="15">
        <v>0</v>
      </c>
      <c r="DB37" s="15">
        <v>0</v>
      </c>
      <c r="DC37" s="15">
        <v>0</v>
      </c>
      <c r="DD37" s="17">
        <v>0</v>
      </c>
      <c r="DE37" s="15">
        <v>0</v>
      </c>
      <c r="DF37" s="15">
        <v>0</v>
      </c>
      <c r="DG37" s="15">
        <v>0</v>
      </c>
      <c r="DH37" s="17">
        <v>0</v>
      </c>
      <c r="DI37" s="15">
        <v>0</v>
      </c>
      <c r="DJ37" s="15">
        <v>0</v>
      </c>
      <c r="DK37" s="15">
        <v>0</v>
      </c>
      <c r="DL37" s="15">
        <v>0</v>
      </c>
      <c r="DM37" s="15">
        <v>0</v>
      </c>
      <c r="DN37" s="17">
        <v>0</v>
      </c>
      <c r="DO37" s="15">
        <v>0</v>
      </c>
      <c r="DP37" s="15">
        <v>0</v>
      </c>
      <c r="DQ37" s="15">
        <v>0</v>
      </c>
      <c r="DR37" s="15">
        <v>0</v>
      </c>
      <c r="DS37" s="17">
        <v>0</v>
      </c>
      <c r="DT37" s="15">
        <v>0</v>
      </c>
      <c r="DU37" s="15">
        <v>0</v>
      </c>
      <c r="DV37" s="15">
        <v>0</v>
      </c>
      <c r="DW37" s="15">
        <v>0</v>
      </c>
      <c r="DX37" s="17">
        <v>0</v>
      </c>
      <c r="DY37" s="15">
        <v>0</v>
      </c>
      <c r="DZ37" s="15">
        <v>0</v>
      </c>
      <c r="EA37" s="15">
        <v>0</v>
      </c>
      <c r="EB37" s="63">
        <v>0</v>
      </c>
      <c r="EC37" s="17">
        <v>0</v>
      </c>
      <c r="ED37" s="42"/>
      <c r="EE37" s="15"/>
    </row>
    <row r="38" spans="1:135" ht="12.75">
      <c r="A38" s="40">
        <v>43869</v>
      </c>
      <c r="B38" s="15">
        <v>0</v>
      </c>
      <c r="C38" s="15">
        <v>0</v>
      </c>
      <c r="D38" s="15">
        <v>0</v>
      </c>
      <c r="E38" s="15">
        <f t="shared" ref="E38:G38" si="33">B38-C38-D38</f>
        <v>0</v>
      </c>
      <c r="F38" s="15">
        <f t="shared" si="33"/>
        <v>0</v>
      </c>
      <c r="G38" s="15">
        <f t="shared" si="33"/>
        <v>0</v>
      </c>
      <c r="H38" s="15">
        <f t="shared" si="1"/>
        <v>0</v>
      </c>
      <c r="I38" s="15">
        <v>0</v>
      </c>
      <c r="J38" s="15">
        <v>0</v>
      </c>
      <c r="K38" s="17">
        <v>0</v>
      </c>
      <c r="L38" s="15">
        <v>0</v>
      </c>
      <c r="M38" s="15">
        <v>0</v>
      </c>
      <c r="N38" s="17">
        <v>0</v>
      </c>
      <c r="O38" s="15">
        <v>0</v>
      </c>
      <c r="P38" s="15">
        <v>0</v>
      </c>
      <c r="Q38" s="15">
        <v>0</v>
      </c>
      <c r="R38" s="15">
        <v>0</v>
      </c>
      <c r="S38" s="15">
        <v>0</v>
      </c>
      <c r="T38" s="17">
        <v>0</v>
      </c>
      <c r="U38" s="15">
        <v>0</v>
      </c>
      <c r="V38" s="15">
        <v>0</v>
      </c>
      <c r="W38" s="15">
        <v>0</v>
      </c>
      <c r="X38" s="15">
        <v>0</v>
      </c>
      <c r="Y38" s="17">
        <v>0</v>
      </c>
      <c r="Z38" s="15">
        <v>0</v>
      </c>
      <c r="AA38" s="15">
        <v>0</v>
      </c>
      <c r="AB38" s="15">
        <v>0</v>
      </c>
      <c r="AC38" s="15">
        <v>0</v>
      </c>
      <c r="AD38" s="17">
        <v>0</v>
      </c>
      <c r="AE38" s="15">
        <v>0</v>
      </c>
      <c r="AF38" s="15">
        <v>0</v>
      </c>
      <c r="AG38" s="15">
        <v>0</v>
      </c>
      <c r="AH38" s="15">
        <v>0</v>
      </c>
      <c r="AI38" s="15">
        <v>0</v>
      </c>
      <c r="AJ38" s="17">
        <v>0</v>
      </c>
      <c r="AK38" s="15">
        <v>0</v>
      </c>
      <c r="AL38" s="15">
        <v>0</v>
      </c>
      <c r="AM38" s="15">
        <v>0</v>
      </c>
      <c r="AN38" s="15">
        <v>0</v>
      </c>
      <c r="AO38" s="17">
        <v>0</v>
      </c>
      <c r="AP38" s="15">
        <v>0</v>
      </c>
      <c r="AQ38" s="15">
        <v>0</v>
      </c>
      <c r="AR38" s="15">
        <v>0</v>
      </c>
      <c r="AS38" s="15">
        <v>0</v>
      </c>
      <c r="AT38" s="15"/>
      <c r="AU38" s="17">
        <v>0</v>
      </c>
      <c r="AV38" s="15">
        <v>0</v>
      </c>
      <c r="AW38" s="15">
        <v>0</v>
      </c>
      <c r="AX38" s="15">
        <v>0</v>
      </c>
      <c r="AY38" s="17">
        <v>0</v>
      </c>
      <c r="AZ38" s="15">
        <v>0</v>
      </c>
      <c r="BA38" s="15">
        <v>0</v>
      </c>
      <c r="BB38" s="15">
        <v>0</v>
      </c>
      <c r="BC38" s="17">
        <v>0</v>
      </c>
      <c r="BD38" s="15">
        <v>0</v>
      </c>
      <c r="BE38" s="15">
        <v>0</v>
      </c>
      <c r="BF38" s="15">
        <v>0</v>
      </c>
      <c r="BG38" s="15">
        <v>0</v>
      </c>
      <c r="BH38" s="17">
        <v>0</v>
      </c>
      <c r="BI38" s="15">
        <v>0</v>
      </c>
      <c r="BJ38" s="15">
        <v>0</v>
      </c>
      <c r="BK38" s="15">
        <v>0</v>
      </c>
      <c r="BL38" s="15">
        <v>0</v>
      </c>
      <c r="BM38" s="17">
        <v>0</v>
      </c>
      <c r="BN38" s="15">
        <v>0</v>
      </c>
      <c r="BO38" s="15">
        <v>0</v>
      </c>
      <c r="BP38" s="15">
        <v>0</v>
      </c>
      <c r="BQ38" s="15">
        <v>0</v>
      </c>
      <c r="BR38" s="15">
        <v>0</v>
      </c>
      <c r="BS38" s="17">
        <v>0</v>
      </c>
      <c r="BT38" s="15">
        <v>0</v>
      </c>
      <c r="BU38" s="15">
        <v>0</v>
      </c>
      <c r="BV38" s="15">
        <v>0</v>
      </c>
      <c r="BW38" s="15">
        <v>0</v>
      </c>
      <c r="BX38" s="17">
        <v>0</v>
      </c>
      <c r="BY38" s="15">
        <v>0</v>
      </c>
      <c r="BZ38" s="15">
        <v>0</v>
      </c>
      <c r="CA38" s="15">
        <v>0</v>
      </c>
      <c r="CB38" s="17">
        <v>0</v>
      </c>
      <c r="CC38" s="15">
        <v>0</v>
      </c>
      <c r="CD38" s="15">
        <v>0</v>
      </c>
      <c r="CE38" s="15">
        <v>0</v>
      </c>
      <c r="CF38" s="15">
        <v>0</v>
      </c>
      <c r="CG38" s="17">
        <v>0</v>
      </c>
      <c r="CH38" s="15">
        <v>0</v>
      </c>
      <c r="CI38" s="15">
        <v>0</v>
      </c>
      <c r="CJ38" s="15">
        <v>0</v>
      </c>
      <c r="CK38" s="15">
        <v>0</v>
      </c>
      <c r="CL38" s="17">
        <v>0</v>
      </c>
      <c r="CM38" s="15">
        <v>0</v>
      </c>
      <c r="CN38" s="15">
        <v>0</v>
      </c>
      <c r="CO38" s="17">
        <v>0</v>
      </c>
      <c r="CP38" s="15">
        <v>0</v>
      </c>
      <c r="CQ38" s="15">
        <v>0</v>
      </c>
      <c r="CR38" s="15">
        <v>0</v>
      </c>
      <c r="CS38" s="17">
        <v>0</v>
      </c>
      <c r="CT38" s="15">
        <v>0</v>
      </c>
      <c r="CU38" s="15">
        <v>0</v>
      </c>
      <c r="CV38" s="15">
        <v>0</v>
      </c>
      <c r="CW38" s="15">
        <v>0</v>
      </c>
      <c r="CX38" s="15">
        <v>0</v>
      </c>
      <c r="CY38" s="17">
        <v>0</v>
      </c>
      <c r="CZ38" s="15">
        <v>0</v>
      </c>
      <c r="DA38" s="15">
        <v>0</v>
      </c>
      <c r="DB38" s="15">
        <v>0</v>
      </c>
      <c r="DC38" s="15">
        <v>0</v>
      </c>
      <c r="DD38" s="17">
        <v>0</v>
      </c>
      <c r="DE38" s="15">
        <v>0</v>
      </c>
      <c r="DF38" s="15">
        <v>0</v>
      </c>
      <c r="DG38" s="15">
        <v>0</v>
      </c>
      <c r="DH38" s="17">
        <v>0</v>
      </c>
      <c r="DI38" s="15">
        <v>0</v>
      </c>
      <c r="DJ38" s="15">
        <v>0</v>
      </c>
      <c r="DK38" s="15">
        <v>0</v>
      </c>
      <c r="DL38" s="15">
        <v>0</v>
      </c>
      <c r="DM38" s="15">
        <v>0</v>
      </c>
      <c r="DN38" s="17">
        <v>0</v>
      </c>
      <c r="DO38" s="15">
        <v>0</v>
      </c>
      <c r="DP38" s="15">
        <v>0</v>
      </c>
      <c r="DQ38" s="15">
        <v>0</v>
      </c>
      <c r="DR38" s="15">
        <v>0</v>
      </c>
      <c r="DS38" s="17">
        <v>0</v>
      </c>
      <c r="DT38" s="15">
        <v>0</v>
      </c>
      <c r="DU38" s="15">
        <v>0</v>
      </c>
      <c r="DV38" s="15">
        <v>0</v>
      </c>
      <c r="DW38" s="15">
        <v>0</v>
      </c>
      <c r="DX38" s="17">
        <v>0</v>
      </c>
      <c r="DY38" s="15">
        <v>0</v>
      </c>
      <c r="DZ38" s="15">
        <v>0</v>
      </c>
      <c r="EA38" s="15">
        <v>0</v>
      </c>
      <c r="EB38" s="41">
        <v>0</v>
      </c>
      <c r="EC38" s="17">
        <v>0</v>
      </c>
      <c r="ED38" s="42"/>
      <c r="EE38" s="15"/>
    </row>
    <row r="39" spans="1:135" ht="12.75">
      <c r="A39" s="40">
        <v>43870</v>
      </c>
      <c r="B39" s="15">
        <v>0</v>
      </c>
      <c r="C39" s="15">
        <v>0</v>
      </c>
      <c r="D39" s="15">
        <v>0</v>
      </c>
      <c r="E39" s="15">
        <f t="shared" ref="E39:G39" si="34">B39-C39-D39</f>
        <v>0</v>
      </c>
      <c r="F39" s="15">
        <f t="shared" si="34"/>
        <v>0</v>
      </c>
      <c r="G39" s="15">
        <f t="shared" si="34"/>
        <v>0</v>
      </c>
      <c r="H39" s="15">
        <f t="shared" si="1"/>
        <v>0</v>
      </c>
      <c r="I39" s="15">
        <v>0</v>
      </c>
      <c r="J39" s="15">
        <v>0</v>
      </c>
      <c r="K39" s="17">
        <v>0</v>
      </c>
      <c r="L39" s="15">
        <v>0</v>
      </c>
      <c r="M39" s="15">
        <v>0</v>
      </c>
      <c r="N39" s="17">
        <v>0</v>
      </c>
      <c r="O39" s="15">
        <v>0</v>
      </c>
      <c r="P39" s="15">
        <v>0</v>
      </c>
      <c r="Q39" s="15">
        <v>0</v>
      </c>
      <c r="R39" s="15">
        <v>0</v>
      </c>
      <c r="S39" s="15">
        <v>0</v>
      </c>
      <c r="T39" s="17">
        <v>0</v>
      </c>
      <c r="U39" s="15">
        <v>0</v>
      </c>
      <c r="V39" s="15">
        <v>0</v>
      </c>
      <c r="W39" s="15">
        <v>0</v>
      </c>
      <c r="X39" s="15">
        <v>0</v>
      </c>
      <c r="Y39" s="17">
        <v>0</v>
      </c>
      <c r="Z39" s="15">
        <v>0</v>
      </c>
      <c r="AA39" s="15">
        <v>0</v>
      </c>
      <c r="AB39" s="15">
        <v>0</v>
      </c>
      <c r="AC39" s="15">
        <v>0</v>
      </c>
      <c r="AD39" s="17">
        <v>0</v>
      </c>
      <c r="AE39" s="15">
        <v>0</v>
      </c>
      <c r="AF39" s="15">
        <v>0</v>
      </c>
      <c r="AG39" s="15">
        <v>0</v>
      </c>
      <c r="AH39" s="15">
        <v>0</v>
      </c>
      <c r="AI39" s="15">
        <v>0</v>
      </c>
      <c r="AJ39" s="17">
        <v>0</v>
      </c>
      <c r="AK39" s="15">
        <v>0</v>
      </c>
      <c r="AL39" s="15">
        <v>0</v>
      </c>
      <c r="AM39" s="15">
        <v>0</v>
      </c>
      <c r="AN39" s="15">
        <v>0</v>
      </c>
      <c r="AO39" s="17">
        <v>0</v>
      </c>
      <c r="AP39" s="15">
        <v>0</v>
      </c>
      <c r="AQ39" s="15">
        <v>0</v>
      </c>
      <c r="AR39" s="15">
        <v>0</v>
      </c>
      <c r="AS39" s="15">
        <v>0</v>
      </c>
      <c r="AT39" s="15"/>
      <c r="AU39" s="17">
        <v>0</v>
      </c>
      <c r="AV39" s="15">
        <v>0</v>
      </c>
      <c r="AW39" s="15">
        <v>0</v>
      </c>
      <c r="AX39" s="15">
        <v>0</v>
      </c>
      <c r="AY39" s="17">
        <v>0</v>
      </c>
      <c r="AZ39" s="15">
        <v>0</v>
      </c>
      <c r="BA39" s="15">
        <v>0</v>
      </c>
      <c r="BB39" s="15">
        <v>0</v>
      </c>
      <c r="BC39" s="17">
        <v>0</v>
      </c>
      <c r="BD39" s="15">
        <v>0</v>
      </c>
      <c r="BE39" s="15">
        <v>0</v>
      </c>
      <c r="BF39" s="15">
        <v>0</v>
      </c>
      <c r="BG39" s="15">
        <v>0</v>
      </c>
      <c r="BH39" s="17">
        <v>0</v>
      </c>
      <c r="BI39" s="15">
        <v>0</v>
      </c>
      <c r="BJ39" s="15">
        <v>0</v>
      </c>
      <c r="BK39" s="15">
        <v>0</v>
      </c>
      <c r="BL39" s="15">
        <v>0</v>
      </c>
      <c r="BM39" s="17">
        <v>0</v>
      </c>
      <c r="BN39" s="15">
        <v>0</v>
      </c>
      <c r="BO39" s="15">
        <v>0</v>
      </c>
      <c r="BP39" s="15">
        <v>0</v>
      </c>
      <c r="BQ39" s="15">
        <v>0</v>
      </c>
      <c r="BR39" s="15">
        <v>0</v>
      </c>
      <c r="BS39" s="17">
        <v>0</v>
      </c>
      <c r="BT39" s="15">
        <v>0</v>
      </c>
      <c r="BU39" s="15">
        <v>0</v>
      </c>
      <c r="BV39" s="15">
        <v>0</v>
      </c>
      <c r="BW39" s="15">
        <v>0</v>
      </c>
      <c r="BX39" s="17">
        <v>0</v>
      </c>
      <c r="BY39" s="15">
        <v>0</v>
      </c>
      <c r="BZ39" s="15">
        <v>0</v>
      </c>
      <c r="CA39" s="15">
        <v>0</v>
      </c>
      <c r="CB39" s="17">
        <v>0</v>
      </c>
      <c r="CC39" s="15">
        <v>0</v>
      </c>
      <c r="CD39" s="15">
        <v>0</v>
      </c>
      <c r="CE39" s="15">
        <v>0</v>
      </c>
      <c r="CF39" s="15">
        <v>0</v>
      </c>
      <c r="CG39" s="17">
        <v>0</v>
      </c>
      <c r="CH39" s="15">
        <v>0</v>
      </c>
      <c r="CI39" s="15">
        <v>0</v>
      </c>
      <c r="CJ39" s="15">
        <v>0</v>
      </c>
      <c r="CK39" s="15">
        <v>0</v>
      </c>
      <c r="CL39" s="17">
        <v>0</v>
      </c>
      <c r="CM39" s="15">
        <v>0</v>
      </c>
      <c r="CN39" s="15">
        <v>0</v>
      </c>
      <c r="CO39" s="17">
        <v>0</v>
      </c>
      <c r="CP39" s="15">
        <v>0</v>
      </c>
      <c r="CQ39" s="15">
        <v>0</v>
      </c>
      <c r="CR39" s="15">
        <v>0</v>
      </c>
      <c r="CS39" s="17">
        <v>0</v>
      </c>
      <c r="CT39" s="15">
        <v>0</v>
      </c>
      <c r="CU39" s="15">
        <v>0</v>
      </c>
      <c r="CV39" s="15">
        <v>0</v>
      </c>
      <c r="CW39" s="15">
        <v>0</v>
      </c>
      <c r="CX39" s="15">
        <v>0</v>
      </c>
      <c r="CY39" s="17">
        <v>0</v>
      </c>
      <c r="CZ39" s="15">
        <v>0</v>
      </c>
      <c r="DA39" s="15">
        <v>0</v>
      </c>
      <c r="DB39" s="15">
        <v>0</v>
      </c>
      <c r="DC39" s="15">
        <v>0</v>
      </c>
      <c r="DD39" s="17">
        <v>0</v>
      </c>
      <c r="DE39" s="15">
        <v>0</v>
      </c>
      <c r="DF39" s="15">
        <v>0</v>
      </c>
      <c r="DG39" s="15">
        <v>0</v>
      </c>
      <c r="DH39" s="17">
        <v>0</v>
      </c>
      <c r="DI39" s="15">
        <v>0</v>
      </c>
      <c r="DJ39" s="15">
        <v>0</v>
      </c>
      <c r="DK39" s="15">
        <v>0</v>
      </c>
      <c r="DL39" s="15">
        <v>0</v>
      </c>
      <c r="DM39" s="15">
        <v>0</v>
      </c>
      <c r="DN39" s="17">
        <v>0</v>
      </c>
      <c r="DO39" s="15">
        <v>0</v>
      </c>
      <c r="DP39" s="15">
        <v>0</v>
      </c>
      <c r="DQ39" s="15">
        <v>0</v>
      </c>
      <c r="DR39" s="15">
        <v>0</v>
      </c>
      <c r="DS39" s="17">
        <v>0</v>
      </c>
      <c r="DT39" s="15">
        <v>0</v>
      </c>
      <c r="DU39" s="15">
        <v>0</v>
      </c>
      <c r="DV39" s="15">
        <v>0</v>
      </c>
      <c r="DW39" s="15">
        <v>0</v>
      </c>
      <c r="DX39" s="17">
        <v>0</v>
      </c>
      <c r="DY39" s="15">
        <v>0</v>
      </c>
      <c r="DZ39" s="15">
        <v>0</v>
      </c>
      <c r="EA39" s="15">
        <v>0</v>
      </c>
      <c r="EB39" s="63">
        <v>0</v>
      </c>
      <c r="EC39" s="17">
        <v>0</v>
      </c>
      <c r="ED39" s="42"/>
      <c r="EE39" s="15"/>
    </row>
    <row r="40" spans="1:135" ht="12.75">
      <c r="A40" s="40">
        <v>43871</v>
      </c>
      <c r="B40" s="15">
        <v>0</v>
      </c>
      <c r="C40" s="15">
        <v>0</v>
      </c>
      <c r="D40" s="15">
        <v>0</v>
      </c>
      <c r="E40" s="15">
        <f t="shared" ref="E40:G40" si="35">B40-C40-D40</f>
        <v>0</v>
      </c>
      <c r="F40" s="15">
        <f t="shared" si="35"/>
        <v>0</v>
      </c>
      <c r="G40" s="15">
        <f t="shared" si="35"/>
        <v>0</v>
      </c>
      <c r="H40" s="15">
        <f t="shared" si="1"/>
        <v>0</v>
      </c>
      <c r="I40" s="15">
        <v>0</v>
      </c>
      <c r="J40" s="15">
        <v>0</v>
      </c>
      <c r="K40" s="17">
        <v>0</v>
      </c>
      <c r="L40" s="15">
        <v>0</v>
      </c>
      <c r="M40" s="15">
        <v>0</v>
      </c>
      <c r="N40" s="17">
        <v>0</v>
      </c>
      <c r="O40" s="15">
        <v>0</v>
      </c>
      <c r="P40" s="15">
        <v>0</v>
      </c>
      <c r="Q40" s="15">
        <v>0</v>
      </c>
      <c r="R40" s="15">
        <v>0</v>
      </c>
      <c r="S40" s="15">
        <v>0</v>
      </c>
      <c r="T40" s="17">
        <v>0</v>
      </c>
      <c r="U40" s="15">
        <v>0</v>
      </c>
      <c r="V40" s="15">
        <v>0</v>
      </c>
      <c r="W40" s="15">
        <v>0</v>
      </c>
      <c r="X40" s="15">
        <v>0</v>
      </c>
      <c r="Y40" s="17">
        <v>0</v>
      </c>
      <c r="Z40" s="15">
        <v>0</v>
      </c>
      <c r="AA40" s="15">
        <v>0</v>
      </c>
      <c r="AB40" s="15">
        <v>0</v>
      </c>
      <c r="AC40" s="15">
        <v>0</v>
      </c>
      <c r="AD40" s="17">
        <v>0</v>
      </c>
      <c r="AE40" s="15">
        <v>0</v>
      </c>
      <c r="AF40" s="15">
        <v>0</v>
      </c>
      <c r="AG40" s="15">
        <v>0</v>
      </c>
      <c r="AH40" s="15">
        <v>0</v>
      </c>
      <c r="AI40" s="15">
        <v>0</v>
      </c>
      <c r="AJ40" s="17">
        <v>0</v>
      </c>
      <c r="AK40" s="15">
        <v>0</v>
      </c>
      <c r="AL40" s="15">
        <v>0</v>
      </c>
      <c r="AM40" s="15">
        <v>0</v>
      </c>
      <c r="AN40" s="15">
        <v>0</v>
      </c>
      <c r="AO40" s="17">
        <v>0</v>
      </c>
      <c r="AP40" s="15">
        <v>0</v>
      </c>
      <c r="AQ40" s="15">
        <v>0</v>
      </c>
      <c r="AR40" s="15">
        <v>0</v>
      </c>
      <c r="AS40" s="15">
        <v>0</v>
      </c>
      <c r="AT40" s="15"/>
      <c r="AU40" s="17">
        <v>0</v>
      </c>
      <c r="AV40" s="15">
        <v>0</v>
      </c>
      <c r="AW40" s="15">
        <v>0</v>
      </c>
      <c r="AX40" s="15">
        <v>0</v>
      </c>
      <c r="AY40" s="17">
        <v>0</v>
      </c>
      <c r="AZ40" s="15">
        <v>0</v>
      </c>
      <c r="BA40" s="15">
        <v>0</v>
      </c>
      <c r="BB40" s="15">
        <v>0</v>
      </c>
      <c r="BC40" s="17">
        <v>0</v>
      </c>
      <c r="BD40" s="15">
        <v>0</v>
      </c>
      <c r="BE40" s="15">
        <v>0</v>
      </c>
      <c r="BF40" s="15">
        <v>0</v>
      </c>
      <c r="BG40" s="15">
        <v>0</v>
      </c>
      <c r="BH40" s="17">
        <v>0</v>
      </c>
      <c r="BI40" s="15">
        <v>0</v>
      </c>
      <c r="BJ40" s="15">
        <v>0</v>
      </c>
      <c r="BK40" s="15">
        <v>0</v>
      </c>
      <c r="BL40" s="15">
        <v>0</v>
      </c>
      <c r="BM40" s="17">
        <v>0</v>
      </c>
      <c r="BN40" s="15">
        <v>0</v>
      </c>
      <c r="BO40" s="15">
        <v>0</v>
      </c>
      <c r="BP40" s="15">
        <v>0</v>
      </c>
      <c r="BQ40" s="15">
        <v>0</v>
      </c>
      <c r="BR40" s="15">
        <v>0</v>
      </c>
      <c r="BS40" s="17">
        <v>0</v>
      </c>
      <c r="BT40" s="15">
        <v>0</v>
      </c>
      <c r="BU40" s="15">
        <v>0</v>
      </c>
      <c r="BV40" s="15">
        <v>0</v>
      </c>
      <c r="BW40" s="15">
        <v>0</v>
      </c>
      <c r="BX40" s="17">
        <v>0</v>
      </c>
      <c r="BY40" s="15">
        <v>0</v>
      </c>
      <c r="BZ40" s="15">
        <v>0</v>
      </c>
      <c r="CA40" s="15">
        <v>0</v>
      </c>
      <c r="CB40" s="17">
        <v>0</v>
      </c>
      <c r="CC40" s="15">
        <v>0</v>
      </c>
      <c r="CD40" s="15">
        <v>0</v>
      </c>
      <c r="CE40" s="15">
        <v>0</v>
      </c>
      <c r="CF40" s="15">
        <v>0</v>
      </c>
      <c r="CG40" s="17">
        <v>0</v>
      </c>
      <c r="CH40" s="15">
        <v>0</v>
      </c>
      <c r="CI40" s="15">
        <v>0</v>
      </c>
      <c r="CJ40" s="15">
        <v>0</v>
      </c>
      <c r="CK40" s="15">
        <v>0</v>
      </c>
      <c r="CL40" s="17">
        <v>0</v>
      </c>
      <c r="CM40" s="15">
        <v>0</v>
      </c>
      <c r="CN40" s="15">
        <v>0</v>
      </c>
      <c r="CO40" s="17">
        <v>0</v>
      </c>
      <c r="CP40" s="15">
        <v>0</v>
      </c>
      <c r="CQ40" s="15">
        <v>0</v>
      </c>
      <c r="CR40" s="15">
        <v>0</v>
      </c>
      <c r="CS40" s="17">
        <v>0</v>
      </c>
      <c r="CT40" s="15">
        <v>0</v>
      </c>
      <c r="CU40" s="15">
        <v>0</v>
      </c>
      <c r="CV40" s="15">
        <v>0</v>
      </c>
      <c r="CW40" s="15">
        <v>0</v>
      </c>
      <c r="CX40" s="15">
        <v>0</v>
      </c>
      <c r="CY40" s="17">
        <v>0</v>
      </c>
      <c r="CZ40" s="15">
        <v>0</v>
      </c>
      <c r="DA40" s="15">
        <v>0</v>
      </c>
      <c r="DB40" s="15">
        <v>0</v>
      </c>
      <c r="DC40" s="15">
        <v>0</v>
      </c>
      <c r="DD40" s="17">
        <v>0</v>
      </c>
      <c r="DE40" s="15">
        <v>0</v>
      </c>
      <c r="DF40" s="15">
        <v>0</v>
      </c>
      <c r="DG40" s="15">
        <v>0</v>
      </c>
      <c r="DH40" s="17">
        <v>0</v>
      </c>
      <c r="DI40" s="15">
        <v>0</v>
      </c>
      <c r="DJ40" s="15">
        <v>0</v>
      </c>
      <c r="DK40" s="15">
        <v>0</v>
      </c>
      <c r="DL40" s="15">
        <v>0</v>
      </c>
      <c r="DM40" s="15">
        <v>0</v>
      </c>
      <c r="DN40" s="17">
        <v>0</v>
      </c>
      <c r="DO40" s="15">
        <v>0</v>
      </c>
      <c r="DP40" s="15">
        <v>0</v>
      </c>
      <c r="DQ40" s="15">
        <v>0</v>
      </c>
      <c r="DR40" s="15">
        <v>0</v>
      </c>
      <c r="DS40" s="17">
        <v>0</v>
      </c>
      <c r="DT40" s="15">
        <v>0</v>
      </c>
      <c r="DU40" s="15">
        <v>0</v>
      </c>
      <c r="DV40" s="15">
        <v>0</v>
      </c>
      <c r="DW40" s="15">
        <v>0</v>
      </c>
      <c r="DX40" s="17">
        <v>0</v>
      </c>
      <c r="DY40" s="15">
        <v>0</v>
      </c>
      <c r="DZ40" s="15">
        <v>0</v>
      </c>
      <c r="EA40" s="15">
        <v>0</v>
      </c>
      <c r="EB40" s="41">
        <v>0</v>
      </c>
      <c r="EC40" s="17">
        <v>0</v>
      </c>
      <c r="ED40" s="42"/>
      <c r="EE40" s="15"/>
    </row>
    <row r="41" spans="1:135" ht="12.75">
      <c r="A41" s="40">
        <v>43872</v>
      </c>
      <c r="B41" s="15">
        <v>0</v>
      </c>
      <c r="C41" s="15">
        <v>0</v>
      </c>
      <c r="D41" s="15">
        <v>0</v>
      </c>
      <c r="E41" s="15">
        <f t="shared" ref="E41:G41" si="36">B41-C41-D41</f>
        <v>0</v>
      </c>
      <c r="F41" s="15">
        <f t="shared" si="36"/>
        <v>0</v>
      </c>
      <c r="G41" s="15">
        <f t="shared" si="36"/>
        <v>0</v>
      </c>
      <c r="H41" s="15">
        <f t="shared" si="1"/>
        <v>0</v>
      </c>
      <c r="I41" s="15">
        <v>0</v>
      </c>
      <c r="J41" s="15">
        <v>0</v>
      </c>
      <c r="K41" s="17">
        <v>0</v>
      </c>
      <c r="L41" s="15">
        <v>0</v>
      </c>
      <c r="M41" s="15">
        <v>0</v>
      </c>
      <c r="N41" s="17">
        <v>0</v>
      </c>
      <c r="O41" s="15">
        <v>0</v>
      </c>
      <c r="P41" s="15">
        <v>0</v>
      </c>
      <c r="Q41" s="15">
        <v>0</v>
      </c>
      <c r="R41" s="15">
        <v>0</v>
      </c>
      <c r="S41" s="15">
        <v>0</v>
      </c>
      <c r="T41" s="17">
        <v>0</v>
      </c>
      <c r="U41" s="15">
        <v>0</v>
      </c>
      <c r="V41" s="15">
        <v>0</v>
      </c>
      <c r="W41" s="15">
        <v>0</v>
      </c>
      <c r="X41" s="15">
        <v>0</v>
      </c>
      <c r="Y41" s="17">
        <v>0</v>
      </c>
      <c r="Z41" s="15">
        <v>0</v>
      </c>
      <c r="AA41" s="15">
        <v>0</v>
      </c>
      <c r="AB41" s="15">
        <v>0</v>
      </c>
      <c r="AC41" s="15">
        <v>0</v>
      </c>
      <c r="AD41" s="17">
        <v>0</v>
      </c>
      <c r="AE41" s="15">
        <v>0</v>
      </c>
      <c r="AF41" s="15">
        <v>0</v>
      </c>
      <c r="AG41" s="15">
        <v>0</v>
      </c>
      <c r="AH41" s="15">
        <v>0</v>
      </c>
      <c r="AI41" s="15">
        <v>0</v>
      </c>
      <c r="AJ41" s="17">
        <v>0</v>
      </c>
      <c r="AK41" s="15">
        <v>0</v>
      </c>
      <c r="AL41" s="15">
        <v>0</v>
      </c>
      <c r="AM41" s="15">
        <v>0</v>
      </c>
      <c r="AN41" s="15">
        <v>0</v>
      </c>
      <c r="AO41" s="17">
        <v>0</v>
      </c>
      <c r="AP41" s="15">
        <v>0</v>
      </c>
      <c r="AQ41" s="15">
        <v>0</v>
      </c>
      <c r="AR41" s="15">
        <v>0</v>
      </c>
      <c r="AS41" s="15">
        <v>0</v>
      </c>
      <c r="AT41" s="15"/>
      <c r="AU41" s="17">
        <v>0</v>
      </c>
      <c r="AV41" s="15">
        <v>0</v>
      </c>
      <c r="AW41" s="15">
        <v>0</v>
      </c>
      <c r="AX41" s="15">
        <v>0</v>
      </c>
      <c r="AY41" s="17">
        <v>0</v>
      </c>
      <c r="AZ41" s="15">
        <v>0</v>
      </c>
      <c r="BA41" s="15">
        <v>0</v>
      </c>
      <c r="BB41" s="15">
        <v>0</v>
      </c>
      <c r="BC41" s="17">
        <v>0</v>
      </c>
      <c r="BD41" s="15">
        <v>0</v>
      </c>
      <c r="BE41" s="15">
        <v>0</v>
      </c>
      <c r="BF41" s="15">
        <v>0</v>
      </c>
      <c r="BG41" s="15">
        <v>0</v>
      </c>
      <c r="BH41" s="17">
        <v>0</v>
      </c>
      <c r="BI41" s="15">
        <v>0</v>
      </c>
      <c r="BJ41" s="15">
        <v>0</v>
      </c>
      <c r="BK41" s="15">
        <v>0</v>
      </c>
      <c r="BL41" s="15">
        <v>0</v>
      </c>
      <c r="BM41" s="17">
        <v>0</v>
      </c>
      <c r="BN41" s="15">
        <v>0</v>
      </c>
      <c r="BO41" s="15">
        <v>0</v>
      </c>
      <c r="BP41" s="15">
        <v>0</v>
      </c>
      <c r="BQ41" s="15">
        <v>0</v>
      </c>
      <c r="BR41" s="15">
        <v>0</v>
      </c>
      <c r="BS41" s="17">
        <v>0</v>
      </c>
      <c r="BT41" s="15">
        <v>0</v>
      </c>
      <c r="BU41" s="15">
        <v>0</v>
      </c>
      <c r="BV41" s="15">
        <v>0</v>
      </c>
      <c r="BW41" s="15">
        <v>0</v>
      </c>
      <c r="BX41" s="17">
        <v>0</v>
      </c>
      <c r="BY41" s="15">
        <v>0</v>
      </c>
      <c r="BZ41" s="15">
        <v>0</v>
      </c>
      <c r="CA41" s="15">
        <v>0</v>
      </c>
      <c r="CB41" s="17">
        <v>0</v>
      </c>
      <c r="CC41" s="15">
        <v>0</v>
      </c>
      <c r="CD41" s="15">
        <v>0</v>
      </c>
      <c r="CE41" s="15">
        <v>0</v>
      </c>
      <c r="CF41" s="15">
        <v>0</v>
      </c>
      <c r="CG41" s="17">
        <v>0</v>
      </c>
      <c r="CH41" s="15">
        <v>0</v>
      </c>
      <c r="CI41" s="15">
        <v>0</v>
      </c>
      <c r="CJ41" s="15">
        <v>0</v>
      </c>
      <c r="CK41" s="15">
        <v>0</v>
      </c>
      <c r="CL41" s="17">
        <v>0</v>
      </c>
      <c r="CM41" s="15">
        <v>0</v>
      </c>
      <c r="CN41" s="15">
        <v>0</v>
      </c>
      <c r="CO41" s="17">
        <v>0</v>
      </c>
      <c r="CP41" s="15">
        <v>0</v>
      </c>
      <c r="CQ41" s="15">
        <v>0</v>
      </c>
      <c r="CR41" s="15">
        <v>0</v>
      </c>
      <c r="CS41" s="17">
        <v>0</v>
      </c>
      <c r="CT41" s="15">
        <v>0</v>
      </c>
      <c r="CU41" s="15">
        <v>0</v>
      </c>
      <c r="CV41" s="15">
        <v>0</v>
      </c>
      <c r="CW41" s="15">
        <v>0</v>
      </c>
      <c r="CX41" s="15">
        <v>0</v>
      </c>
      <c r="CY41" s="17">
        <v>0</v>
      </c>
      <c r="CZ41" s="15">
        <v>0</v>
      </c>
      <c r="DA41" s="15">
        <v>0</v>
      </c>
      <c r="DB41" s="15">
        <v>0</v>
      </c>
      <c r="DC41" s="15">
        <v>0</v>
      </c>
      <c r="DD41" s="17">
        <v>0</v>
      </c>
      <c r="DE41" s="15">
        <v>0</v>
      </c>
      <c r="DF41" s="15">
        <v>0</v>
      </c>
      <c r="DG41" s="15">
        <v>0</v>
      </c>
      <c r="DH41" s="17">
        <v>0</v>
      </c>
      <c r="DI41" s="15">
        <v>0</v>
      </c>
      <c r="DJ41" s="15">
        <v>0</v>
      </c>
      <c r="DK41" s="15">
        <v>0</v>
      </c>
      <c r="DL41" s="15">
        <v>0</v>
      </c>
      <c r="DM41" s="15">
        <v>0</v>
      </c>
      <c r="DN41" s="17">
        <v>0</v>
      </c>
      <c r="DO41" s="15">
        <v>0</v>
      </c>
      <c r="DP41" s="15">
        <v>0</v>
      </c>
      <c r="DQ41" s="15">
        <v>0</v>
      </c>
      <c r="DR41" s="15">
        <v>0</v>
      </c>
      <c r="DS41" s="17">
        <v>0</v>
      </c>
      <c r="DT41" s="15">
        <v>0</v>
      </c>
      <c r="DU41" s="15">
        <v>0</v>
      </c>
      <c r="DV41" s="15">
        <v>0</v>
      </c>
      <c r="DW41" s="15">
        <v>0</v>
      </c>
      <c r="DX41" s="17">
        <v>0</v>
      </c>
      <c r="DY41" s="15">
        <v>0</v>
      </c>
      <c r="DZ41" s="15">
        <v>0</v>
      </c>
      <c r="EA41" s="15">
        <v>0</v>
      </c>
      <c r="EB41" s="41">
        <v>0</v>
      </c>
      <c r="EC41" s="17">
        <v>0</v>
      </c>
      <c r="ED41" s="42"/>
      <c r="EE41" s="15"/>
    </row>
    <row r="42" spans="1:135" ht="12.75">
      <c r="A42" s="40">
        <v>43873</v>
      </c>
      <c r="B42" s="15">
        <v>0</v>
      </c>
      <c r="C42" s="15">
        <v>0</v>
      </c>
      <c r="D42" s="15">
        <v>0</v>
      </c>
      <c r="E42" s="15">
        <f t="shared" ref="E42:G42" si="37">B42-C42-D42</f>
        <v>0</v>
      </c>
      <c r="F42" s="15">
        <f t="shared" si="37"/>
        <v>0</v>
      </c>
      <c r="G42" s="15">
        <f t="shared" si="37"/>
        <v>0</v>
      </c>
      <c r="H42" s="15">
        <f t="shared" si="1"/>
        <v>0</v>
      </c>
      <c r="I42" s="15">
        <v>0</v>
      </c>
      <c r="J42" s="15">
        <v>0</v>
      </c>
      <c r="K42" s="17">
        <v>0</v>
      </c>
      <c r="L42" s="15">
        <v>0</v>
      </c>
      <c r="M42" s="15">
        <v>0</v>
      </c>
      <c r="N42" s="17">
        <v>0</v>
      </c>
      <c r="O42" s="15">
        <v>0</v>
      </c>
      <c r="P42" s="15">
        <v>0</v>
      </c>
      <c r="Q42" s="15">
        <v>0</v>
      </c>
      <c r="R42" s="15">
        <v>0</v>
      </c>
      <c r="S42" s="15">
        <v>0</v>
      </c>
      <c r="T42" s="17">
        <v>0</v>
      </c>
      <c r="U42" s="15">
        <v>0</v>
      </c>
      <c r="V42" s="15">
        <v>0</v>
      </c>
      <c r="W42" s="15">
        <v>0</v>
      </c>
      <c r="X42" s="15">
        <v>0</v>
      </c>
      <c r="Y42" s="17">
        <v>0</v>
      </c>
      <c r="Z42" s="15">
        <v>0</v>
      </c>
      <c r="AA42" s="15">
        <v>0</v>
      </c>
      <c r="AB42" s="15">
        <v>0</v>
      </c>
      <c r="AC42" s="15">
        <v>0</v>
      </c>
      <c r="AD42" s="17">
        <v>0</v>
      </c>
      <c r="AE42" s="15">
        <v>0</v>
      </c>
      <c r="AF42" s="15">
        <v>0</v>
      </c>
      <c r="AG42" s="15">
        <v>0</v>
      </c>
      <c r="AH42" s="15">
        <v>0</v>
      </c>
      <c r="AI42" s="15">
        <v>0</v>
      </c>
      <c r="AJ42" s="17">
        <v>0</v>
      </c>
      <c r="AK42" s="15">
        <v>0</v>
      </c>
      <c r="AL42" s="15">
        <v>0</v>
      </c>
      <c r="AM42" s="15">
        <v>0</v>
      </c>
      <c r="AN42" s="15">
        <v>0</v>
      </c>
      <c r="AO42" s="17">
        <v>0</v>
      </c>
      <c r="AP42" s="15">
        <v>0</v>
      </c>
      <c r="AQ42" s="15">
        <v>0</v>
      </c>
      <c r="AR42" s="15">
        <v>0</v>
      </c>
      <c r="AS42" s="15">
        <v>0</v>
      </c>
      <c r="AT42" s="15"/>
      <c r="AU42" s="17">
        <v>0</v>
      </c>
      <c r="AV42" s="15">
        <v>0</v>
      </c>
      <c r="AW42" s="15">
        <v>0</v>
      </c>
      <c r="AX42" s="15">
        <v>0</v>
      </c>
      <c r="AY42" s="17">
        <v>0</v>
      </c>
      <c r="AZ42" s="15">
        <v>0</v>
      </c>
      <c r="BA42" s="15">
        <v>0</v>
      </c>
      <c r="BB42" s="15">
        <v>0</v>
      </c>
      <c r="BC42" s="17">
        <v>0</v>
      </c>
      <c r="BD42" s="15">
        <v>0</v>
      </c>
      <c r="BE42" s="15">
        <v>0</v>
      </c>
      <c r="BF42" s="15">
        <v>0</v>
      </c>
      <c r="BG42" s="15">
        <v>0</v>
      </c>
      <c r="BH42" s="17">
        <v>0</v>
      </c>
      <c r="BI42" s="15">
        <v>0</v>
      </c>
      <c r="BJ42" s="15">
        <v>0</v>
      </c>
      <c r="BK42" s="15">
        <v>0</v>
      </c>
      <c r="BL42" s="15">
        <v>0</v>
      </c>
      <c r="BM42" s="17">
        <v>0</v>
      </c>
      <c r="BN42" s="15">
        <v>0</v>
      </c>
      <c r="BO42" s="15">
        <v>0</v>
      </c>
      <c r="BP42" s="15">
        <v>0</v>
      </c>
      <c r="BQ42" s="15">
        <v>0</v>
      </c>
      <c r="BR42" s="15">
        <v>0</v>
      </c>
      <c r="BS42" s="17">
        <v>0</v>
      </c>
      <c r="BT42" s="15">
        <v>0</v>
      </c>
      <c r="BU42" s="15">
        <v>0</v>
      </c>
      <c r="BV42" s="15">
        <v>0</v>
      </c>
      <c r="BW42" s="15">
        <v>0</v>
      </c>
      <c r="BX42" s="17">
        <v>0</v>
      </c>
      <c r="BY42" s="15">
        <v>0</v>
      </c>
      <c r="BZ42" s="15">
        <v>0</v>
      </c>
      <c r="CA42" s="15">
        <v>0</v>
      </c>
      <c r="CB42" s="17">
        <v>0</v>
      </c>
      <c r="CC42" s="15">
        <v>0</v>
      </c>
      <c r="CD42" s="15">
        <v>0</v>
      </c>
      <c r="CE42" s="15">
        <v>0</v>
      </c>
      <c r="CF42" s="15">
        <v>0</v>
      </c>
      <c r="CG42" s="17">
        <v>0</v>
      </c>
      <c r="CH42" s="15">
        <v>0</v>
      </c>
      <c r="CI42" s="15">
        <v>0</v>
      </c>
      <c r="CJ42" s="15">
        <v>0</v>
      </c>
      <c r="CK42" s="15">
        <v>0</v>
      </c>
      <c r="CL42" s="17">
        <v>0</v>
      </c>
      <c r="CM42" s="15">
        <v>0</v>
      </c>
      <c r="CN42" s="15">
        <v>0</v>
      </c>
      <c r="CO42" s="17">
        <v>0</v>
      </c>
      <c r="CP42" s="15">
        <v>0</v>
      </c>
      <c r="CQ42" s="15">
        <v>0</v>
      </c>
      <c r="CR42" s="15">
        <v>0</v>
      </c>
      <c r="CS42" s="17">
        <v>0</v>
      </c>
      <c r="CT42" s="15">
        <v>0</v>
      </c>
      <c r="CU42" s="15">
        <v>0</v>
      </c>
      <c r="CV42" s="15">
        <v>0</v>
      </c>
      <c r="CW42" s="15">
        <v>0</v>
      </c>
      <c r="CX42" s="15">
        <v>0</v>
      </c>
      <c r="CY42" s="17">
        <v>0</v>
      </c>
      <c r="CZ42" s="15">
        <v>0</v>
      </c>
      <c r="DA42" s="15">
        <v>0</v>
      </c>
      <c r="DB42" s="15">
        <v>0</v>
      </c>
      <c r="DC42" s="15">
        <v>0</v>
      </c>
      <c r="DD42" s="17">
        <v>0</v>
      </c>
      <c r="DE42" s="15">
        <v>0</v>
      </c>
      <c r="DF42" s="15">
        <v>0</v>
      </c>
      <c r="DG42" s="15">
        <v>0</v>
      </c>
      <c r="DH42" s="17">
        <v>0</v>
      </c>
      <c r="DI42" s="15">
        <v>0</v>
      </c>
      <c r="DJ42" s="15">
        <v>0</v>
      </c>
      <c r="DK42" s="15">
        <v>0</v>
      </c>
      <c r="DL42" s="15">
        <v>0</v>
      </c>
      <c r="DM42" s="15">
        <v>0</v>
      </c>
      <c r="DN42" s="17">
        <v>0</v>
      </c>
      <c r="DO42" s="15">
        <v>0</v>
      </c>
      <c r="DP42" s="15">
        <v>0</v>
      </c>
      <c r="DQ42" s="15">
        <v>0</v>
      </c>
      <c r="DR42" s="15">
        <v>0</v>
      </c>
      <c r="DS42" s="17">
        <v>0</v>
      </c>
      <c r="DT42" s="15">
        <v>0</v>
      </c>
      <c r="DU42" s="15">
        <v>0</v>
      </c>
      <c r="DV42" s="15">
        <v>0</v>
      </c>
      <c r="DW42" s="15">
        <v>0</v>
      </c>
      <c r="DX42" s="17">
        <v>0</v>
      </c>
      <c r="DY42" s="15">
        <v>0</v>
      </c>
      <c r="DZ42" s="15">
        <v>0</v>
      </c>
      <c r="EA42" s="15">
        <v>0</v>
      </c>
      <c r="EB42" s="41">
        <v>0</v>
      </c>
      <c r="EC42" s="17">
        <v>0</v>
      </c>
      <c r="ED42" s="42"/>
      <c r="EE42" s="15"/>
    </row>
    <row r="43" spans="1:135" ht="12.75">
      <c r="A43" s="40">
        <v>43874</v>
      </c>
      <c r="B43" s="15">
        <v>0</v>
      </c>
      <c r="C43" s="15">
        <v>0</v>
      </c>
      <c r="D43" s="15">
        <v>0</v>
      </c>
      <c r="E43" s="15">
        <f t="shared" ref="E43:G43" si="38">B43-C43-D43</f>
        <v>0</v>
      </c>
      <c r="F43" s="15">
        <f t="shared" si="38"/>
        <v>0</v>
      </c>
      <c r="G43" s="15">
        <f t="shared" si="38"/>
        <v>0</v>
      </c>
      <c r="H43" s="15">
        <f t="shared" si="1"/>
        <v>0</v>
      </c>
      <c r="I43" s="15">
        <v>0</v>
      </c>
      <c r="J43" s="15">
        <v>0</v>
      </c>
      <c r="K43" s="17">
        <v>0</v>
      </c>
      <c r="L43" s="15">
        <v>0</v>
      </c>
      <c r="M43" s="15">
        <v>0</v>
      </c>
      <c r="N43" s="17">
        <v>0</v>
      </c>
      <c r="O43" s="15">
        <v>0</v>
      </c>
      <c r="P43" s="15">
        <v>0</v>
      </c>
      <c r="Q43" s="15">
        <v>0</v>
      </c>
      <c r="R43" s="15">
        <v>0</v>
      </c>
      <c r="S43" s="15">
        <v>0</v>
      </c>
      <c r="T43" s="17">
        <v>0</v>
      </c>
      <c r="U43" s="15">
        <v>0</v>
      </c>
      <c r="V43" s="15">
        <v>0</v>
      </c>
      <c r="W43" s="15">
        <v>0</v>
      </c>
      <c r="X43" s="15">
        <v>0</v>
      </c>
      <c r="Y43" s="17">
        <v>0</v>
      </c>
      <c r="Z43" s="15">
        <v>0</v>
      </c>
      <c r="AA43" s="15">
        <v>0</v>
      </c>
      <c r="AB43" s="15">
        <v>0</v>
      </c>
      <c r="AC43" s="15">
        <v>0</v>
      </c>
      <c r="AD43" s="17">
        <v>0</v>
      </c>
      <c r="AE43" s="15">
        <v>0</v>
      </c>
      <c r="AF43" s="15">
        <v>0</v>
      </c>
      <c r="AG43" s="15">
        <v>0</v>
      </c>
      <c r="AH43" s="15">
        <v>0</v>
      </c>
      <c r="AI43" s="15">
        <v>0</v>
      </c>
      <c r="AJ43" s="17">
        <v>0</v>
      </c>
      <c r="AK43" s="15">
        <v>0</v>
      </c>
      <c r="AL43" s="15">
        <v>0</v>
      </c>
      <c r="AM43" s="15">
        <v>0</v>
      </c>
      <c r="AN43" s="15">
        <v>0</v>
      </c>
      <c r="AO43" s="17">
        <v>0</v>
      </c>
      <c r="AP43" s="15">
        <v>0</v>
      </c>
      <c r="AQ43" s="15">
        <v>0</v>
      </c>
      <c r="AR43" s="15">
        <v>0</v>
      </c>
      <c r="AS43" s="15">
        <v>0</v>
      </c>
      <c r="AT43" s="15"/>
      <c r="AU43" s="17">
        <v>0</v>
      </c>
      <c r="AV43" s="15">
        <v>0</v>
      </c>
      <c r="AW43" s="15">
        <v>0</v>
      </c>
      <c r="AX43" s="15">
        <v>0</v>
      </c>
      <c r="AY43" s="17">
        <v>0</v>
      </c>
      <c r="AZ43" s="15">
        <v>0</v>
      </c>
      <c r="BA43" s="15">
        <v>0</v>
      </c>
      <c r="BB43" s="15">
        <v>0</v>
      </c>
      <c r="BC43" s="17">
        <v>0</v>
      </c>
      <c r="BD43" s="15">
        <v>0</v>
      </c>
      <c r="BE43" s="15">
        <v>0</v>
      </c>
      <c r="BF43" s="15">
        <v>0</v>
      </c>
      <c r="BG43" s="15">
        <v>0</v>
      </c>
      <c r="BH43" s="17">
        <v>0</v>
      </c>
      <c r="BI43" s="15">
        <v>0</v>
      </c>
      <c r="BJ43" s="15">
        <v>0</v>
      </c>
      <c r="BK43" s="15">
        <v>0</v>
      </c>
      <c r="BL43" s="15">
        <v>0</v>
      </c>
      <c r="BM43" s="17">
        <v>0</v>
      </c>
      <c r="BN43" s="15">
        <v>0</v>
      </c>
      <c r="BO43" s="15">
        <v>0</v>
      </c>
      <c r="BP43" s="15">
        <v>0</v>
      </c>
      <c r="BQ43" s="15">
        <v>0</v>
      </c>
      <c r="BR43" s="15">
        <v>0</v>
      </c>
      <c r="BS43" s="17">
        <v>0</v>
      </c>
      <c r="BT43" s="15">
        <v>0</v>
      </c>
      <c r="BU43" s="15">
        <v>0</v>
      </c>
      <c r="BV43" s="15">
        <v>0</v>
      </c>
      <c r="BW43" s="15">
        <v>0</v>
      </c>
      <c r="BX43" s="17">
        <v>0</v>
      </c>
      <c r="BY43" s="15">
        <v>0</v>
      </c>
      <c r="BZ43" s="15">
        <v>0</v>
      </c>
      <c r="CA43" s="15">
        <v>0</v>
      </c>
      <c r="CB43" s="17">
        <v>0</v>
      </c>
      <c r="CC43" s="15">
        <v>0</v>
      </c>
      <c r="CD43" s="15">
        <v>0</v>
      </c>
      <c r="CE43" s="15">
        <v>0</v>
      </c>
      <c r="CF43" s="15">
        <v>0</v>
      </c>
      <c r="CG43" s="17">
        <v>0</v>
      </c>
      <c r="CH43" s="15">
        <v>0</v>
      </c>
      <c r="CI43" s="15">
        <v>0</v>
      </c>
      <c r="CJ43" s="15">
        <v>0</v>
      </c>
      <c r="CK43" s="15">
        <v>0</v>
      </c>
      <c r="CL43" s="17">
        <v>0</v>
      </c>
      <c r="CM43" s="15">
        <v>0</v>
      </c>
      <c r="CN43" s="15">
        <v>0</v>
      </c>
      <c r="CO43" s="17">
        <v>0</v>
      </c>
      <c r="CP43" s="15">
        <v>0</v>
      </c>
      <c r="CQ43" s="15">
        <v>0</v>
      </c>
      <c r="CR43" s="15">
        <v>0</v>
      </c>
      <c r="CS43" s="17">
        <v>0</v>
      </c>
      <c r="CT43" s="15">
        <v>0</v>
      </c>
      <c r="CU43" s="15">
        <v>0</v>
      </c>
      <c r="CV43" s="15">
        <v>0</v>
      </c>
      <c r="CW43" s="15">
        <v>0</v>
      </c>
      <c r="CX43" s="15">
        <v>0</v>
      </c>
      <c r="CY43" s="17">
        <v>0</v>
      </c>
      <c r="CZ43" s="15">
        <v>0</v>
      </c>
      <c r="DA43" s="15">
        <v>0</v>
      </c>
      <c r="DB43" s="15">
        <v>0</v>
      </c>
      <c r="DC43" s="15">
        <v>0</v>
      </c>
      <c r="DD43" s="17">
        <v>0</v>
      </c>
      <c r="DE43" s="15">
        <v>0</v>
      </c>
      <c r="DF43" s="15">
        <v>0</v>
      </c>
      <c r="DG43" s="15">
        <v>0</v>
      </c>
      <c r="DH43" s="17">
        <v>0</v>
      </c>
      <c r="DI43" s="15">
        <v>0</v>
      </c>
      <c r="DJ43" s="15">
        <v>0</v>
      </c>
      <c r="DK43" s="15">
        <v>0</v>
      </c>
      <c r="DL43" s="15">
        <v>0</v>
      </c>
      <c r="DM43" s="15">
        <v>0</v>
      </c>
      <c r="DN43" s="17">
        <v>0</v>
      </c>
      <c r="DO43" s="15">
        <v>0</v>
      </c>
      <c r="DP43" s="15">
        <v>0</v>
      </c>
      <c r="DQ43" s="15">
        <v>0</v>
      </c>
      <c r="DR43" s="15">
        <v>0</v>
      </c>
      <c r="DS43" s="17">
        <v>0</v>
      </c>
      <c r="DT43" s="15">
        <v>0</v>
      </c>
      <c r="DU43" s="15">
        <v>0</v>
      </c>
      <c r="DV43" s="15">
        <v>0</v>
      </c>
      <c r="DW43" s="15">
        <v>0</v>
      </c>
      <c r="DX43" s="17">
        <v>0</v>
      </c>
      <c r="DY43" s="15">
        <v>0</v>
      </c>
      <c r="DZ43" s="15">
        <v>0</v>
      </c>
      <c r="EA43" s="15">
        <v>0</v>
      </c>
      <c r="EB43" s="41">
        <v>0</v>
      </c>
      <c r="EC43" s="17">
        <v>0</v>
      </c>
      <c r="ED43" s="42"/>
      <c r="EE43" s="15"/>
    </row>
    <row r="44" spans="1:135" ht="12.75">
      <c r="A44" s="40">
        <v>43875</v>
      </c>
      <c r="B44" s="15">
        <v>0</v>
      </c>
      <c r="C44" s="15">
        <v>0</v>
      </c>
      <c r="D44" s="15">
        <v>0</v>
      </c>
      <c r="E44" s="15">
        <f t="shared" ref="E44:G44" si="39">B44-C44-D44</f>
        <v>0</v>
      </c>
      <c r="F44" s="15">
        <f t="shared" si="39"/>
        <v>0</v>
      </c>
      <c r="G44" s="15">
        <f t="shared" si="39"/>
        <v>0</v>
      </c>
      <c r="H44" s="15">
        <f t="shared" si="1"/>
        <v>0</v>
      </c>
      <c r="I44" s="15">
        <v>0</v>
      </c>
      <c r="J44" s="15">
        <v>0</v>
      </c>
      <c r="K44" s="17">
        <v>0</v>
      </c>
      <c r="L44" s="15">
        <v>0</v>
      </c>
      <c r="M44" s="15">
        <v>0</v>
      </c>
      <c r="N44" s="17">
        <v>0</v>
      </c>
      <c r="O44" s="15">
        <v>0</v>
      </c>
      <c r="P44" s="15">
        <v>0</v>
      </c>
      <c r="Q44" s="15">
        <v>0</v>
      </c>
      <c r="R44" s="15">
        <v>0</v>
      </c>
      <c r="S44" s="15">
        <v>0</v>
      </c>
      <c r="T44" s="17">
        <v>0</v>
      </c>
      <c r="U44" s="15">
        <v>0</v>
      </c>
      <c r="V44" s="15">
        <v>0</v>
      </c>
      <c r="W44" s="15">
        <v>0</v>
      </c>
      <c r="X44" s="15">
        <v>0</v>
      </c>
      <c r="Y44" s="17">
        <v>0</v>
      </c>
      <c r="Z44" s="15">
        <v>0</v>
      </c>
      <c r="AA44" s="15">
        <v>0</v>
      </c>
      <c r="AB44" s="15">
        <v>0</v>
      </c>
      <c r="AC44" s="15">
        <v>0</v>
      </c>
      <c r="AD44" s="17">
        <v>0</v>
      </c>
      <c r="AE44" s="15">
        <v>0</v>
      </c>
      <c r="AF44" s="15">
        <v>0</v>
      </c>
      <c r="AG44" s="15">
        <v>0</v>
      </c>
      <c r="AH44" s="15">
        <v>0</v>
      </c>
      <c r="AI44" s="15">
        <v>0</v>
      </c>
      <c r="AJ44" s="17">
        <v>0</v>
      </c>
      <c r="AK44" s="15">
        <v>0</v>
      </c>
      <c r="AL44" s="15">
        <v>0</v>
      </c>
      <c r="AM44" s="15">
        <v>0</v>
      </c>
      <c r="AN44" s="15">
        <v>0</v>
      </c>
      <c r="AO44" s="17">
        <v>0</v>
      </c>
      <c r="AP44" s="15">
        <v>0</v>
      </c>
      <c r="AQ44" s="15">
        <v>0</v>
      </c>
      <c r="AR44" s="15">
        <v>0</v>
      </c>
      <c r="AS44" s="15">
        <v>0</v>
      </c>
      <c r="AT44" s="15"/>
      <c r="AU44" s="17">
        <v>0</v>
      </c>
      <c r="AV44" s="15">
        <v>0</v>
      </c>
      <c r="AW44" s="15">
        <v>0</v>
      </c>
      <c r="AX44" s="15">
        <v>0</v>
      </c>
      <c r="AY44" s="17">
        <v>0</v>
      </c>
      <c r="AZ44" s="15">
        <v>0</v>
      </c>
      <c r="BA44" s="15">
        <v>0</v>
      </c>
      <c r="BB44" s="15">
        <v>0</v>
      </c>
      <c r="BC44" s="17">
        <v>0</v>
      </c>
      <c r="BD44" s="15">
        <v>0</v>
      </c>
      <c r="BE44" s="15">
        <v>0</v>
      </c>
      <c r="BF44" s="15">
        <v>0</v>
      </c>
      <c r="BG44" s="15">
        <v>0</v>
      </c>
      <c r="BH44" s="17">
        <v>0</v>
      </c>
      <c r="BI44" s="15">
        <v>0</v>
      </c>
      <c r="BJ44" s="15">
        <v>0</v>
      </c>
      <c r="BK44" s="15">
        <v>0</v>
      </c>
      <c r="BL44" s="15">
        <v>0</v>
      </c>
      <c r="BM44" s="17">
        <v>0</v>
      </c>
      <c r="BN44" s="15">
        <v>0</v>
      </c>
      <c r="BO44" s="15">
        <v>0</v>
      </c>
      <c r="BP44" s="15">
        <v>0</v>
      </c>
      <c r="BQ44" s="15">
        <v>0</v>
      </c>
      <c r="BR44" s="15">
        <v>0</v>
      </c>
      <c r="BS44" s="17">
        <v>0</v>
      </c>
      <c r="BT44" s="15">
        <v>0</v>
      </c>
      <c r="BU44" s="15">
        <v>0</v>
      </c>
      <c r="BV44" s="15">
        <v>0</v>
      </c>
      <c r="BW44" s="15">
        <v>0</v>
      </c>
      <c r="BX44" s="17">
        <v>0</v>
      </c>
      <c r="BY44" s="15">
        <v>0</v>
      </c>
      <c r="BZ44" s="15">
        <v>0</v>
      </c>
      <c r="CA44" s="15">
        <v>0</v>
      </c>
      <c r="CB44" s="17">
        <v>0</v>
      </c>
      <c r="CC44" s="15">
        <v>0</v>
      </c>
      <c r="CD44" s="15">
        <v>0</v>
      </c>
      <c r="CE44" s="15">
        <v>0</v>
      </c>
      <c r="CF44" s="15">
        <v>0</v>
      </c>
      <c r="CG44" s="17">
        <v>0</v>
      </c>
      <c r="CH44" s="15">
        <v>0</v>
      </c>
      <c r="CI44" s="15">
        <v>0</v>
      </c>
      <c r="CJ44" s="15">
        <v>0</v>
      </c>
      <c r="CK44" s="15">
        <v>0</v>
      </c>
      <c r="CL44" s="17">
        <v>0</v>
      </c>
      <c r="CM44" s="15">
        <v>0</v>
      </c>
      <c r="CN44" s="15">
        <v>0</v>
      </c>
      <c r="CO44" s="17">
        <v>0</v>
      </c>
      <c r="CP44" s="15">
        <v>0</v>
      </c>
      <c r="CQ44" s="15">
        <v>0</v>
      </c>
      <c r="CR44" s="15">
        <v>0</v>
      </c>
      <c r="CS44" s="17">
        <v>0</v>
      </c>
      <c r="CT44" s="15">
        <v>0</v>
      </c>
      <c r="CU44" s="15">
        <v>0</v>
      </c>
      <c r="CV44" s="15">
        <v>0</v>
      </c>
      <c r="CW44" s="15">
        <v>0</v>
      </c>
      <c r="CX44" s="15">
        <v>0</v>
      </c>
      <c r="CY44" s="17">
        <v>0</v>
      </c>
      <c r="CZ44" s="15">
        <v>0</v>
      </c>
      <c r="DA44" s="15">
        <v>0</v>
      </c>
      <c r="DB44" s="15">
        <v>0</v>
      </c>
      <c r="DC44" s="15">
        <v>0</v>
      </c>
      <c r="DD44" s="17">
        <v>0</v>
      </c>
      <c r="DE44" s="15">
        <v>0</v>
      </c>
      <c r="DF44" s="15">
        <v>0</v>
      </c>
      <c r="DG44" s="15">
        <v>0</v>
      </c>
      <c r="DH44" s="17">
        <v>0</v>
      </c>
      <c r="DI44" s="15">
        <v>0</v>
      </c>
      <c r="DJ44" s="15">
        <v>0</v>
      </c>
      <c r="DK44" s="15">
        <v>0</v>
      </c>
      <c r="DL44" s="15">
        <v>0</v>
      </c>
      <c r="DM44" s="15">
        <v>0</v>
      </c>
      <c r="DN44" s="17">
        <v>0</v>
      </c>
      <c r="DO44" s="15">
        <v>0</v>
      </c>
      <c r="DP44" s="15">
        <v>0</v>
      </c>
      <c r="DQ44" s="15">
        <v>0</v>
      </c>
      <c r="DR44" s="15">
        <v>0</v>
      </c>
      <c r="DS44" s="17">
        <v>0</v>
      </c>
      <c r="DT44" s="15">
        <v>0</v>
      </c>
      <c r="DU44" s="15">
        <v>0</v>
      </c>
      <c r="DV44" s="15">
        <v>0</v>
      </c>
      <c r="DW44" s="15">
        <v>0</v>
      </c>
      <c r="DX44" s="17">
        <v>0</v>
      </c>
      <c r="DY44" s="15">
        <v>0</v>
      </c>
      <c r="DZ44" s="15">
        <v>0</v>
      </c>
      <c r="EA44" s="15">
        <v>0</v>
      </c>
      <c r="EB44" s="41">
        <v>0</v>
      </c>
      <c r="EC44" s="17">
        <v>0</v>
      </c>
      <c r="ED44" s="42"/>
      <c r="EE44" s="15"/>
    </row>
    <row r="45" spans="1:135" ht="12.75">
      <c r="A45" s="40">
        <v>43876</v>
      </c>
      <c r="B45" s="15">
        <v>0</v>
      </c>
      <c r="C45" s="15">
        <v>0</v>
      </c>
      <c r="D45" s="15">
        <v>0</v>
      </c>
      <c r="E45" s="15">
        <f t="shared" ref="E45:G45" si="40">B45-C45-D45</f>
        <v>0</v>
      </c>
      <c r="F45" s="15">
        <f t="shared" si="40"/>
        <v>0</v>
      </c>
      <c r="G45" s="15">
        <f t="shared" si="40"/>
        <v>0</v>
      </c>
      <c r="H45" s="15">
        <f t="shared" si="1"/>
        <v>0</v>
      </c>
      <c r="I45" s="15">
        <v>0</v>
      </c>
      <c r="J45" s="15">
        <v>0</v>
      </c>
      <c r="K45" s="17">
        <v>0</v>
      </c>
      <c r="L45" s="15">
        <v>0</v>
      </c>
      <c r="M45" s="15">
        <v>0</v>
      </c>
      <c r="N45" s="17">
        <v>0</v>
      </c>
      <c r="O45" s="15">
        <v>0</v>
      </c>
      <c r="P45" s="15">
        <v>0</v>
      </c>
      <c r="Q45" s="15">
        <v>0</v>
      </c>
      <c r="R45" s="15">
        <v>0</v>
      </c>
      <c r="S45" s="15">
        <v>0</v>
      </c>
      <c r="T45" s="17">
        <v>0</v>
      </c>
      <c r="U45" s="15">
        <v>0</v>
      </c>
      <c r="V45" s="15">
        <v>0</v>
      </c>
      <c r="W45" s="15">
        <v>0</v>
      </c>
      <c r="X45" s="15">
        <v>0</v>
      </c>
      <c r="Y45" s="17">
        <v>0</v>
      </c>
      <c r="Z45" s="15">
        <v>0</v>
      </c>
      <c r="AA45" s="15">
        <v>0</v>
      </c>
      <c r="AB45" s="15">
        <v>0</v>
      </c>
      <c r="AC45" s="15">
        <v>0</v>
      </c>
      <c r="AD45" s="17">
        <v>0</v>
      </c>
      <c r="AE45" s="15">
        <v>0</v>
      </c>
      <c r="AF45" s="15">
        <v>0</v>
      </c>
      <c r="AG45" s="15">
        <v>0</v>
      </c>
      <c r="AH45" s="15">
        <v>0</v>
      </c>
      <c r="AI45" s="15">
        <v>0</v>
      </c>
      <c r="AJ45" s="17">
        <v>0</v>
      </c>
      <c r="AK45" s="15">
        <v>0</v>
      </c>
      <c r="AL45" s="15">
        <v>0</v>
      </c>
      <c r="AM45" s="15">
        <v>0</v>
      </c>
      <c r="AN45" s="15">
        <v>0</v>
      </c>
      <c r="AO45" s="17">
        <v>0</v>
      </c>
      <c r="AP45" s="15">
        <v>0</v>
      </c>
      <c r="AQ45" s="15">
        <v>0</v>
      </c>
      <c r="AR45" s="15">
        <v>0</v>
      </c>
      <c r="AS45" s="15">
        <v>0</v>
      </c>
      <c r="AT45" s="15"/>
      <c r="AU45" s="17">
        <v>0</v>
      </c>
      <c r="AV45" s="15">
        <v>0</v>
      </c>
      <c r="AW45" s="15">
        <v>0</v>
      </c>
      <c r="AX45" s="15">
        <v>0</v>
      </c>
      <c r="AY45" s="17">
        <v>0</v>
      </c>
      <c r="AZ45" s="15">
        <v>0</v>
      </c>
      <c r="BA45" s="15">
        <v>0</v>
      </c>
      <c r="BB45" s="15">
        <v>0</v>
      </c>
      <c r="BC45" s="17">
        <v>0</v>
      </c>
      <c r="BD45" s="15">
        <v>0</v>
      </c>
      <c r="BE45" s="15">
        <v>0</v>
      </c>
      <c r="BF45" s="15">
        <v>0</v>
      </c>
      <c r="BG45" s="15">
        <v>0</v>
      </c>
      <c r="BH45" s="17">
        <v>0</v>
      </c>
      <c r="BI45" s="15">
        <v>0</v>
      </c>
      <c r="BJ45" s="15">
        <v>0</v>
      </c>
      <c r="BK45" s="15">
        <v>0</v>
      </c>
      <c r="BL45" s="15">
        <v>0</v>
      </c>
      <c r="BM45" s="17">
        <v>0</v>
      </c>
      <c r="BN45" s="15">
        <v>0</v>
      </c>
      <c r="BO45" s="15">
        <v>0</v>
      </c>
      <c r="BP45" s="15">
        <v>0</v>
      </c>
      <c r="BQ45" s="15">
        <v>0</v>
      </c>
      <c r="BR45" s="15">
        <v>0</v>
      </c>
      <c r="BS45" s="17">
        <v>0</v>
      </c>
      <c r="BT45" s="15">
        <v>0</v>
      </c>
      <c r="BU45" s="15">
        <v>0</v>
      </c>
      <c r="BV45" s="15">
        <v>0</v>
      </c>
      <c r="BW45" s="15">
        <v>0</v>
      </c>
      <c r="BX45" s="17">
        <v>0</v>
      </c>
      <c r="BY45" s="15">
        <v>0</v>
      </c>
      <c r="BZ45" s="15">
        <v>0</v>
      </c>
      <c r="CA45" s="15">
        <v>0</v>
      </c>
      <c r="CB45" s="17">
        <v>0</v>
      </c>
      <c r="CC45" s="15">
        <v>0</v>
      </c>
      <c r="CD45" s="15">
        <v>0</v>
      </c>
      <c r="CE45" s="15">
        <v>0</v>
      </c>
      <c r="CF45" s="15">
        <v>0</v>
      </c>
      <c r="CG45" s="17">
        <v>0</v>
      </c>
      <c r="CH45" s="15">
        <v>0</v>
      </c>
      <c r="CI45" s="15">
        <v>0</v>
      </c>
      <c r="CJ45" s="15">
        <v>0</v>
      </c>
      <c r="CK45" s="15">
        <v>0</v>
      </c>
      <c r="CL45" s="17">
        <v>0</v>
      </c>
      <c r="CM45" s="15">
        <v>0</v>
      </c>
      <c r="CN45" s="15">
        <v>0</v>
      </c>
      <c r="CO45" s="17">
        <v>0</v>
      </c>
      <c r="CP45" s="15">
        <v>0</v>
      </c>
      <c r="CQ45" s="15">
        <v>0</v>
      </c>
      <c r="CR45" s="15">
        <v>0</v>
      </c>
      <c r="CS45" s="17">
        <v>0</v>
      </c>
      <c r="CT45" s="15">
        <v>0</v>
      </c>
      <c r="CU45" s="15">
        <v>0</v>
      </c>
      <c r="CV45" s="15">
        <v>0</v>
      </c>
      <c r="CW45" s="15">
        <v>0</v>
      </c>
      <c r="CX45" s="15">
        <v>0</v>
      </c>
      <c r="CY45" s="17">
        <v>0</v>
      </c>
      <c r="CZ45" s="15">
        <v>0</v>
      </c>
      <c r="DA45" s="15">
        <v>0</v>
      </c>
      <c r="DB45" s="15">
        <v>0</v>
      </c>
      <c r="DC45" s="15">
        <v>0</v>
      </c>
      <c r="DD45" s="17">
        <v>0</v>
      </c>
      <c r="DE45" s="15">
        <v>0</v>
      </c>
      <c r="DF45" s="15">
        <v>0</v>
      </c>
      <c r="DG45" s="15">
        <v>0</v>
      </c>
      <c r="DH45" s="17">
        <v>0</v>
      </c>
      <c r="DI45" s="15">
        <v>0</v>
      </c>
      <c r="DJ45" s="15">
        <v>0</v>
      </c>
      <c r="DK45" s="15">
        <v>0</v>
      </c>
      <c r="DL45" s="15">
        <v>0</v>
      </c>
      <c r="DM45" s="15">
        <v>0</v>
      </c>
      <c r="DN45" s="17">
        <v>0</v>
      </c>
      <c r="DO45" s="15">
        <v>0</v>
      </c>
      <c r="DP45" s="15">
        <v>0</v>
      </c>
      <c r="DQ45" s="15">
        <v>0</v>
      </c>
      <c r="DR45" s="15">
        <v>0</v>
      </c>
      <c r="DS45" s="17">
        <v>0</v>
      </c>
      <c r="DT45" s="15">
        <v>0</v>
      </c>
      <c r="DU45" s="15">
        <v>0</v>
      </c>
      <c r="DV45" s="15">
        <v>0</v>
      </c>
      <c r="DW45" s="15">
        <v>0</v>
      </c>
      <c r="DX45" s="17">
        <v>0</v>
      </c>
      <c r="DY45" s="15">
        <v>0</v>
      </c>
      <c r="DZ45" s="15">
        <v>0</v>
      </c>
      <c r="EA45" s="15">
        <v>0</v>
      </c>
      <c r="EB45" s="41">
        <v>0</v>
      </c>
      <c r="EC45" s="17">
        <v>0</v>
      </c>
      <c r="ED45" s="42"/>
      <c r="EE45" s="15"/>
    </row>
    <row r="46" spans="1:135" ht="12.75">
      <c r="A46" s="40">
        <v>43877</v>
      </c>
      <c r="B46" s="15">
        <v>0</v>
      </c>
      <c r="C46" s="15">
        <v>0</v>
      </c>
      <c r="D46" s="15">
        <v>0</v>
      </c>
      <c r="E46" s="15">
        <f t="shared" ref="E46:G46" si="41">B46-C46-D46</f>
        <v>0</v>
      </c>
      <c r="F46" s="15">
        <f t="shared" si="41"/>
        <v>0</v>
      </c>
      <c r="G46" s="15">
        <f t="shared" si="41"/>
        <v>0</v>
      </c>
      <c r="H46" s="15">
        <f t="shared" si="1"/>
        <v>0</v>
      </c>
      <c r="I46" s="15">
        <v>0</v>
      </c>
      <c r="J46" s="15">
        <v>0</v>
      </c>
      <c r="K46" s="17">
        <v>0</v>
      </c>
      <c r="L46" s="15">
        <v>0</v>
      </c>
      <c r="M46" s="15">
        <v>0</v>
      </c>
      <c r="N46" s="17">
        <v>0</v>
      </c>
      <c r="O46" s="15">
        <v>0</v>
      </c>
      <c r="P46" s="15">
        <v>0</v>
      </c>
      <c r="Q46" s="15">
        <v>0</v>
      </c>
      <c r="R46" s="15">
        <v>0</v>
      </c>
      <c r="S46" s="15">
        <v>0</v>
      </c>
      <c r="T46" s="17">
        <v>0</v>
      </c>
      <c r="U46" s="15">
        <v>0</v>
      </c>
      <c r="V46" s="15">
        <v>0</v>
      </c>
      <c r="W46" s="15">
        <v>0</v>
      </c>
      <c r="X46" s="15">
        <v>0</v>
      </c>
      <c r="Y46" s="17">
        <v>0</v>
      </c>
      <c r="Z46" s="15">
        <v>0</v>
      </c>
      <c r="AA46" s="15">
        <v>0</v>
      </c>
      <c r="AB46" s="15">
        <v>0</v>
      </c>
      <c r="AC46" s="15">
        <v>0</v>
      </c>
      <c r="AD46" s="17">
        <v>0</v>
      </c>
      <c r="AE46" s="15">
        <v>0</v>
      </c>
      <c r="AF46" s="15">
        <v>0</v>
      </c>
      <c r="AG46" s="15">
        <v>0</v>
      </c>
      <c r="AH46" s="15">
        <v>0</v>
      </c>
      <c r="AI46" s="15">
        <v>0</v>
      </c>
      <c r="AJ46" s="17">
        <v>0</v>
      </c>
      <c r="AK46" s="15">
        <v>0</v>
      </c>
      <c r="AL46" s="15">
        <v>0</v>
      </c>
      <c r="AM46" s="15">
        <v>0</v>
      </c>
      <c r="AN46" s="15">
        <v>0</v>
      </c>
      <c r="AO46" s="17">
        <v>0</v>
      </c>
      <c r="AP46" s="15">
        <v>0</v>
      </c>
      <c r="AQ46" s="15">
        <v>0</v>
      </c>
      <c r="AR46" s="15">
        <v>0</v>
      </c>
      <c r="AS46" s="15">
        <v>0</v>
      </c>
      <c r="AT46" s="15"/>
      <c r="AU46" s="17">
        <v>0</v>
      </c>
      <c r="AV46" s="15">
        <v>0</v>
      </c>
      <c r="AW46" s="15">
        <v>0</v>
      </c>
      <c r="AX46" s="15">
        <v>0</v>
      </c>
      <c r="AY46" s="17">
        <v>0</v>
      </c>
      <c r="AZ46" s="15">
        <v>0</v>
      </c>
      <c r="BA46" s="15">
        <v>0</v>
      </c>
      <c r="BB46" s="15">
        <v>0</v>
      </c>
      <c r="BC46" s="17">
        <v>0</v>
      </c>
      <c r="BD46" s="15">
        <v>0</v>
      </c>
      <c r="BE46" s="15">
        <v>0</v>
      </c>
      <c r="BF46" s="15">
        <v>0</v>
      </c>
      <c r="BG46" s="15">
        <v>0</v>
      </c>
      <c r="BH46" s="17">
        <v>0</v>
      </c>
      <c r="BI46" s="15">
        <v>0</v>
      </c>
      <c r="BJ46" s="15">
        <v>0</v>
      </c>
      <c r="BK46" s="15">
        <v>0</v>
      </c>
      <c r="BL46" s="15">
        <v>0</v>
      </c>
      <c r="BM46" s="17">
        <v>0</v>
      </c>
      <c r="BN46" s="15">
        <v>0</v>
      </c>
      <c r="BO46" s="15">
        <v>0</v>
      </c>
      <c r="BP46" s="15">
        <v>0</v>
      </c>
      <c r="BQ46" s="15">
        <v>0</v>
      </c>
      <c r="BR46" s="15">
        <v>0</v>
      </c>
      <c r="BS46" s="17">
        <v>0</v>
      </c>
      <c r="BT46" s="15">
        <v>0</v>
      </c>
      <c r="BU46" s="15">
        <v>0</v>
      </c>
      <c r="BV46" s="15">
        <v>0</v>
      </c>
      <c r="BW46" s="15">
        <v>0</v>
      </c>
      <c r="BX46" s="17">
        <v>0</v>
      </c>
      <c r="BY46" s="15">
        <v>0</v>
      </c>
      <c r="BZ46" s="15">
        <v>0</v>
      </c>
      <c r="CA46" s="15">
        <v>0</v>
      </c>
      <c r="CB46" s="17">
        <v>0</v>
      </c>
      <c r="CC46" s="15">
        <v>0</v>
      </c>
      <c r="CD46" s="15">
        <v>0</v>
      </c>
      <c r="CE46" s="15">
        <v>0</v>
      </c>
      <c r="CF46" s="15">
        <v>0</v>
      </c>
      <c r="CG46" s="17">
        <v>0</v>
      </c>
      <c r="CH46" s="15">
        <v>0</v>
      </c>
      <c r="CI46" s="15">
        <v>0</v>
      </c>
      <c r="CJ46" s="15">
        <v>0</v>
      </c>
      <c r="CK46" s="15">
        <v>0</v>
      </c>
      <c r="CL46" s="17">
        <v>0</v>
      </c>
      <c r="CM46" s="15">
        <v>0</v>
      </c>
      <c r="CN46" s="15">
        <v>0</v>
      </c>
      <c r="CO46" s="17">
        <v>0</v>
      </c>
      <c r="CP46" s="15">
        <v>0</v>
      </c>
      <c r="CQ46" s="15">
        <v>0</v>
      </c>
      <c r="CR46" s="15">
        <v>0</v>
      </c>
      <c r="CS46" s="17">
        <v>0</v>
      </c>
      <c r="CT46" s="15">
        <v>0</v>
      </c>
      <c r="CU46" s="15">
        <v>0</v>
      </c>
      <c r="CV46" s="15">
        <v>0</v>
      </c>
      <c r="CW46" s="15">
        <v>0</v>
      </c>
      <c r="CX46" s="15">
        <v>0</v>
      </c>
      <c r="CY46" s="17">
        <v>0</v>
      </c>
      <c r="CZ46" s="15">
        <v>0</v>
      </c>
      <c r="DA46" s="15">
        <v>0</v>
      </c>
      <c r="DB46" s="15">
        <v>0</v>
      </c>
      <c r="DC46" s="15">
        <v>0</v>
      </c>
      <c r="DD46" s="17">
        <v>0</v>
      </c>
      <c r="DE46" s="15">
        <v>0</v>
      </c>
      <c r="DF46" s="15">
        <v>0</v>
      </c>
      <c r="DG46" s="15">
        <v>0</v>
      </c>
      <c r="DH46" s="17">
        <v>0</v>
      </c>
      <c r="DI46" s="15">
        <v>0</v>
      </c>
      <c r="DJ46" s="15">
        <v>0</v>
      </c>
      <c r="DK46" s="15">
        <v>0</v>
      </c>
      <c r="DL46" s="15">
        <v>0</v>
      </c>
      <c r="DM46" s="15">
        <v>0</v>
      </c>
      <c r="DN46" s="17">
        <v>0</v>
      </c>
      <c r="DO46" s="15">
        <v>0</v>
      </c>
      <c r="DP46" s="15">
        <v>0</v>
      </c>
      <c r="DQ46" s="15">
        <v>0</v>
      </c>
      <c r="DR46" s="15">
        <v>0</v>
      </c>
      <c r="DS46" s="17">
        <v>0</v>
      </c>
      <c r="DT46" s="15">
        <v>0</v>
      </c>
      <c r="DU46" s="15">
        <v>0</v>
      </c>
      <c r="DV46" s="15">
        <v>0</v>
      </c>
      <c r="DW46" s="15">
        <v>0</v>
      </c>
      <c r="DX46" s="17">
        <v>0</v>
      </c>
      <c r="DY46" s="15">
        <v>0</v>
      </c>
      <c r="DZ46" s="15">
        <v>0</v>
      </c>
      <c r="EA46" s="15">
        <v>0</v>
      </c>
      <c r="EB46" s="41">
        <v>0</v>
      </c>
      <c r="EC46" s="17">
        <v>0</v>
      </c>
      <c r="ED46" s="42"/>
      <c r="EE46" s="15"/>
    </row>
    <row r="47" spans="1:135" ht="12.75">
      <c r="A47" s="40">
        <v>43878</v>
      </c>
      <c r="B47" s="15">
        <v>0</v>
      </c>
      <c r="C47" s="15">
        <v>0</v>
      </c>
      <c r="D47" s="15">
        <v>0</v>
      </c>
      <c r="E47" s="15">
        <f t="shared" ref="E47:G47" si="42">B47-C47-D47</f>
        <v>0</v>
      </c>
      <c r="F47" s="15">
        <f t="shared" si="42"/>
        <v>0</v>
      </c>
      <c r="G47" s="15">
        <f t="shared" si="42"/>
        <v>0</v>
      </c>
      <c r="H47" s="15">
        <f t="shared" si="1"/>
        <v>0</v>
      </c>
      <c r="I47" s="15">
        <v>0</v>
      </c>
      <c r="J47" s="15">
        <v>0</v>
      </c>
      <c r="K47" s="17">
        <v>0</v>
      </c>
      <c r="L47" s="15">
        <v>0</v>
      </c>
      <c r="M47" s="15">
        <v>0</v>
      </c>
      <c r="N47" s="17">
        <v>0</v>
      </c>
      <c r="O47" s="15">
        <v>0</v>
      </c>
      <c r="P47" s="15">
        <v>0</v>
      </c>
      <c r="Q47" s="15">
        <v>0</v>
      </c>
      <c r="R47" s="15">
        <v>0</v>
      </c>
      <c r="S47" s="15">
        <v>0</v>
      </c>
      <c r="T47" s="17">
        <v>0</v>
      </c>
      <c r="U47" s="15">
        <v>0</v>
      </c>
      <c r="V47" s="15">
        <v>0</v>
      </c>
      <c r="W47" s="15">
        <v>0</v>
      </c>
      <c r="X47" s="15">
        <v>0</v>
      </c>
      <c r="Y47" s="17">
        <v>0</v>
      </c>
      <c r="Z47" s="15">
        <v>0</v>
      </c>
      <c r="AA47" s="15">
        <v>0</v>
      </c>
      <c r="AB47" s="15">
        <v>0</v>
      </c>
      <c r="AC47" s="15">
        <v>0</v>
      </c>
      <c r="AD47" s="17">
        <v>0</v>
      </c>
      <c r="AE47" s="15">
        <v>0</v>
      </c>
      <c r="AF47" s="15">
        <v>0</v>
      </c>
      <c r="AG47" s="15">
        <v>0</v>
      </c>
      <c r="AH47" s="15">
        <v>0</v>
      </c>
      <c r="AI47" s="15">
        <v>0</v>
      </c>
      <c r="AJ47" s="17">
        <v>0</v>
      </c>
      <c r="AK47" s="15">
        <v>0</v>
      </c>
      <c r="AL47" s="15">
        <v>0</v>
      </c>
      <c r="AM47" s="15">
        <v>0</v>
      </c>
      <c r="AN47" s="15">
        <v>0</v>
      </c>
      <c r="AO47" s="17">
        <v>0</v>
      </c>
      <c r="AP47" s="15">
        <v>0</v>
      </c>
      <c r="AQ47" s="15">
        <v>0</v>
      </c>
      <c r="AR47" s="15">
        <v>0</v>
      </c>
      <c r="AS47" s="15">
        <v>0</v>
      </c>
      <c r="AT47" s="15"/>
      <c r="AU47" s="17">
        <v>0</v>
      </c>
      <c r="AV47" s="15">
        <v>0</v>
      </c>
      <c r="AW47" s="15">
        <v>0</v>
      </c>
      <c r="AX47" s="15">
        <v>0</v>
      </c>
      <c r="AY47" s="17">
        <v>0</v>
      </c>
      <c r="AZ47" s="15">
        <v>0</v>
      </c>
      <c r="BA47" s="15">
        <v>0</v>
      </c>
      <c r="BB47" s="15">
        <v>0</v>
      </c>
      <c r="BC47" s="17">
        <v>0</v>
      </c>
      <c r="BD47" s="15">
        <v>0</v>
      </c>
      <c r="BE47" s="15">
        <v>0</v>
      </c>
      <c r="BF47" s="15">
        <v>0</v>
      </c>
      <c r="BG47" s="15">
        <v>0</v>
      </c>
      <c r="BH47" s="17">
        <v>0</v>
      </c>
      <c r="BI47" s="15">
        <v>0</v>
      </c>
      <c r="BJ47" s="15">
        <v>0</v>
      </c>
      <c r="BK47" s="15">
        <v>0</v>
      </c>
      <c r="BL47" s="15">
        <v>0</v>
      </c>
      <c r="BM47" s="17">
        <v>0</v>
      </c>
      <c r="BN47" s="15">
        <v>0</v>
      </c>
      <c r="BO47" s="15">
        <v>0</v>
      </c>
      <c r="BP47" s="15">
        <v>0</v>
      </c>
      <c r="BQ47" s="15">
        <v>0</v>
      </c>
      <c r="BR47" s="15">
        <v>0</v>
      </c>
      <c r="BS47" s="17">
        <v>0</v>
      </c>
      <c r="BT47" s="15">
        <v>0</v>
      </c>
      <c r="BU47" s="15">
        <v>0</v>
      </c>
      <c r="BV47" s="15">
        <v>0</v>
      </c>
      <c r="BW47" s="15">
        <v>0</v>
      </c>
      <c r="BX47" s="17">
        <v>0</v>
      </c>
      <c r="BY47" s="15">
        <v>0</v>
      </c>
      <c r="BZ47" s="15">
        <v>0</v>
      </c>
      <c r="CA47" s="15">
        <v>0</v>
      </c>
      <c r="CB47" s="17">
        <v>0</v>
      </c>
      <c r="CC47" s="15">
        <v>0</v>
      </c>
      <c r="CD47" s="15">
        <v>0</v>
      </c>
      <c r="CE47" s="15">
        <v>0</v>
      </c>
      <c r="CF47" s="15">
        <v>0</v>
      </c>
      <c r="CG47" s="17">
        <v>0</v>
      </c>
      <c r="CH47" s="15">
        <v>0</v>
      </c>
      <c r="CI47" s="15">
        <v>0</v>
      </c>
      <c r="CJ47" s="15">
        <v>0</v>
      </c>
      <c r="CK47" s="15">
        <v>0</v>
      </c>
      <c r="CL47" s="17">
        <v>0</v>
      </c>
      <c r="CM47" s="15">
        <v>0</v>
      </c>
      <c r="CN47" s="15">
        <v>0</v>
      </c>
      <c r="CO47" s="17">
        <v>0</v>
      </c>
      <c r="CP47" s="15">
        <v>0</v>
      </c>
      <c r="CQ47" s="15">
        <v>0</v>
      </c>
      <c r="CR47" s="15">
        <v>0</v>
      </c>
      <c r="CS47" s="17">
        <v>0</v>
      </c>
      <c r="CT47" s="15">
        <v>0</v>
      </c>
      <c r="CU47" s="15">
        <v>0</v>
      </c>
      <c r="CV47" s="15">
        <v>0</v>
      </c>
      <c r="CW47" s="15">
        <v>0</v>
      </c>
      <c r="CX47" s="15">
        <v>0</v>
      </c>
      <c r="CY47" s="17">
        <v>0</v>
      </c>
      <c r="CZ47" s="15">
        <v>0</v>
      </c>
      <c r="DA47" s="15">
        <v>0</v>
      </c>
      <c r="DB47" s="15">
        <v>0</v>
      </c>
      <c r="DC47" s="15">
        <v>0</v>
      </c>
      <c r="DD47" s="17">
        <v>0</v>
      </c>
      <c r="DE47" s="15">
        <v>0</v>
      </c>
      <c r="DF47" s="15">
        <v>0</v>
      </c>
      <c r="DG47" s="15">
        <v>0</v>
      </c>
      <c r="DH47" s="17">
        <v>0</v>
      </c>
      <c r="DI47" s="15">
        <v>0</v>
      </c>
      <c r="DJ47" s="15">
        <v>0</v>
      </c>
      <c r="DK47" s="15">
        <v>0</v>
      </c>
      <c r="DL47" s="15">
        <v>0</v>
      </c>
      <c r="DM47" s="15">
        <v>0</v>
      </c>
      <c r="DN47" s="17">
        <v>0</v>
      </c>
      <c r="DO47" s="15">
        <v>0</v>
      </c>
      <c r="DP47" s="15">
        <v>0</v>
      </c>
      <c r="DQ47" s="15">
        <v>0</v>
      </c>
      <c r="DR47" s="15">
        <v>0</v>
      </c>
      <c r="DS47" s="17">
        <v>0</v>
      </c>
      <c r="DT47" s="15">
        <v>0</v>
      </c>
      <c r="DU47" s="15">
        <v>0</v>
      </c>
      <c r="DV47" s="15">
        <v>0</v>
      </c>
      <c r="DW47" s="15">
        <v>0</v>
      </c>
      <c r="DX47" s="17">
        <v>0</v>
      </c>
      <c r="DY47" s="15">
        <v>0</v>
      </c>
      <c r="DZ47" s="15">
        <v>0</v>
      </c>
      <c r="EA47" s="15">
        <v>0</v>
      </c>
      <c r="EB47" s="41">
        <v>0</v>
      </c>
      <c r="EC47" s="17">
        <v>0</v>
      </c>
      <c r="ED47" s="42"/>
      <c r="EE47" s="15"/>
    </row>
    <row r="48" spans="1:135" ht="12.75">
      <c r="A48" s="40">
        <v>43879</v>
      </c>
      <c r="B48" s="15">
        <v>0</v>
      </c>
      <c r="C48" s="15">
        <v>0</v>
      </c>
      <c r="D48" s="15">
        <v>0</v>
      </c>
      <c r="E48" s="15">
        <f t="shared" ref="E48:G48" si="43">B48-C48-D48</f>
        <v>0</v>
      </c>
      <c r="F48" s="15">
        <f t="shared" si="43"/>
        <v>0</v>
      </c>
      <c r="G48" s="15">
        <f t="shared" si="43"/>
        <v>0</v>
      </c>
      <c r="H48" s="15">
        <f t="shared" si="1"/>
        <v>0</v>
      </c>
      <c r="I48" s="15">
        <v>0</v>
      </c>
      <c r="J48" s="15">
        <v>0</v>
      </c>
      <c r="K48" s="17">
        <v>0</v>
      </c>
      <c r="L48" s="15">
        <v>0</v>
      </c>
      <c r="M48" s="15">
        <v>0</v>
      </c>
      <c r="N48" s="17">
        <v>0</v>
      </c>
      <c r="O48" s="15">
        <v>0</v>
      </c>
      <c r="P48" s="15">
        <v>0</v>
      </c>
      <c r="Q48" s="15">
        <v>0</v>
      </c>
      <c r="R48" s="15">
        <v>0</v>
      </c>
      <c r="S48" s="15">
        <v>0</v>
      </c>
      <c r="T48" s="17">
        <v>0</v>
      </c>
      <c r="U48" s="15">
        <v>0</v>
      </c>
      <c r="V48" s="15">
        <v>0</v>
      </c>
      <c r="W48" s="15">
        <v>0</v>
      </c>
      <c r="X48" s="15">
        <v>0</v>
      </c>
      <c r="Y48" s="17">
        <v>0</v>
      </c>
      <c r="Z48" s="15">
        <v>0</v>
      </c>
      <c r="AA48" s="15">
        <v>0</v>
      </c>
      <c r="AB48" s="15">
        <v>0</v>
      </c>
      <c r="AC48" s="15">
        <v>0</v>
      </c>
      <c r="AD48" s="17">
        <v>0</v>
      </c>
      <c r="AE48" s="15">
        <v>0</v>
      </c>
      <c r="AF48" s="15">
        <v>0</v>
      </c>
      <c r="AG48" s="15">
        <v>0</v>
      </c>
      <c r="AH48" s="15">
        <v>0</v>
      </c>
      <c r="AI48" s="15">
        <v>0</v>
      </c>
      <c r="AJ48" s="17">
        <v>0</v>
      </c>
      <c r="AK48" s="15">
        <v>0</v>
      </c>
      <c r="AL48" s="15">
        <v>0</v>
      </c>
      <c r="AM48" s="15">
        <v>0</v>
      </c>
      <c r="AN48" s="15">
        <v>0</v>
      </c>
      <c r="AO48" s="17">
        <v>0</v>
      </c>
      <c r="AP48" s="15">
        <v>0</v>
      </c>
      <c r="AQ48" s="15">
        <v>0</v>
      </c>
      <c r="AR48" s="15">
        <v>0</v>
      </c>
      <c r="AS48" s="15">
        <v>0</v>
      </c>
      <c r="AT48" s="15"/>
      <c r="AU48" s="17">
        <v>0</v>
      </c>
      <c r="AV48" s="15">
        <v>0</v>
      </c>
      <c r="AW48" s="15">
        <v>0</v>
      </c>
      <c r="AX48" s="15">
        <v>0</v>
      </c>
      <c r="AY48" s="17">
        <v>0</v>
      </c>
      <c r="AZ48" s="15">
        <v>0</v>
      </c>
      <c r="BA48" s="15">
        <v>0</v>
      </c>
      <c r="BB48" s="15">
        <v>0</v>
      </c>
      <c r="BC48" s="17">
        <v>0</v>
      </c>
      <c r="BD48" s="15">
        <v>0</v>
      </c>
      <c r="BE48" s="15">
        <v>0</v>
      </c>
      <c r="BF48" s="15">
        <v>0</v>
      </c>
      <c r="BG48" s="15">
        <v>0</v>
      </c>
      <c r="BH48" s="17">
        <v>0</v>
      </c>
      <c r="BI48" s="15">
        <v>0</v>
      </c>
      <c r="BJ48" s="15">
        <v>0</v>
      </c>
      <c r="BK48" s="15">
        <v>0</v>
      </c>
      <c r="BL48" s="15">
        <v>0</v>
      </c>
      <c r="BM48" s="17">
        <v>0</v>
      </c>
      <c r="BN48" s="15">
        <v>0</v>
      </c>
      <c r="BO48" s="15">
        <v>0</v>
      </c>
      <c r="BP48" s="15">
        <v>0</v>
      </c>
      <c r="BQ48" s="15">
        <v>0</v>
      </c>
      <c r="BR48" s="15">
        <v>0</v>
      </c>
      <c r="BS48" s="17">
        <v>0</v>
      </c>
      <c r="BT48" s="15">
        <v>0</v>
      </c>
      <c r="BU48" s="15">
        <v>0</v>
      </c>
      <c r="BV48" s="15">
        <v>0</v>
      </c>
      <c r="BW48" s="15">
        <v>0</v>
      </c>
      <c r="BX48" s="17">
        <v>0</v>
      </c>
      <c r="BY48" s="15">
        <v>0</v>
      </c>
      <c r="BZ48" s="15">
        <v>0</v>
      </c>
      <c r="CA48" s="15">
        <v>0</v>
      </c>
      <c r="CB48" s="17">
        <v>0</v>
      </c>
      <c r="CC48" s="15">
        <v>0</v>
      </c>
      <c r="CD48" s="15">
        <v>0</v>
      </c>
      <c r="CE48" s="15">
        <v>0</v>
      </c>
      <c r="CF48" s="15">
        <v>0</v>
      </c>
      <c r="CG48" s="17">
        <v>0</v>
      </c>
      <c r="CH48" s="15">
        <v>0</v>
      </c>
      <c r="CI48" s="15">
        <v>0</v>
      </c>
      <c r="CJ48" s="15">
        <v>0</v>
      </c>
      <c r="CK48" s="15">
        <v>0</v>
      </c>
      <c r="CL48" s="17">
        <v>0</v>
      </c>
      <c r="CM48" s="15">
        <v>0</v>
      </c>
      <c r="CN48" s="15">
        <v>0</v>
      </c>
      <c r="CO48" s="17">
        <v>0</v>
      </c>
      <c r="CP48" s="15">
        <v>0</v>
      </c>
      <c r="CQ48" s="15">
        <v>0</v>
      </c>
      <c r="CR48" s="15">
        <v>0</v>
      </c>
      <c r="CS48" s="17">
        <v>0</v>
      </c>
      <c r="CT48" s="15">
        <v>0</v>
      </c>
      <c r="CU48" s="15">
        <v>0</v>
      </c>
      <c r="CV48" s="15">
        <v>0</v>
      </c>
      <c r="CW48" s="15">
        <v>0</v>
      </c>
      <c r="CX48" s="15">
        <v>0</v>
      </c>
      <c r="CY48" s="17">
        <v>0</v>
      </c>
      <c r="CZ48" s="15">
        <v>0</v>
      </c>
      <c r="DA48" s="15">
        <v>0</v>
      </c>
      <c r="DB48" s="15">
        <v>0</v>
      </c>
      <c r="DC48" s="15">
        <v>0</v>
      </c>
      <c r="DD48" s="17">
        <v>0</v>
      </c>
      <c r="DE48" s="15">
        <v>0</v>
      </c>
      <c r="DF48" s="15">
        <v>0</v>
      </c>
      <c r="DG48" s="15">
        <v>0</v>
      </c>
      <c r="DH48" s="17">
        <v>0</v>
      </c>
      <c r="DI48" s="15">
        <v>0</v>
      </c>
      <c r="DJ48" s="15">
        <v>0</v>
      </c>
      <c r="DK48" s="15">
        <v>0</v>
      </c>
      <c r="DL48" s="15">
        <v>0</v>
      </c>
      <c r="DM48" s="15">
        <v>0</v>
      </c>
      <c r="DN48" s="17">
        <v>0</v>
      </c>
      <c r="DO48" s="15">
        <v>0</v>
      </c>
      <c r="DP48" s="15">
        <v>0</v>
      </c>
      <c r="DQ48" s="15">
        <v>0</v>
      </c>
      <c r="DR48" s="15">
        <v>0</v>
      </c>
      <c r="DS48" s="17">
        <v>0</v>
      </c>
      <c r="DT48" s="15">
        <v>0</v>
      </c>
      <c r="DU48" s="15">
        <v>0</v>
      </c>
      <c r="DV48" s="15">
        <v>0</v>
      </c>
      <c r="DW48" s="15">
        <v>0</v>
      </c>
      <c r="DX48" s="17">
        <v>0</v>
      </c>
      <c r="DY48" s="15">
        <v>0</v>
      </c>
      <c r="DZ48" s="15">
        <v>0</v>
      </c>
      <c r="EA48" s="15">
        <v>0</v>
      </c>
      <c r="EB48" s="41">
        <v>0</v>
      </c>
      <c r="EC48" s="17">
        <v>0</v>
      </c>
      <c r="ED48" s="42"/>
      <c r="EE48" s="15"/>
    </row>
    <row r="49" spans="1:135" ht="12.75">
      <c r="A49" s="40">
        <v>43880</v>
      </c>
      <c r="B49" s="15">
        <v>0</v>
      </c>
      <c r="C49" s="15">
        <v>0</v>
      </c>
      <c r="D49" s="15">
        <v>0</v>
      </c>
      <c r="E49" s="15">
        <f t="shared" ref="E49:G49" si="44">B49-C49-D49</f>
        <v>0</v>
      </c>
      <c r="F49" s="15">
        <f t="shared" si="44"/>
        <v>0</v>
      </c>
      <c r="G49" s="15">
        <f t="shared" si="44"/>
        <v>0</v>
      </c>
      <c r="H49" s="15">
        <f t="shared" si="1"/>
        <v>0</v>
      </c>
      <c r="I49" s="15">
        <v>0</v>
      </c>
      <c r="J49" s="15">
        <v>0</v>
      </c>
      <c r="K49" s="17">
        <v>0</v>
      </c>
      <c r="L49" s="15">
        <v>0</v>
      </c>
      <c r="M49" s="15">
        <v>0</v>
      </c>
      <c r="N49" s="17">
        <v>0</v>
      </c>
      <c r="O49" s="15">
        <v>0</v>
      </c>
      <c r="P49" s="15">
        <v>0</v>
      </c>
      <c r="Q49" s="15">
        <v>0</v>
      </c>
      <c r="R49" s="15">
        <v>0</v>
      </c>
      <c r="S49" s="15">
        <v>0</v>
      </c>
      <c r="T49" s="17">
        <v>0</v>
      </c>
      <c r="U49" s="15">
        <v>0</v>
      </c>
      <c r="V49" s="15">
        <v>0</v>
      </c>
      <c r="W49" s="15">
        <v>0</v>
      </c>
      <c r="X49" s="15">
        <v>0</v>
      </c>
      <c r="Y49" s="17">
        <v>0</v>
      </c>
      <c r="Z49" s="15">
        <v>0</v>
      </c>
      <c r="AA49" s="15">
        <v>0</v>
      </c>
      <c r="AB49" s="15">
        <v>0</v>
      </c>
      <c r="AC49" s="15">
        <v>0</v>
      </c>
      <c r="AD49" s="17">
        <v>0</v>
      </c>
      <c r="AE49" s="15">
        <v>0</v>
      </c>
      <c r="AF49" s="15">
        <v>0</v>
      </c>
      <c r="AG49" s="15">
        <v>0</v>
      </c>
      <c r="AH49" s="15">
        <v>0</v>
      </c>
      <c r="AI49" s="15">
        <v>0</v>
      </c>
      <c r="AJ49" s="17">
        <v>0</v>
      </c>
      <c r="AK49" s="15">
        <v>0</v>
      </c>
      <c r="AL49" s="15">
        <v>0</v>
      </c>
      <c r="AM49" s="15">
        <v>0</v>
      </c>
      <c r="AN49" s="15">
        <v>0</v>
      </c>
      <c r="AO49" s="17">
        <v>0</v>
      </c>
      <c r="AP49" s="15">
        <v>0</v>
      </c>
      <c r="AQ49" s="15">
        <v>0</v>
      </c>
      <c r="AR49" s="15">
        <v>0</v>
      </c>
      <c r="AS49" s="15">
        <v>0</v>
      </c>
      <c r="AT49" s="15"/>
      <c r="AU49" s="17">
        <v>0</v>
      </c>
      <c r="AV49" s="15">
        <v>0</v>
      </c>
      <c r="AW49" s="15">
        <v>0</v>
      </c>
      <c r="AX49" s="15">
        <v>0</v>
      </c>
      <c r="AY49" s="17">
        <v>0</v>
      </c>
      <c r="AZ49" s="15">
        <v>0</v>
      </c>
      <c r="BA49" s="15">
        <v>0</v>
      </c>
      <c r="BB49" s="15">
        <v>0</v>
      </c>
      <c r="BC49" s="17">
        <v>0</v>
      </c>
      <c r="BD49" s="15">
        <v>0</v>
      </c>
      <c r="BE49" s="15">
        <v>0</v>
      </c>
      <c r="BF49" s="15">
        <v>0</v>
      </c>
      <c r="BG49" s="15">
        <v>0</v>
      </c>
      <c r="BH49" s="17">
        <v>0</v>
      </c>
      <c r="BI49" s="15">
        <v>0</v>
      </c>
      <c r="BJ49" s="15">
        <v>0</v>
      </c>
      <c r="BK49" s="15">
        <v>0</v>
      </c>
      <c r="BL49" s="15">
        <v>0</v>
      </c>
      <c r="BM49" s="17">
        <v>0</v>
      </c>
      <c r="BN49" s="15">
        <v>0</v>
      </c>
      <c r="BO49" s="15">
        <v>0</v>
      </c>
      <c r="BP49" s="15">
        <v>0</v>
      </c>
      <c r="BQ49" s="15">
        <v>0</v>
      </c>
      <c r="BR49" s="15">
        <v>0</v>
      </c>
      <c r="BS49" s="17">
        <v>0</v>
      </c>
      <c r="BT49" s="15">
        <v>0</v>
      </c>
      <c r="BU49" s="15">
        <v>0</v>
      </c>
      <c r="BV49" s="15">
        <v>0</v>
      </c>
      <c r="BW49" s="15">
        <v>0</v>
      </c>
      <c r="BX49" s="17">
        <v>0</v>
      </c>
      <c r="BY49" s="15">
        <v>0</v>
      </c>
      <c r="BZ49" s="15">
        <v>0</v>
      </c>
      <c r="CA49" s="15">
        <v>0</v>
      </c>
      <c r="CB49" s="17">
        <v>0</v>
      </c>
      <c r="CC49" s="15">
        <v>0</v>
      </c>
      <c r="CD49" s="15">
        <v>0</v>
      </c>
      <c r="CE49" s="15">
        <v>0</v>
      </c>
      <c r="CF49" s="15">
        <v>0</v>
      </c>
      <c r="CG49" s="17">
        <v>0</v>
      </c>
      <c r="CH49" s="15">
        <v>0</v>
      </c>
      <c r="CI49" s="15">
        <v>0</v>
      </c>
      <c r="CJ49" s="15">
        <v>0</v>
      </c>
      <c r="CK49" s="15">
        <v>0</v>
      </c>
      <c r="CL49" s="17">
        <v>0</v>
      </c>
      <c r="CM49" s="15">
        <v>0</v>
      </c>
      <c r="CN49" s="15">
        <v>0</v>
      </c>
      <c r="CO49" s="17">
        <v>0</v>
      </c>
      <c r="CP49" s="15">
        <v>0</v>
      </c>
      <c r="CQ49" s="15">
        <v>0</v>
      </c>
      <c r="CR49" s="15">
        <v>0</v>
      </c>
      <c r="CS49" s="17">
        <v>0</v>
      </c>
      <c r="CT49" s="15">
        <v>0</v>
      </c>
      <c r="CU49" s="15">
        <v>0</v>
      </c>
      <c r="CV49" s="15">
        <v>0</v>
      </c>
      <c r="CW49" s="15">
        <v>0</v>
      </c>
      <c r="CX49" s="15">
        <v>0</v>
      </c>
      <c r="CY49" s="17">
        <v>0</v>
      </c>
      <c r="CZ49" s="15">
        <v>0</v>
      </c>
      <c r="DA49" s="15">
        <v>0</v>
      </c>
      <c r="DB49" s="15">
        <v>0</v>
      </c>
      <c r="DC49" s="15">
        <v>0</v>
      </c>
      <c r="DD49" s="17">
        <v>0</v>
      </c>
      <c r="DE49" s="15">
        <v>0</v>
      </c>
      <c r="DF49" s="15">
        <v>0</v>
      </c>
      <c r="DG49" s="15">
        <v>0</v>
      </c>
      <c r="DH49" s="17">
        <v>0</v>
      </c>
      <c r="DI49" s="15">
        <v>0</v>
      </c>
      <c r="DJ49" s="15">
        <v>0</v>
      </c>
      <c r="DK49" s="15">
        <v>0</v>
      </c>
      <c r="DL49" s="15">
        <v>0</v>
      </c>
      <c r="DM49" s="15">
        <v>0</v>
      </c>
      <c r="DN49" s="17">
        <v>0</v>
      </c>
      <c r="DO49" s="15">
        <v>0</v>
      </c>
      <c r="DP49" s="15">
        <v>0</v>
      </c>
      <c r="DQ49" s="15">
        <v>0</v>
      </c>
      <c r="DR49" s="15">
        <v>0</v>
      </c>
      <c r="DS49" s="17">
        <v>0</v>
      </c>
      <c r="DT49" s="15">
        <v>0</v>
      </c>
      <c r="DU49" s="15">
        <v>0</v>
      </c>
      <c r="DV49" s="15">
        <v>0</v>
      </c>
      <c r="DW49" s="15">
        <v>0</v>
      </c>
      <c r="DX49" s="17">
        <v>0</v>
      </c>
      <c r="DY49" s="15">
        <v>0</v>
      </c>
      <c r="DZ49" s="15">
        <v>0</v>
      </c>
      <c r="EA49" s="15">
        <v>0</v>
      </c>
      <c r="EB49" s="41">
        <v>0</v>
      </c>
      <c r="EC49" s="17">
        <v>0</v>
      </c>
      <c r="ED49" s="42"/>
      <c r="EE49" s="15"/>
    </row>
    <row r="50" spans="1:135" ht="12.75">
      <c r="A50" s="40">
        <v>43881</v>
      </c>
      <c r="B50" s="15">
        <v>0</v>
      </c>
      <c r="C50" s="15">
        <v>0</v>
      </c>
      <c r="D50" s="15">
        <v>0</v>
      </c>
      <c r="E50" s="15">
        <f t="shared" ref="E50:G50" si="45">B50-C50-D50</f>
        <v>0</v>
      </c>
      <c r="F50" s="15">
        <f t="shared" si="45"/>
        <v>0</v>
      </c>
      <c r="G50" s="15">
        <f t="shared" si="45"/>
        <v>0</v>
      </c>
      <c r="H50" s="15">
        <f t="shared" si="1"/>
        <v>0</v>
      </c>
      <c r="I50" s="15">
        <v>0</v>
      </c>
      <c r="J50" s="15">
        <v>0</v>
      </c>
      <c r="K50" s="17">
        <v>0</v>
      </c>
      <c r="L50" s="15">
        <v>0</v>
      </c>
      <c r="M50" s="15">
        <v>0</v>
      </c>
      <c r="N50" s="17">
        <v>0</v>
      </c>
      <c r="O50" s="15">
        <v>0</v>
      </c>
      <c r="P50" s="15">
        <v>0</v>
      </c>
      <c r="Q50" s="15">
        <v>0</v>
      </c>
      <c r="R50" s="15">
        <v>0</v>
      </c>
      <c r="S50" s="15">
        <v>0</v>
      </c>
      <c r="T50" s="17">
        <v>0</v>
      </c>
      <c r="U50" s="15">
        <v>0</v>
      </c>
      <c r="V50" s="15">
        <v>0</v>
      </c>
      <c r="W50" s="15">
        <v>0</v>
      </c>
      <c r="X50" s="15">
        <v>0</v>
      </c>
      <c r="Y50" s="17">
        <v>0</v>
      </c>
      <c r="Z50" s="15">
        <v>0</v>
      </c>
      <c r="AA50" s="15">
        <v>0</v>
      </c>
      <c r="AB50" s="15">
        <v>0</v>
      </c>
      <c r="AC50" s="15">
        <v>0</v>
      </c>
      <c r="AD50" s="17">
        <v>0</v>
      </c>
      <c r="AE50" s="15">
        <v>0</v>
      </c>
      <c r="AF50" s="15">
        <v>0</v>
      </c>
      <c r="AG50" s="15">
        <v>0</v>
      </c>
      <c r="AH50" s="15">
        <v>0</v>
      </c>
      <c r="AI50" s="15">
        <v>0</v>
      </c>
      <c r="AJ50" s="17">
        <v>0</v>
      </c>
      <c r="AK50" s="15">
        <v>0</v>
      </c>
      <c r="AL50" s="15">
        <v>0</v>
      </c>
      <c r="AM50" s="15">
        <v>0</v>
      </c>
      <c r="AN50" s="15">
        <v>0</v>
      </c>
      <c r="AO50" s="17">
        <v>0</v>
      </c>
      <c r="AP50" s="15">
        <v>0</v>
      </c>
      <c r="AQ50" s="15">
        <v>0</v>
      </c>
      <c r="AR50" s="15">
        <v>0</v>
      </c>
      <c r="AS50" s="15">
        <v>0</v>
      </c>
      <c r="AT50" s="15"/>
      <c r="AU50" s="17">
        <v>0</v>
      </c>
      <c r="AV50" s="15">
        <v>0</v>
      </c>
      <c r="AW50" s="15">
        <v>0</v>
      </c>
      <c r="AX50" s="15">
        <v>0</v>
      </c>
      <c r="AY50" s="17">
        <v>0</v>
      </c>
      <c r="AZ50" s="15">
        <v>0</v>
      </c>
      <c r="BA50" s="15">
        <v>0</v>
      </c>
      <c r="BB50" s="15">
        <v>0</v>
      </c>
      <c r="BC50" s="17">
        <v>0</v>
      </c>
      <c r="BD50" s="15">
        <v>0</v>
      </c>
      <c r="BE50" s="15">
        <v>0</v>
      </c>
      <c r="BF50" s="15">
        <v>0</v>
      </c>
      <c r="BG50" s="15">
        <v>0</v>
      </c>
      <c r="BH50" s="17">
        <v>0</v>
      </c>
      <c r="BI50" s="15">
        <v>0</v>
      </c>
      <c r="BJ50" s="15">
        <v>0</v>
      </c>
      <c r="BK50" s="15">
        <v>0</v>
      </c>
      <c r="BL50" s="15">
        <v>0</v>
      </c>
      <c r="BM50" s="17">
        <v>0</v>
      </c>
      <c r="BN50" s="15">
        <v>0</v>
      </c>
      <c r="BO50" s="15">
        <v>0</v>
      </c>
      <c r="BP50" s="15">
        <v>0</v>
      </c>
      <c r="BQ50" s="15">
        <v>0</v>
      </c>
      <c r="BR50" s="15">
        <v>0</v>
      </c>
      <c r="BS50" s="17">
        <v>0</v>
      </c>
      <c r="BT50" s="15">
        <v>0</v>
      </c>
      <c r="BU50" s="15">
        <v>0</v>
      </c>
      <c r="BV50" s="15">
        <v>0</v>
      </c>
      <c r="BW50" s="15">
        <v>0</v>
      </c>
      <c r="BX50" s="17">
        <v>0</v>
      </c>
      <c r="BY50" s="15">
        <v>0</v>
      </c>
      <c r="BZ50" s="15">
        <v>0</v>
      </c>
      <c r="CA50" s="15">
        <v>0</v>
      </c>
      <c r="CB50" s="17">
        <v>0</v>
      </c>
      <c r="CC50" s="15">
        <v>0</v>
      </c>
      <c r="CD50" s="15">
        <v>0</v>
      </c>
      <c r="CE50" s="15">
        <v>0</v>
      </c>
      <c r="CF50" s="15">
        <v>0</v>
      </c>
      <c r="CG50" s="17">
        <v>0</v>
      </c>
      <c r="CH50" s="15">
        <v>0</v>
      </c>
      <c r="CI50" s="15">
        <v>0</v>
      </c>
      <c r="CJ50" s="15">
        <v>0</v>
      </c>
      <c r="CK50" s="15">
        <v>0</v>
      </c>
      <c r="CL50" s="17">
        <v>0</v>
      </c>
      <c r="CM50" s="15">
        <v>0</v>
      </c>
      <c r="CN50" s="15">
        <v>0</v>
      </c>
      <c r="CO50" s="17">
        <v>0</v>
      </c>
      <c r="CP50" s="15">
        <v>0</v>
      </c>
      <c r="CQ50" s="15">
        <v>0</v>
      </c>
      <c r="CR50" s="15">
        <v>0</v>
      </c>
      <c r="CS50" s="17">
        <v>0</v>
      </c>
      <c r="CT50" s="15">
        <v>0</v>
      </c>
      <c r="CU50" s="15">
        <v>0</v>
      </c>
      <c r="CV50" s="15">
        <v>0</v>
      </c>
      <c r="CW50" s="15">
        <v>0</v>
      </c>
      <c r="CX50" s="15">
        <v>0</v>
      </c>
      <c r="CY50" s="17">
        <v>0</v>
      </c>
      <c r="CZ50" s="15">
        <v>0</v>
      </c>
      <c r="DA50" s="15">
        <v>0</v>
      </c>
      <c r="DB50" s="15">
        <v>0</v>
      </c>
      <c r="DC50" s="15">
        <v>0</v>
      </c>
      <c r="DD50" s="17">
        <v>0</v>
      </c>
      <c r="DE50" s="15">
        <v>0</v>
      </c>
      <c r="DF50" s="15">
        <v>0</v>
      </c>
      <c r="DG50" s="15">
        <v>0</v>
      </c>
      <c r="DH50" s="17">
        <v>0</v>
      </c>
      <c r="DI50" s="15">
        <v>0</v>
      </c>
      <c r="DJ50" s="15">
        <v>0</v>
      </c>
      <c r="DK50" s="15">
        <v>0</v>
      </c>
      <c r="DL50" s="15">
        <v>0</v>
      </c>
      <c r="DM50" s="15">
        <v>0</v>
      </c>
      <c r="DN50" s="17">
        <v>0</v>
      </c>
      <c r="DO50" s="15">
        <v>0</v>
      </c>
      <c r="DP50" s="15">
        <v>0</v>
      </c>
      <c r="DQ50" s="15">
        <v>0</v>
      </c>
      <c r="DR50" s="15">
        <v>0</v>
      </c>
      <c r="DS50" s="17">
        <v>0</v>
      </c>
      <c r="DT50" s="15">
        <v>0</v>
      </c>
      <c r="DU50" s="15">
        <v>0</v>
      </c>
      <c r="DV50" s="15">
        <v>0</v>
      </c>
      <c r="DW50" s="15">
        <v>0</v>
      </c>
      <c r="DX50" s="17">
        <v>0</v>
      </c>
      <c r="DY50" s="15">
        <v>0</v>
      </c>
      <c r="DZ50" s="15">
        <v>0</v>
      </c>
      <c r="EA50" s="15">
        <v>0</v>
      </c>
      <c r="EB50" s="41">
        <v>0</v>
      </c>
      <c r="EC50" s="17">
        <v>0</v>
      </c>
      <c r="ED50" s="42"/>
      <c r="EE50" s="15"/>
    </row>
    <row r="51" spans="1:135" ht="12.75">
      <c r="A51" s="40">
        <v>43882</v>
      </c>
      <c r="B51" s="15">
        <v>0</v>
      </c>
      <c r="C51" s="15">
        <v>0</v>
      </c>
      <c r="D51" s="15">
        <v>0</v>
      </c>
      <c r="E51" s="15">
        <f t="shared" ref="E51:G51" si="46">B51-C51-D51</f>
        <v>0</v>
      </c>
      <c r="F51" s="15">
        <f t="shared" si="46"/>
        <v>0</v>
      </c>
      <c r="G51" s="15">
        <f t="shared" si="46"/>
        <v>0</v>
      </c>
      <c r="H51" s="15">
        <f t="shared" si="1"/>
        <v>0</v>
      </c>
      <c r="I51" s="15">
        <v>0</v>
      </c>
      <c r="J51" s="15">
        <v>0</v>
      </c>
      <c r="K51" s="17">
        <v>0</v>
      </c>
      <c r="L51" s="15">
        <v>0</v>
      </c>
      <c r="M51" s="15">
        <v>0</v>
      </c>
      <c r="N51" s="17">
        <v>0</v>
      </c>
      <c r="O51" s="15">
        <v>0</v>
      </c>
      <c r="P51" s="15">
        <v>0</v>
      </c>
      <c r="Q51" s="15">
        <v>0</v>
      </c>
      <c r="R51" s="15">
        <v>0</v>
      </c>
      <c r="S51" s="15">
        <v>0</v>
      </c>
      <c r="T51" s="17">
        <v>0</v>
      </c>
      <c r="U51" s="15">
        <v>0</v>
      </c>
      <c r="V51" s="15">
        <v>0</v>
      </c>
      <c r="W51" s="15">
        <v>0</v>
      </c>
      <c r="X51" s="15">
        <v>0</v>
      </c>
      <c r="Y51" s="17">
        <v>0</v>
      </c>
      <c r="Z51" s="15">
        <v>0</v>
      </c>
      <c r="AA51" s="15">
        <v>0</v>
      </c>
      <c r="AB51" s="15">
        <v>0</v>
      </c>
      <c r="AC51" s="15">
        <v>0</v>
      </c>
      <c r="AD51" s="17">
        <v>0</v>
      </c>
      <c r="AE51" s="15">
        <v>0</v>
      </c>
      <c r="AF51" s="15">
        <v>0</v>
      </c>
      <c r="AG51" s="15">
        <v>0</v>
      </c>
      <c r="AH51" s="15">
        <v>0</v>
      </c>
      <c r="AI51" s="15">
        <v>0</v>
      </c>
      <c r="AJ51" s="17">
        <v>0</v>
      </c>
      <c r="AK51" s="15">
        <v>0</v>
      </c>
      <c r="AL51" s="15">
        <v>0</v>
      </c>
      <c r="AM51" s="15">
        <v>0</v>
      </c>
      <c r="AN51" s="15">
        <v>0</v>
      </c>
      <c r="AO51" s="17">
        <v>0</v>
      </c>
      <c r="AP51" s="15">
        <v>0</v>
      </c>
      <c r="AQ51" s="15">
        <v>0</v>
      </c>
      <c r="AR51" s="15">
        <v>0</v>
      </c>
      <c r="AS51" s="15">
        <v>0</v>
      </c>
      <c r="AT51" s="15"/>
      <c r="AU51" s="17">
        <v>0</v>
      </c>
      <c r="AV51" s="15">
        <v>0</v>
      </c>
      <c r="AW51" s="15">
        <v>0</v>
      </c>
      <c r="AX51" s="15">
        <v>0</v>
      </c>
      <c r="AY51" s="17">
        <v>0</v>
      </c>
      <c r="AZ51" s="15">
        <v>0</v>
      </c>
      <c r="BA51" s="15">
        <v>0</v>
      </c>
      <c r="BB51" s="15">
        <v>0</v>
      </c>
      <c r="BC51" s="17">
        <v>0</v>
      </c>
      <c r="BD51" s="15">
        <v>0</v>
      </c>
      <c r="BE51" s="15">
        <v>0</v>
      </c>
      <c r="BF51" s="15">
        <v>0</v>
      </c>
      <c r="BG51" s="15">
        <v>0</v>
      </c>
      <c r="BH51" s="17">
        <v>0</v>
      </c>
      <c r="BI51" s="15">
        <v>0</v>
      </c>
      <c r="BJ51" s="15">
        <v>0</v>
      </c>
      <c r="BK51" s="15">
        <v>0</v>
      </c>
      <c r="BL51" s="15">
        <v>0</v>
      </c>
      <c r="BM51" s="17">
        <v>0</v>
      </c>
      <c r="BN51" s="15">
        <v>0</v>
      </c>
      <c r="BO51" s="15">
        <v>0</v>
      </c>
      <c r="BP51" s="15">
        <v>0</v>
      </c>
      <c r="BQ51" s="15">
        <v>0</v>
      </c>
      <c r="BR51" s="15">
        <v>0</v>
      </c>
      <c r="BS51" s="17">
        <v>0</v>
      </c>
      <c r="BT51" s="15">
        <v>0</v>
      </c>
      <c r="BU51" s="15">
        <v>0</v>
      </c>
      <c r="BV51" s="15">
        <v>0</v>
      </c>
      <c r="BW51" s="15">
        <v>0</v>
      </c>
      <c r="BX51" s="17">
        <v>0</v>
      </c>
      <c r="BY51" s="15">
        <v>0</v>
      </c>
      <c r="BZ51" s="15">
        <v>0</v>
      </c>
      <c r="CA51" s="15">
        <v>0</v>
      </c>
      <c r="CB51" s="17">
        <v>0</v>
      </c>
      <c r="CC51" s="15">
        <v>0</v>
      </c>
      <c r="CD51" s="15">
        <v>0</v>
      </c>
      <c r="CE51" s="15">
        <v>0</v>
      </c>
      <c r="CF51" s="15">
        <v>0</v>
      </c>
      <c r="CG51" s="17">
        <v>0</v>
      </c>
      <c r="CH51" s="15">
        <v>0</v>
      </c>
      <c r="CI51" s="15">
        <v>0</v>
      </c>
      <c r="CJ51" s="15">
        <v>0</v>
      </c>
      <c r="CK51" s="15">
        <v>0</v>
      </c>
      <c r="CL51" s="17">
        <v>0</v>
      </c>
      <c r="CM51" s="15">
        <v>0</v>
      </c>
      <c r="CN51" s="15">
        <v>0</v>
      </c>
      <c r="CO51" s="17">
        <v>0</v>
      </c>
      <c r="CP51" s="15">
        <v>0</v>
      </c>
      <c r="CQ51" s="15">
        <v>0</v>
      </c>
      <c r="CR51" s="15">
        <v>0</v>
      </c>
      <c r="CS51" s="17">
        <v>0</v>
      </c>
      <c r="CT51" s="15">
        <v>0</v>
      </c>
      <c r="CU51" s="15">
        <v>0</v>
      </c>
      <c r="CV51" s="15">
        <v>0</v>
      </c>
      <c r="CW51" s="15">
        <v>0</v>
      </c>
      <c r="CX51" s="15">
        <v>0</v>
      </c>
      <c r="CY51" s="17">
        <v>0</v>
      </c>
      <c r="CZ51" s="15">
        <v>0</v>
      </c>
      <c r="DA51" s="15">
        <v>0</v>
      </c>
      <c r="DB51" s="15">
        <v>0</v>
      </c>
      <c r="DC51" s="15">
        <v>0</v>
      </c>
      <c r="DD51" s="17">
        <v>0</v>
      </c>
      <c r="DE51" s="15">
        <v>0</v>
      </c>
      <c r="DF51" s="15">
        <v>0</v>
      </c>
      <c r="DG51" s="15">
        <v>0</v>
      </c>
      <c r="DH51" s="17">
        <v>0</v>
      </c>
      <c r="DI51" s="15">
        <v>0</v>
      </c>
      <c r="DJ51" s="15">
        <v>0</v>
      </c>
      <c r="DK51" s="15">
        <v>0</v>
      </c>
      <c r="DL51" s="15">
        <v>0</v>
      </c>
      <c r="DM51" s="15">
        <v>0</v>
      </c>
      <c r="DN51" s="17">
        <v>0</v>
      </c>
      <c r="DO51" s="15">
        <v>0</v>
      </c>
      <c r="DP51" s="15">
        <v>0</v>
      </c>
      <c r="DQ51" s="15">
        <v>0</v>
      </c>
      <c r="DR51" s="15">
        <v>0</v>
      </c>
      <c r="DS51" s="17">
        <v>0</v>
      </c>
      <c r="DT51" s="15">
        <v>0</v>
      </c>
      <c r="DU51" s="15">
        <v>0</v>
      </c>
      <c r="DV51" s="15">
        <v>0</v>
      </c>
      <c r="DW51" s="15">
        <v>0</v>
      </c>
      <c r="DX51" s="17">
        <v>0</v>
      </c>
      <c r="DY51" s="15">
        <v>0</v>
      </c>
      <c r="DZ51" s="15">
        <v>0</v>
      </c>
      <c r="EA51" s="15">
        <v>0</v>
      </c>
      <c r="EB51" s="41">
        <v>0</v>
      </c>
      <c r="EC51" s="17">
        <v>0</v>
      </c>
      <c r="ED51" s="42"/>
      <c r="EE51" s="15"/>
    </row>
    <row r="52" spans="1:135" ht="12.75">
      <c r="A52" s="40">
        <v>43883</v>
      </c>
      <c r="B52" s="15">
        <v>0</v>
      </c>
      <c r="C52" s="15">
        <v>0</v>
      </c>
      <c r="D52" s="15">
        <v>0</v>
      </c>
      <c r="E52" s="15">
        <f t="shared" ref="E52:G52" si="47">B52-C52-D52</f>
        <v>0</v>
      </c>
      <c r="F52" s="15">
        <f t="shared" si="47"/>
        <v>0</v>
      </c>
      <c r="G52" s="15">
        <f t="shared" si="47"/>
        <v>0</v>
      </c>
      <c r="H52" s="15">
        <f t="shared" si="1"/>
        <v>0</v>
      </c>
      <c r="I52" s="15">
        <v>0</v>
      </c>
      <c r="J52" s="15">
        <v>0</v>
      </c>
      <c r="K52" s="17">
        <v>0</v>
      </c>
      <c r="L52" s="15">
        <v>0</v>
      </c>
      <c r="M52" s="15">
        <v>0</v>
      </c>
      <c r="N52" s="17">
        <v>0</v>
      </c>
      <c r="O52" s="15">
        <v>0</v>
      </c>
      <c r="P52" s="15">
        <v>0</v>
      </c>
      <c r="Q52" s="15">
        <v>0</v>
      </c>
      <c r="R52" s="15">
        <v>0</v>
      </c>
      <c r="S52" s="15">
        <v>0</v>
      </c>
      <c r="T52" s="17">
        <v>0</v>
      </c>
      <c r="U52" s="15">
        <v>0</v>
      </c>
      <c r="V52" s="15">
        <v>0</v>
      </c>
      <c r="W52" s="15">
        <v>0</v>
      </c>
      <c r="X52" s="15">
        <v>0</v>
      </c>
      <c r="Y52" s="17">
        <v>0</v>
      </c>
      <c r="Z52" s="15">
        <v>0</v>
      </c>
      <c r="AA52" s="15">
        <v>0</v>
      </c>
      <c r="AB52" s="15">
        <v>0</v>
      </c>
      <c r="AC52" s="15">
        <v>0</v>
      </c>
      <c r="AD52" s="17">
        <v>0</v>
      </c>
      <c r="AE52" s="15">
        <v>0</v>
      </c>
      <c r="AF52" s="15">
        <v>0</v>
      </c>
      <c r="AG52" s="15">
        <v>0</v>
      </c>
      <c r="AH52" s="15">
        <v>0</v>
      </c>
      <c r="AI52" s="15">
        <v>0</v>
      </c>
      <c r="AJ52" s="17">
        <v>0</v>
      </c>
      <c r="AK52" s="15">
        <v>0</v>
      </c>
      <c r="AL52" s="15">
        <v>0</v>
      </c>
      <c r="AM52" s="15">
        <v>0</v>
      </c>
      <c r="AN52" s="15">
        <v>0</v>
      </c>
      <c r="AO52" s="17">
        <v>0</v>
      </c>
      <c r="AP52" s="15">
        <v>0</v>
      </c>
      <c r="AQ52" s="15">
        <v>0</v>
      </c>
      <c r="AR52" s="15">
        <v>0</v>
      </c>
      <c r="AS52" s="15">
        <v>0</v>
      </c>
      <c r="AT52" s="15"/>
      <c r="AU52" s="17">
        <v>0</v>
      </c>
      <c r="AV52" s="15">
        <v>0</v>
      </c>
      <c r="AW52" s="15">
        <v>0</v>
      </c>
      <c r="AX52" s="15">
        <v>0</v>
      </c>
      <c r="AY52" s="17">
        <v>0</v>
      </c>
      <c r="AZ52" s="15">
        <v>0</v>
      </c>
      <c r="BA52" s="15">
        <v>0</v>
      </c>
      <c r="BB52" s="15">
        <v>0</v>
      </c>
      <c r="BC52" s="17">
        <v>0</v>
      </c>
      <c r="BD52" s="15">
        <v>0</v>
      </c>
      <c r="BE52" s="15">
        <v>0</v>
      </c>
      <c r="BF52" s="15">
        <v>0</v>
      </c>
      <c r="BG52" s="15">
        <v>0</v>
      </c>
      <c r="BH52" s="17">
        <v>0</v>
      </c>
      <c r="BI52" s="15">
        <v>0</v>
      </c>
      <c r="BJ52" s="15">
        <v>0</v>
      </c>
      <c r="BK52" s="15">
        <v>0</v>
      </c>
      <c r="BL52" s="15">
        <v>0</v>
      </c>
      <c r="BM52" s="17">
        <v>0</v>
      </c>
      <c r="BN52" s="15">
        <v>0</v>
      </c>
      <c r="BO52" s="15">
        <v>0</v>
      </c>
      <c r="BP52" s="15">
        <v>0</v>
      </c>
      <c r="BQ52" s="15">
        <v>0</v>
      </c>
      <c r="BR52" s="15">
        <v>0</v>
      </c>
      <c r="BS52" s="17">
        <v>0</v>
      </c>
      <c r="BT52" s="15">
        <v>0</v>
      </c>
      <c r="BU52" s="15">
        <v>0</v>
      </c>
      <c r="BV52" s="15">
        <v>0</v>
      </c>
      <c r="BW52" s="15">
        <v>0</v>
      </c>
      <c r="BX52" s="17">
        <v>0</v>
      </c>
      <c r="BY52" s="15">
        <v>0</v>
      </c>
      <c r="BZ52" s="15">
        <v>0</v>
      </c>
      <c r="CA52" s="15">
        <v>0</v>
      </c>
      <c r="CB52" s="17">
        <v>0</v>
      </c>
      <c r="CC52" s="15">
        <v>0</v>
      </c>
      <c r="CD52" s="15">
        <v>0</v>
      </c>
      <c r="CE52" s="15">
        <v>0</v>
      </c>
      <c r="CF52" s="15">
        <v>0</v>
      </c>
      <c r="CG52" s="17">
        <v>0</v>
      </c>
      <c r="CH52" s="15">
        <v>0</v>
      </c>
      <c r="CI52" s="15">
        <v>0</v>
      </c>
      <c r="CJ52" s="15">
        <v>0</v>
      </c>
      <c r="CK52" s="15">
        <v>0</v>
      </c>
      <c r="CL52" s="17">
        <v>0</v>
      </c>
      <c r="CM52" s="15">
        <v>0</v>
      </c>
      <c r="CN52" s="15">
        <v>0</v>
      </c>
      <c r="CO52" s="17">
        <v>0</v>
      </c>
      <c r="CP52" s="15">
        <v>0</v>
      </c>
      <c r="CQ52" s="15">
        <v>0</v>
      </c>
      <c r="CR52" s="15">
        <v>0</v>
      </c>
      <c r="CS52" s="17">
        <v>0</v>
      </c>
      <c r="CT52" s="15">
        <v>0</v>
      </c>
      <c r="CU52" s="15">
        <v>0</v>
      </c>
      <c r="CV52" s="15">
        <v>0</v>
      </c>
      <c r="CW52" s="15">
        <v>0</v>
      </c>
      <c r="CX52" s="15">
        <v>0</v>
      </c>
      <c r="CY52" s="17">
        <v>0</v>
      </c>
      <c r="CZ52" s="15">
        <v>0</v>
      </c>
      <c r="DA52" s="15">
        <v>0</v>
      </c>
      <c r="DB52" s="15">
        <v>0</v>
      </c>
      <c r="DC52" s="15">
        <v>0</v>
      </c>
      <c r="DD52" s="17">
        <v>0</v>
      </c>
      <c r="DE52" s="15">
        <v>0</v>
      </c>
      <c r="DF52" s="15">
        <v>0</v>
      </c>
      <c r="DG52" s="15">
        <v>0</v>
      </c>
      <c r="DH52" s="17">
        <v>0</v>
      </c>
      <c r="DI52" s="15">
        <v>0</v>
      </c>
      <c r="DJ52" s="15">
        <v>0</v>
      </c>
      <c r="DK52" s="15">
        <v>0</v>
      </c>
      <c r="DL52" s="15">
        <v>0</v>
      </c>
      <c r="DM52" s="15">
        <v>0</v>
      </c>
      <c r="DN52" s="17">
        <v>0</v>
      </c>
      <c r="DO52" s="15">
        <v>0</v>
      </c>
      <c r="DP52" s="15">
        <v>0</v>
      </c>
      <c r="DQ52" s="15">
        <v>0</v>
      </c>
      <c r="DR52" s="15">
        <v>0</v>
      </c>
      <c r="DS52" s="17">
        <v>0</v>
      </c>
      <c r="DT52" s="15">
        <v>0</v>
      </c>
      <c r="DU52" s="15">
        <v>0</v>
      </c>
      <c r="DV52" s="15">
        <v>0</v>
      </c>
      <c r="DW52" s="15">
        <v>0</v>
      </c>
      <c r="DX52" s="17">
        <v>0</v>
      </c>
      <c r="DY52" s="15">
        <v>0</v>
      </c>
      <c r="DZ52" s="15">
        <v>0</v>
      </c>
      <c r="EA52" s="15">
        <v>0</v>
      </c>
      <c r="EB52" s="41">
        <v>0</v>
      </c>
      <c r="EC52" s="17">
        <v>0</v>
      </c>
      <c r="ED52" s="42"/>
      <c r="EE52" s="15"/>
    </row>
    <row r="53" spans="1:135" ht="12.75">
      <c r="A53" s="93">
        <v>43884</v>
      </c>
      <c r="B53" s="15">
        <v>0</v>
      </c>
      <c r="C53" s="15">
        <v>0</v>
      </c>
      <c r="D53" s="15">
        <v>0</v>
      </c>
      <c r="E53" s="15">
        <f t="shared" ref="E53:G53" si="48">B53-C53-D53</f>
        <v>0</v>
      </c>
      <c r="F53" s="15">
        <f t="shared" si="48"/>
        <v>0</v>
      </c>
      <c r="G53" s="15">
        <f t="shared" si="48"/>
        <v>0</v>
      </c>
      <c r="H53" s="15">
        <f t="shared" si="1"/>
        <v>0</v>
      </c>
      <c r="I53" s="15">
        <v>0</v>
      </c>
      <c r="J53" s="15">
        <v>0</v>
      </c>
      <c r="K53" s="17">
        <v>0</v>
      </c>
      <c r="L53" s="15">
        <v>0</v>
      </c>
      <c r="M53" s="15">
        <v>0</v>
      </c>
      <c r="N53" s="17">
        <v>0</v>
      </c>
      <c r="O53" s="15">
        <v>0</v>
      </c>
      <c r="P53" s="15">
        <v>0</v>
      </c>
      <c r="Q53" s="15">
        <v>0</v>
      </c>
      <c r="R53" s="15">
        <v>0</v>
      </c>
      <c r="S53" s="15">
        <v>0</v>
      </c>
      <c r="T53" s="17">
        <v>0</v>
      </c>
      <c r="U53" s="15">
        <v>0</v>
      </c>
      <c r="V53" s="15">
        <v>0</v>
      </c>
      <c r="W53" s="15">
        <v>0</v>
      </c>
      <c r="X53" s="15">
        <v>0</v>
      </c>
      <c r="Y53" s="17">
        <v>0</v>
      </c>
      <c r="Z53" s="15">
        <v>0</v>
      </c>
      <c r="AA53" s="15">
        <v>0</v>
      </c>
      <c r="AB53" s="15">
        <v>0</v>
      </c>
      <c r="AC53" s="15">
        <v>0</v>
      </c>
      <c r="AD53" s="17">
        <v>0</v>
      </c>
      <c r="AE53" s="15">
        <v>0</v>
      </c>
      <c r="AF53" s="15">
        <v>0</v>
      </c>
      <c r="AG53" s="15">
        <v>0</v>
      </c>
      <c r="AH53" s="15">
        <v>0</v>
      </c>
      <c r="AI53" s="15">
        <v>0</v>
      </c>
      <c r="AJ53" s="17">
        <v>0</v>
      </c>
      <c r="AK53" s="15">
        <v>0</v>
      </c>
      <c r="AL53" s="15">
        <v>0</v>
      </c>
      <c r="AM53" s="15">
        <v>0</v>
      </c>
      <c r="AN53" s="15">
        <v>0</v>
      </c>
      <c r="AO53" s="17">
        <v>0</v>
      </c>
      <c r="AP53" s="15">
        <v>0</v>
      </c>
      <c r="AQ53" s="15">
        <v>0</v>
      </c>
      <c r="AR53" s="15">
        <v>0</v>
      </c>
      <c r="AS53" s="15">
        <v>0</v>
      </c>
      <c r="AT53" s="15"/>
      <c r="AU53" s="17">
        <v>0</v>
      </c>
      <c r="AV53" s="15">
        <v>0</v>
      </c>
      <c r="AW53" s="15">
        <v>0</v>
      </c>
      <c r="AX53" s="15">
        <v>0</v>
      </c>
      <c r="AY53" s="17">
        <v>0</v>
      </c>
      <c r="AZ53" s="15">
        <v>0</v>
      </c>
      <c r="BA53" s="15">
        <v>0</v>
      </c>
      <c r="BB53" s="15">
        <v>0</v>
      </c>
      <c r="BC53" s="17">
        <v>0</v>
      </c>
      <c r="BD53" s="15">
        <v>0</v>
      </c>
      <c r="BE53" s="15">
        <v>0</v>
      </c>
      <c r="BF53" s="15">
        <v>0</v>
      </c>
      <c r="BG53" s="15">
        <v>0</v>
      </c>
      <c r="BH53" s="17">
        <v>0</v>
      </c>
      <c r="BI53" s="15">
        <v>0</v>
      </c>
      <c r="BJ53" s="15">
        <v>0</v>
      </c>
      <c r="BK53" s="15">
        <v>0</v>
      </c>
      <c r="BL53" s="15">
        <v>0</v>
      </c>
      <c r="BM53" s="17">
        <v>0</v>
      </c>
      <c r="BN53" s="15">
        <v>0</v>
      </c>
      <c r="BO53" s="15">
        <v>0</v>
      </c>
      <c r="BP53" s="15">
        <v>0</v>
      </c>
      <c r="BQ53" s="15">
        <v>0</v>
      </c>
      <c r="BR53" s="15">
        <v>0</v>
      </c>
      <c r="BS53" s="17">
        <v>0</v>
      </c>
      <c r="BT53" s="15">
        <v>0</v>
      </c>
      <c r="BU53" s="15">
        <v>0</v>
      </c>
      <c r="BV53" s="15">
        <v>0</v>
      </c>
      <c r="BW53" s="15">
        <v>0</v>
      </c>
      <c r="BX53" s="17">
        <v>0</v>
      </c>
      <c r="BY53" s="15">
        <v>0</v>
      </c>
      <c r="BZ53" s="15">
        <v>0</v>
      </c>
      <c r="CA53" s="15">
        <v>0</v>
      </c>
      <c r="CB53" s="17">
        <v>0</v>
      </c>
      <c r="CC53" s="15">
        <v>0</v>
      </c>
      <c r="CD53" s="15">
        <v>0</v>
      </c>
      <c r="CE53" s="15">
        <v>0</v>
      </c>
      <c r="CF53" s="15">
        <v>0</v>
      </c>
      <c r="CG53" s="17">
        <v>0</v>
      </c>
      <c r="CH53" s="15">
        <v>0</v>
      </c>
      <c r="CI53" s="15">
        <v>0</v>
      </c>
      <c r="CJ53" s="15">
        <v>0</v>
      </c>
      <c r="CK53" s="15">
        <v>0</v>
      </c>
      <c r="CL53" s="17">
        <v>0</v>
      </c>
      <c r="CM53" s="15">
        <v>0</v>
      </c>
      <c r="CN53" s="15">
        <v>0</v>
      </c>
      <c r="CO53" s="17">
        <v>0</v>
      </c>
      <c r="CP53" s="15">
        <v>0</v>
      </c>
      <c r="CQ53" s="15">
        <v>0</v>
      </c>
      <c r="CR53" s="15">
        <v>0</v>
      </c>
      <c r="CS53" s="17">
        <v>0</v>
      </c>
      <c r="CT53" s="15">
        <v>0</v>
      </c>
      <c r="CU53" s="15">
        <v>0</v>
      </c>
      <c r="CV53" s="15">
        <v>0</v>
      </c>
      <c r="CW53" s="15">
        <v>0</v>
      </c>
      <c r="CX53" s="15">
        <v>0</v>
      </c>
      <c r="CY53" s="17">
        <v>0</v>
      </c>
      <c r="CZ53" s="15">
        <v>0</v>
      </c>
      <c r="DA53" s="15">
        <v>0</v>
      </c>
      <c r="DB53" s="15">
        <v>0</v>
      </c>
      <c r="DC53" s="15">
        <v>0</v>
      </c>
      <c r="DD53" s="17">
        <v>0</v>
      </c>
      <c r="DE53" s="15">
        <v>0</v>
      </c>
      <c r="DF53" s="15">
        <v>0</v>
      </c>
      <c r="DG53" s="15">
        <v>0</v>
      </c>
      <c r="DH53" s="17">
        <v>0</v>
      </c>
      <c r="DI53" s="15">
        <v>0</v>
      </c>
      <c r="DJ53" s="15">
        <v>0</v>
      </c>
      <c r="DK53" s="15">
        <v>0</v>
      </c>
      <c r="DL53" s="15">
        <v>0</v>
      </c>
      <c r="DM53" s="15">
        <v>0</v>
      </c>
      <c r="DN53" s="17">
        <v>0</v>
      </c>
      <c r="DO53" s="15">
        <v>0</v>
      </c>
      <c r="DP53" s="15">
        <v>0</v>
      </c>
      <c r="DQ53" s="15">
        <v>0</v>
      </c>
      <c r="DR53" s="15">
        <v>0</v>
      </c>
      <c r="DS53" s="17">
        <v>0</v>
      </c>
      <c r="DT53" s="15">
        <v>0</v>
      </c>
      <c r="DU53" s="15">
        <v>0</v>
      </c>
      <c r="DV53" s="15">
        <v>0</v>
      </c>
      <c r="DW53" s="15">
        <v>0</v>
      </c>
      <c r="DX53" s="17">
        <v>0</v>
      </c>
      <c r="DY53" s="15">
        <v>0</v>
      </c>
      <c r="DZ53" s="15">
        <v>0</v>
      </c>
      <c r="EA53" s="15">
        <v>0</v>
      </c>
      <c r="EB53" s="41">
        <v>0</v>
      </c>
      <c r="EC53" s="17">
        <v>0</v>
      </c>
      <c r="ED53" s="42"/>
      <c r="EE53" s="15"/>
    </row>
    <row r="54" spans="1:135" ht="12.75">
      <c r="A54" s="97">
        <v>43885</v>
      </c>
      <c r="B54" s="15">
        <v>0</v>
      </c>
      <c r="C54" s="15">
        <v>0</v>
      </c>
      <c r="D54" s="15">
        <v>0</v>
      </c>
      <c r="E54" s="15">
        <f t="shared" ref="E54:G54" si="49">B54-C54-D54</f>
        <v>0</v>
      </c>
      <c r="F54" s="15">
        <f t="shared" si="49"/>
        <v>0</v>
      </c>
      <c r="G54" s="15">
        <f t="shared" si="49"/>
        <v>0</v>
      </c>
      <c r="H54" s="15">
        <f t="shared" si="1"/>
        <v>0</v>
      </c>
      <c r="I54" s="15">
        <v>0</v>
      </c>
      <c r="J54" s="15">
        <v>0</v>
      </c>
      <c r="K54" s="17">
        <v>0</v>
      </c>
      <c r="L54" s="15">
        <v>0</v>
      </c>
      <c r="M54" s="15">
        <v>0</v>
      </c>
      <c r="N54" s="17">
        <v>0</v>
      </c>
      <c r="O54" s="87">
        <v>3</v>
      </c>
      <c r="P54" s="15">
        <v>0</v>
      </c>
      <c r="Q54" s="15">
        <v>0</v>
      </c>
      <c r="R54" s="15">
        <v>0</v>
      </c>
      <c r="S54" s="15">
        <v>0</v>
      </c>
      <c r="T54" s="17">
        <v>0</v>
      </c>
      <c r="U54" s="15">
        <v>0</v>
      </c>
      <c r="V54" s="15">
        <v>0</v>
      </c>
      <c r="W54" s="15">
        <v>0</v>
      </c>
      <c r="X54" s="15">
        <v>0</v>
      </c>
      <c r="Y54" s="17">
        <v>0</v>
      </c>
      <c r="Z54" s="15">
        <v>0</v>
      </c>
      <c r="AA54" s="15">
        <v>0</v>
      </c>
      <c r="AB54" s="15">
        <v>0</v>
      </c>
      <c r="AC54" s="15">
        <v>0</v>
      </c>
      <c r="AD54" s="17">
        <v>0</v>
      </c>
      <c r="AE54" s="15">
        <v>0</v>
      </c>
      <c r="AF54" s="15">
        <v>0</v>
      </c>
      <c r="AG54" s="15">
        <v>0</v>
      </c>
      <c r="AH54" s="15">
        <v>0</v>
      </c>
      <c r="AI54" s="15">
        <v>0</v>
      </c>
      <c r="AJ54" s="17">
        <v>0</v>
      </c>
      <c r="AK54" s="15">
        <v>0</v>
      </c>
      <c r="AL54" s="15">
        <v>0</v>
      </c>
      <c r="AM54" s="15">
        <v>0</v>
      </c>
      <c r="AN54" s="15">
        <v>0</v>
      </c>
      <c r="AO54" s="17">
        <v>0</v>
      </c>
      <c r="AP54" s="15">
        <v>0</v>
      </c>
      <c r="AQ54" s="15">
        <v>0</v>
      </c>
      <c r="AR54" s="15">
        <v>0</v>
      </c>
      <c r="AS54" s="15">
        <v>0</v>
      </c>
      <c r="AT54" s="15"/>
      <c r="AU54" s="17">
        <v>0</v>
      </c>
      <c r="AV54" s="15">
        <v>0</v>
      </c>
      <c r="AW54" s="15">
        <v>0</v>
      </c>
      <c r="AX54" s="15">
        <v>0</v>
      </c>
      <c r="AY54" s="17">
        <v>0</v>
      </c>
      <c r="AZ54" s="15">
        <v>0</v>
      </c>
      <c r="BA54" s="15">
        <v>0</v>
      </c>
      <c r="BB54" s="15">
        <v>0</v>
      </c>
      <c r="BC54" s="17">
        <v>0</v>
      </c>
      <c r="BD54" s="15">
        <v>0</v>
      </c>
      <c r="BE54" s="15">
        <v>0</v>
      </c>
      <c r="BF54" s="15">
        <v>0</v>
      </c>
      <c r="BG54" s="15">
        <v>0</v>
      </c>
      <c r="BH54" s="17">
        <v>0</v>
      </c>
      <c r="BI54" s="15">
        <v>0</v>
      </c>
      <c r="BJ54" s="15">
        <v>0</v>
      </c>
      <c r="BK54" s="15">
        <v>0</v>
      </c>
      <c r="BL54" s="15">
        <v>0</v>
      </c>
      <c r="BM54" s="17">
        <v>0</v>
      </c>
      <c r="BN54" s="15">
        <v>0</v>
      </c>
      <c r="BO54" s="15">
        <v>0</v>
      </c>
      <c r="BP54" s="15">
        <v>0</v>
      </c>
      <c r="BQ54" s="15">
        <v>0</v>
      </c>
      <c r="BR54" s="15">
        <v>0</v>
      </c>
      <c r="BS54" s="17">
        <v>0</v>
      </c>
      <c r="BT54" s="15">
        <v>0</v>
      </c>
      <c r="BU54" s="15">
        <v>0</v>
      </c>
      <c r="BV54" s="15">
        <v>0</v>
      </c>
      <c r="BW54" s="15">
        <v>0</v>
      </c>
      <c r="BX54" s="17">
        <v>0</v>
      </c>
      <c r="BY54" s="15">
        <v>0</v>
      </c>
      <c r="BZ54" s="15">
        <v>0</v>
      </c>
      <c r="CA54" s="15">
        <v>0</v>
      </c>
      <c r="CB54" s="17">
        <v>0</v>
      </c>
      <c r="CC54" s="15">
        <v>0</v>
      </c>
      <c r="CD54" s="15">
        <v>0</v>
      </c>
      <c r="CE54" s="15">
        <v>0</v>
      </c>
      <c r="CF54" s="15">
        <v>0</v>
      </c>
      <c r="CG54" s="17">
        <v>0</v>
      </c>
      <c r="CH54" s="15">
        <v>0</v>
      </c>
      <c r="CI54" s="15">
        <v>0</v>
      </c>
      <c r="CJ54" s="15">
        <v>0</v>
      </c>
      <c r="CK54" s="15">
        <v>0</v>
      </c>
      <c r="CL54" s="17">
        <v>0</v>
      </c>
      <c r="CM54" s="15">
        <v>0</v>
      </c>
      <c r="CN54" s="15">
        <v>0</v>
      </c>
      <c r="CO54" s="17">
        <v>0</v>
      </c>
      <c r="CP54" s="15">
        <v>0</v>
      </c>
      <c r="CQ54" s="15">
        <v>0</v>
      </c>
      <c r="CR54" s="15">
        <v>0</v>
      </c>
      <c r="CS54" s="17">
        <v>0</v>
      </c>
      <c r="CT54" s="15">
        <v>0</v>
      </c>
      <c r="CU54" s="15">
        <v>0</v>
      </c>
      <c r="CV54" s="15">
        <v>0</v>
      </c>
      <c r="CW54" s="15">
        <v>0</v>
      </c>
      <c r="CX54" s="15">
        <v>0</v>
      </c>
      <c r="CY54" s="17">
        <v>0</v>
      </c>
      <c r="CZ54" s="15">
        <v>0</v>
      </c>
      <c r="DA54" s="15">
        <v>0</v>
      </c>
      <c r="DB54" s="15">
        <v>0</v>
      </c>
      <c r="DC54" s="15">
        <v>0</v>
      </c>
      <c r="DD54" s="17">
        <v>0</v>
      </c>
      <c r="DE54" s="15">
        <v>0</v>
      </c>
      <c r="DF54" s="15">
        <v>0</v>
      </c>
      <c r="DG54" s="15">
        <v>0</v>
      </c>
      <c r="DH54" s="17">
        <v>0</v>
      </c>
      <c r="DI54" s="15">
        <v>0</v>
      </c>
      <c r="DJ54" s="15">
        <v>0</v>
      </c>
      <c r="DK54" s="15">
        <v>0</v>
      </c>
      <c r="DL54" s="15">
        <v>0</v>
      </c>
      <c r="DM54" s="15">
        <v>0</v>
      </c>
      <c r="DN54" s="17">
        <v>0</v>
      </c>
      <c r="DO54" s="15">
        <v>0</v>
      </c>
      <c r="DP54" s="15">
        <v>0</v>
      </c>
      <c r="DQ54" s="15">
        <v>0</v>
      </c>
      <c r="DR54" s="15">
        <v>0</v>
      </c>
      <c r="DS54" s="17">
        <v>0</v>
      </c>
      <c r="DT54" s="15">
        <v>0</v>
      </c>
      <c r="DU54" s="15">
        <v>0</v>
      </c>
      <c r="DV54" s="15">
        <v>0</v>
      </c>
      <c r="DW54" s="15">
        <v>0</v>
      </c>
      <c r="DX54" s="17">
        <v>0</v>
      </c>
      <c r="DY54" s="15">
        <v>0</v>
      </c>
      <c r="DZ54" s="15">
        <v>0</v>
      </c>
      <c r="EA54" s="15">
        <v>0</v>
      </c>
      <c r="EB54" s="41">
        <v>0</v>
      </c>
      <c r="EC54" s="17">
        <v>0</v>
      </c>
      <c r="ED54" s="42"/>
      <c r="EE54" s="15"/>
    </row>
    <row r="55" spans="1:135" ht="12.75">
      <c r="A55" s="97">
        <v>43886</v>
      </c>
      <c r="B55" s="14">
        <f t="shared" ref="B55:C55" si="50">SUM(I55,L55,O55,U55,Z55,AE55,AK55,AP55,AV55,AZ55,BD55,BI55,BN55,BT55,BY55,CC55,CH55,CM55,CP55,CT55,CZ55,DE55,DI55,DO55,DT55,DY55)</f>
        <v>4</v>
      </c>
      <c r="C55" s="99">
        <f t="shared" si="50"/>
        <v>0</v>
      </c>
      <c r="D55" s="44">
        <f t="shared" ref="D55:D57" si="51">SUM(K55,N55,Q55,W55,AD55,AG55,AM55,AR55,AY55,BC55,BH55,BM55,BP55,BV55,CB55,CE55,CL55,CO55,CS55,CV55,DD55,DH55,DK55,DS55,DX55,EA55)</f>
        <v>0</v>
      </c>
      <c r="E55" s="100">
        <f t="shared" ref="E55:E110" si="52">B55-C55-D55</f>
        <v>4</v>
      </c>
      <c r="F55" s="101">
        <f t="shared" ref="F55:F56" si="53">SUM(R55,AC55,AH55,AN55,AS55,BL55,BQ55,CF55,CK55,CS55,CW55,DC55,DH55,DR55,EB55,)</f>
        <v>0</v>
      </c>
      <c r="G55" s="101">
        <f t="shared" ref="G55:G64" si="54">SUM(S55,AD55,AI55,AO55,AT55,BM55,BR55,CG55,CL55,CX55,DS55)</f>
        <v>0</v>
      </c>
      <c r="H55" s="15">
        <f t="shared" si="1"/>
        <v>0</v>
      </c>
      <c r="I55" s="15">
        <v>0</v>
      </c>
      <c r="J55" s="15">
        <v>0</v>
      </c>
      <c r="K55" s="17">
        <v>0</v>
      </c>
      <c r="L55" s="15">
        <v>0</v>
      </c>
      <c r="M55" s="15">
        <v>0</v>
      </c>
      <c r="N55" s="17">
        <v>0</v>
      </c>
      <c r="O55" s="87">
        <v>3</v>
      </c>
      <c r="P55" s="15">
        <v>0</v>
      </c>
      <c r="Q55" s="15">
        <v>0</v>
      </c>
      <c r="R55" s="15">
        <v>0</v>
      </c>
      <c r="S55" s="15">
        <v>0</v>
      </c>
      <c r="T55" s="17">
        <v>0</v>
      </c>
      <c r="U55" s="15">
        <v>0</v>
      </c>
      <c r="V55" s="15">
        <v>0</v>
      </c>
      <c r="W55" s="15">
        <v>0</v>
      </c>
      <c r="X55" s="15">
        <v>0</v>
      </c>
      <c r="Y55" s="17">
        <v>0</v>
      </c>
      <c r="Z55" s="15">
        <v>0</v>
      </c>
      <c r="AA55" s="15">
        <v>0</v>
      </c>
      <c r="AB55" s="15">
        <v>0</v>
      </c>
      <c r="AC55" s="15">
        <v>0</v>
      </c>
      <c r="AD55" s="17">
        <v>0</v>
      </c>
      <c r="AE55" s="15">
        <v>0</v>
      </c>
      <c r="AF55" s="15">
        <v>0</v>
      </c>
      <c r="AG55" s="15">
        <v>0</v>
      </c>
      <c r="AH55" s="15">
        <v>0</v>
      </c>
      <c r="AI55" s="15">
        <v>0</v>
      </c>
      <c r="AJ55" s="17">
        <v>0</v>
      </c>
      <c r="AK55" s="15">
        <v>0</v>
      </c>
      <c r="AL55" s="15">
        <v>0</v>
      </c>
      <c r="AM55" s="15">
        <v>0</v>
      </c>
      <c r="AN55" s="15">
        <v>0</v>
      </c>
      <c r="AO55" s="17">
        <v>0</v>
      </c>
      <c r="AP55" s="15">
        <v>0</v>
      </c>
      <c r="AQ55" s="15">
        <v>0</v>
      </c>
      <c r="AR55" s="15">
        <v>0</v>
      </c>
      <c r="AS55" s="15">
        <v>0</v>
      </c>
      <c r="AT55" s="15"/>
      <c r="AU55" s="17">
        <v>0</v>
      </c>
      <c r="AV55" s="15">
        <v>0</v>
      </c>
      <c r="AW55" s="15">
        <v>0</v>
      </c>
      <c r="AX55" s="15">
        <v>0</v>
      </c>
      <c r="AY55" s="17">
        <v>0</v>
      </c>
      <c r="AZ55" s="15">
        <v>0</v>
      </c>
      <c r="BA55" s="15">
        <v>0</v>
      </c>
      <c r="BB55" s="15">
        <v>0</v>
      </c>
      <c r="BC55" s="17">
        <v>0</v>
      </c>
      <c r="BD55" s="15">
        <v>0</v>
      </c>
      <c r="BE55" s="15">
        <v>0</v>
      </c>
      <c r="BF55" s="15">
        <v>0</v>
      </c>
      <c r="BG55" s="15">
        <v>0</v>
      </c>
      <c r="BH55" s="17">
        <v>0</v>
      </c>
      <c r="BI55" s="15">
        <v>0</v>
      </c>
      <c r="BJ55" s="15">
        <v>0</v>
      </c>
      <c r="BK55" s="15">
        <v>0</v>
      </c>
      <c r="BL55" s="15">
        <v>0</v>
      </c>
      <c r="BM55" s="17">
        <v>0</v>
      </c>
      <c r="BN55" s="15">
        <v>0</v>
      </c>
      <c r="BO55" s="15">
        <v>0</v>
      </c>
      <c r="BP55" s="15">
        <v>0</v>
      </c>
      <c r="BQ55" s="15">
        <v>0</v>
      </c>
      <c r="BR55" s="15">
        <v>0</v>
      </c>
      <c r="BS55" s="17">
        <v>0</v>
      </c>
      <c r="BT55" s="15">
        <v>0</v>
      </c>
      <c r="BU55" s="15">
        <v>0</v>
      </c>
      <c r="BV55" s="15">
        <v>0</v>
      </c>
      <c r="BW55" s="15">
        <v>0</v>
      </c>
      <c r="BX55" s="17">
        <v>0</v>
      </c>
      <c r="BY55" s="15">
        <v>0</v>
      </c>
      <c r="BZ55" s="15">
        <v>0</v>
      </c>
      <c r="CA55" s="15">
        <v>0</v>
      </c>
      <c r="CB55" s="17">
        <v>0</v>
      </c>
      <c r="CC55" s="15">
        <v>0</v>
      </c>
      <c r="CD55" s="15">
        <v>0</v>
      </c>
      <c r="CE55" s="15">
        <v>0</v>
      </c>
      <c r="CF55" s="15">
        <v>0</v>
      </c>
      <c r="CG55" s="17">
        <v>0</v>
      </c>
      <c r="CH55" s="15">
        <v>0</v>
      </c>
      <c r="CI55" s="15">
        <v>0</v>
      </c>
      <c r="CJ55" s="15">
        <v>0</v>
      </c>
      <c r="CK55" s="15">
        <v>0</v>
      </c>
      <c r="CL55" s="17">
        <v>0</v>
      </c>
      <c r="CM55" s="15">
        <v>0</v>
      </c>
      <c r="CN55" s="15">
        <v>0</v>
      </c>
      <c r="CO55" s="17">
        <v>0</v>
      </c>
      <c r="CP55" s="15">
        <v>0</v>
      </c>
      <c r="CQ55" s="15">
        <v>0</v>
      </c>
      <c r="CR55" s="15">
        <v>0</v>
      </c>
      <c r="CS55" s="17">
        <v>0</v>
      </c>
      <c r="CT55" s="87">
        <v>1</v>
      </c>
      <c r="CU55" s="15">
        <v>0</v>
      </c>
      <c r="CV55" s="15">
        <v>0</v>
      </c>
      <c r="CW55" s="15">
        <v>0</v>
      </c>
      <c r="CX55" s="15">
        <v>0</v>
      </c>
      <c r="CY55" s="17">
        <v>0</v>
      </c>
      <c r="CZ55" s="15">
        <v>0</v>
      </c>
      <c r="DA55" s="15">
        <v>0</v>
      </c>
      <c r="DB55" s="15">
        <v>0</v>
      </c>
      <c r="DC55" s="15">
        <v>0</v>
      </c>
      <c r="DD55" s="17">
        <v>0</v>
      </c>
      <c r="DE55" s="15">
        <v>0</v>
      </c>
      <c r="DF55" s="15">
        <v>0</v>
      </c>
      <c r="DG55" s="15">
        <v>0</v>
      </c>
      <c r="DH55" s="17">
        <v>0</v>
      </c>
      <c r="DI55" s="15">
        <v>0</v>
      </c>
      <c r="DJ55" s="15">
        <v>0</v>
      </c>
      <c r="DK55" s="15">
        <v>0</v>
      </c>
      <c r="DL55" s="15">
        <v>0</v>
      </c>
      <c r="DM55" s="15">
        <v>0</v>
      </c>
      <c r="DN55" s="17">
        <v>0</v>
      </c>
      <c r="DO55" s="15">
        <v>0</v>
      </c>
      <c r="DP55" s="15">
        <v>0</v>
      </c>
      <c r="DQ55" s="15">
        <v>0</v>
      </c>
      <c r="DR55" s="15">
        <v>0</v>
      </c>
      <c r="DS55" s="17">
        <v>0</v>
      </c>
      <c r="DT55" s="15">
        <v>0</v>
      </c>
      <c r="DU55" s="15">
        <v>0</v>
      </c>
      <c r="DV55" s="15">
        <v>0</v>
      </c>
      <c r="DW55" s="15">
        <v>0</v>
      </c>
      <c r="DX55" s="17">
        <v>0</v>
      </c>
      <c r="DY55" s="15">
        <v>0</v>
      </c>
      <c r="DZ55" s="15">
        <v>0</v>
      </c>
      <c r="EA55" s="15">
        <v>0</v>
      </c>
      <c r="EB55" s="41">
        <v>0</v>
      </c>
      <c r="EC55" s="17">
        <v>0</v>
      </c>
      <c r="ED55" s="102" t="s">
        <v>215</v>
      </c>
      <c r="EE55" s="103" t="s">
        <v>216</v>
      </c>
    </row>
    <row r="56" spans="1:135" ht="12.75">
      <c r="A56" s="97">
        <v>43887</v>
      </c>
      <c r="B56" s="14">
        <f t="shared" ref="B56:C56" si="55">SUM(I56,L56,O56,U56,Z56,AE56,AK56,AP56,AV56,AZ56,BD56,BI56,BN56,BT56,BY56,CC56,CH56,CM56,CP56,CT56,CZ56,DE56,DI56,DO56,DT56,DY56)</f>
        <v>5</v>
      </c>
      <c r="C56" s="99">
        <f t="shared" si="55"/>
        <v>0</v>
      </c>
      <c r="D56" s="44">
        <f t="shared" si="51"/>
        <v>0</v>
      </c>
      <c r="E56" s="100">
        <f t="shared" si="52"/>
        <v>5</v>
      </c>
      <c r="F56" s="101">
        <f t="shared" si="53"/>
        <v>0</v>
      </c>
      <c r="G56" s="101">
        <f t="shared" si="54"/>
        <v>0</v>
      </c>
      <c r="H56" s="15">
        <f t="shared" si="1"/>
        <v>0</v>
      </c>
      <c r="I56" s="15">
        <v>0</v>
      </c>
      <c r="J56" s="15">
        <v>0</v>
      </c>
      <c r="K56" s="17">
        <v>0</v>
      </c>
      <c r="L56" s="15">
        <v>0</v>
      </c>
      <c r="M56" s="15">
        <v>0</v>
      </c>
      <c r="N56" s="17">
        <v>0</v>
      </c>
      <c r="O56" s="87">
        <v>3</v>
      </c>
      <c r="P56" s="15">
        <v>0</v>
      </c>
      <c r="Q56" s="15">
        <v>0</v>
      </c>
      <c r="R56" s="15">
        <v>0</v>
      </c>
      <c r="S56" s="15">
        <v>0</v>
      </c>
      <c r="T56" s="17">
        <v>0</v>
      </c>
      <c r="U56" s="15">
        <v>0</v>
      </c>
      <c r="V56" s="15">
        <v>0</v>
      </c>
      <c r="W56" s="15">
        <v>0</v>
      </c>
      <c r="X56" s="15">
        <v>0</v>
      </c>
      <c r="Y56" s="17">
        <v>0</v>
      </c>
      <c r="Z56" s="15">
        <v>0</v>
      </c>
      <c r="AA56" s="15">
        <v>0</v>
      </c>
      <c r="AB56" s="15">
        <v>0</v>
      </c>
      <c r="AC56" s="15">
        <v>0</v>
      </c>
      <c r="AD56" s="17">
        <v>0</v>
      </c>
      <c r="AE56" s="15">
        <v>0</v>
      </c>
      <c r="AF56" s="15">
        <v>0</v>
      </c>
      <c r="AG56" s="15">
        <v>0</v>
      </c>
      <c r="AH56" s="15">
        <v>0</v>
      </c>
      <c r="AI56" s="15">
        <v>0</v>
      </c>
      <c r="AJ56" s="17">
        <v>0</v>
      </c>
      <c r="AK56" s="15">
        <v>0</v>
      </c>
      <c r="AL56" s="15">
        <v>0</v>
      </c>
      <c r="AM56" s="15">
        <v>0</v>
      </c>
      <c r="AN56" s="15">
        <v>0</v>
      </c>
      <c r="AO56" s="17">
        <v>0</v>
      </c>
      <c r="AP56" s="87">
        <v>1</v>
      </c>
      <c r="AQ56" s="15">
        <v>0</v>
      </c>
      <c r="AR56" s="15">
        <v>0</v>
      </c>
      <c r="AS56" s="15">
        <v>0</v>
      </c>
      <c r="AT56" s="15"/>
      <c r="AU56" s="17">
        <v>0</v>
      </c>
      <c r="AV56" s="15">
        <v>0</v>
      </c>
      <c r="AW56" s="15">
        <v>0</v>
      </c>
      <c r="AX56" s="15">
        <v>0</v>
      </c>
      <c r="AY56" s="17">
        <v>0</v>
      </c>
      <c r="AZ56" s="15">
        <v>0</v>
      </c>
      <c r="BA56" s="15">
        <v>0</v>
      </c>
      <c r="BB56" s="15">
        <v>0</v>
      </c>
      <c r="BC56" s="17">
        <v>0</v>
      </c>
      <c r="BD56" s="15">
        <v>0</v>
      </c>
      <c r="BE56" s="15">
        <v>0</v>
      </c>
      <c r="BF56" s="15">
        <v>0</v>
      </c>
      <c r="BG56" s="15">
        <v>0</v>
      </c>
      <c r="BH56" s="17">
        <v>0</v>
      </c>
      <c r="BI56" s="15">
        <v>0</v>
      </c>
      <c r="BJ56" s="15">
        <v>0</v>
      </c>
      <c r="BK56" s="15">
        <v>0</v>
      </c>
      <c r="BL56" s="15">
        <v>0</v>
      </c>
      <c r="BM56" s="17">
        <v>0</v>
      </c>
      <c r="BN56" s="15">
        <v>0</v>
      </c>
      <c r="BO56" s="15">
        <v>0</v>
      </c>
      <c r="BP56" s="15">
        <v>0</v>
      </c>
      <c r="BQ56" s="15">
        <v>0</v>
      </c>
      <c r="BR56" s="15">
        <v>0</v>
      </c>
      <c r="BS56" s="17">
        <v>0</v>
      </c>
      <c r="BT56" s="15">
        <v>0</v>
      </c>
      <c r="BU56" s="15">
        <v>0</v>
      </c>
      <c r="BV56" s="15">
        <v>0</v>
      </c>
      <c r="BW56" s="15">
        <v>0</v>
      </c>
      <c r="BX56" s="17">
        <v>0</v>
      </c>
      <c r="BY56" s="15">
        <v>0</v>
      </c>
      <c r="BZ56" s="15">
        <v>0</v>
      </c>
      <c r="CA56" s="15">
        <v>0</v>
      </c>
      <c r="CB56" s="17">
        <v>0</v>
      </c>
      <c r="CC56" s="15">
        <v>0</v>
      </c>
      <c r="CD56" s="15">
        <v>0</v>
      </c>
      <c r="CE56" s="15">
        <v>0</v>
      </c>
      <c r="CF56" s="15">
        <v>0</v>
      </c>
      <c r="CG56" s="17">
        <v>0</v>
      </c>
      <c r="CH56" s="15">
        <v>0</v>
      </c>
      <c r="CI56" s="15">
        <v>0</v>
      </c>
      <c r="CJ56" s="15">
        <v>0</v>
      </c>
      <c r="CK56" s="15">
        <v>0</v>
      </c>
      <c r="CL56" s="17">
        <v>0</v>
      </c>
      <c r="CM56" s="15">
        <v>0</v>
      </c>
      <c r="CN56" s="15">
        <v>0</v>
      </c>
      <c r="CO56" s="17">
        <v>0</v>
      </c>
      <c r="CP56" s="15">
        <v>0</v>
      </c>
      <c r="CQ56" s="15">
        <v>0</v>
      </c>
      <c r="CR56" s="15">
        <v>0</v>
      </c>
      <c r="CS56" s="17">
        <v>0</v>
      </c>
      <c r="CT56" s="87">
        <v>1</v>
      </c>
      <c r="CU56" s="15">
        <v>0</v>
      </c>
      <c r="CV56" s="15">
        <v>0</v>
      </c>
      <c r="CW56" s="15">
        <v>0</v>
      </c>
      <c r="CX56" s="15">
        <v>0</v>
      </c>
      <c r="CY56" s="17">
        <v>0</v>
      </c>
      <c r="CZ56" s="15">
        <v>0</v>
      </c>
      <c r="DA56" s="15">
        <v>0</v>
      </c>
      <c r="DB56" s="15">
        <v>0</v>
      </c>
      <c r="DC56" s="15">
        <v>0</v>
      </c>
      <c r="DD56" s="17">
        <v>0</v>
      </c>
      <c r="DE56" s="15">
        <v>0</v>
      </c>
      <c r="DF56" s="15">
        <v>0</v>
      </c>
      <c r="DG56" s="15">
        <v>0</v>
      </c>
      <c r="DH56" s="17">
        <v>0</v>
      </c>
      <c r="DI56" s="15">
        <v>0</v>
      </c>
      <c r="DJ56" s="15">
        <v>0</v>
      </c>
      <c r="DK56" s="15">
        <v>0</v>
      </c>
      <c r="DL56" s="15">
        <v>0</v>
      </c>
      <c r="DM56" s="15">
        <v>0</v>
      </c>
      <c r="DN56" s="17">
        <v>0</v>
      </c>
      <c r="DO56" s="15">
        <v>0</v>
      </c>
      <c r="DP56" s="15">
        <v>0</v>
      </c>
      <c r="DQ56" s="15">
        <v>0</v>
      </c>
      <c r="DR56" s="15">
        <v>0</v>
      </c>
      <c r="DS56" s="17">
        <v>0</v>
      </c>
      <c r="DT56" s="15">
        <v>0</v>
      </c>
      <c r="DU56" s="15">
        <v>0</v>
      </c>
      <c r="DV56" s="15">
        <v>0</v>
      </c>
      <c r="DW56" s="15">
        <v>0</v>
      </c>
      <c r="DX56" s="17">
        <v>0</v>
      </c>
      <c r="DY56" s="15">
        <v>0</v>
      </c>
      <c r="DZ56" s="15">
        <v>0</v>
      </c>
      <c r="EA56" s="15">
        <v>0</v>
      </c>
      <c r="EB56" s="41">
        <v>0</v>
      </c>
      <c r="EC56" s="17">
        <v>0</v>
      </c>
      <c r="ED56" s="102" t="s">
        <v>218</v>
      </c>
      <c r="EE56" s="15"/>
    </row>
    <row r="57" spans="1:135" ht="51">
      <c r="A57" s="97">
        <v>43888</v>
      </c>
      <c r="B57" s="14">
        <f t="shared" ref="B57:C57" si="56">SUM(I57,L57,O57,U57,Z57,AE57,AK57,AP57,AV57,AZ57,BD57,BI57,BN57,BT57,BY57,CC57,CH57,CM57,CP57,CT57,CZ57,DE57,DI57,DO57,DT57,DY57)</f>
        <v>10</v>
      </c>
      <c r="C57" s="99">
        <f t="shared" si="56"/>
        <v>0</v>
      </c>
      <c r="D57" s="44">
        <f t="shared" si="51"/>
        <v>0</v>
      </c>
      <c r="E57" s="100">
        <f t="shared" si="52"/>
        <v>10</v>
      </c>
      <c r="F57" s="104">
        <f t="shared" ref="F57:F108" si="57">SUM(R57,X57,AC57,AH57,AN57,AY57,AS57,BC57,BG57,BL57,BQ57,BW57,CB57,CF57,CK57,CS57,CW57,DC57,DH57,DR57,DL57,DW57,EB57,)</f>
        <v>1</v>
      </c>
      <c r="G57" s="101">
        <f t="shared" si="54"/>
        <v>0</v>
      </c>
      <c r="H57" s="15">
        <f t="shared" si="1"/>
        <v>0</v>
      </c>
      <c r="I57" s="15">
        <v>0</v>
      </c>
      <c r="J57" s="15">
        <v>0</v>
      </c>
      <c r="K57" s="17">
        <v>0</v>
      </c>
      <c r="L57" s="15">
        <v>0</v>
      </c>
      <c r="M57" s="15">
        <v>0</v>
      </c>
      <c r="N57" s="17">
        <v>0</v>
      </c>
      <c r="O57" s="87">
        <v>3</v>
      </c>
      <c r="P57" s="15">
        <v>0</v>
      </c>
      <c r="Q57" s="15">
        <v>0</v>
      </c>
      <c r="R57" s="15">
        <v>0</v>
      </c>
      <c r="S57" s="15">
        <v>0</v>
      </c>
      <c r="T57" s="17">
        <v>0</v>
      </c>
      <c r="U57" s="15">
        <v>0</v>
      </c>
      <c r="V57" s="15">
        <v>0</v>
      </c>
      <c r="W57" s="15">
        <v>0</v>
      </c>
      <c r="X57" s="15">
        <v>0</v>
      </c>
      <c r="Y57" s="17">
        <v>0</v>
      </c>
      <c r="Z57" s="105">
        <v>1</v>
      </c>
      <c r="AA57" s="15">
        <v>0</v>
      </c>
      <c r="AB57" s="15">
        <v>0</v>
      </c>
      <c r="AC57" s="15">
        <v>0</v>
      </c>
      <c r="AD57" s="17">
        <v>0</v>
      </c>
      <c r="AE57" s="15">
        <v>0</v>
      </c>
      <c r="AF57" s="15">
        <v>0</v>
      </c>
      <c r="AG57" s="15">
        <v>0</v>
      </c>
      <c r="AH57" s="15">
        <v>0</v>
      </c>
      <c r="AI57" s="15">
        <v>0</v>
      </c>
      <c r="AJ57" s="17">
        <v>0</v>
      </c>
      <c r="AK57" s="15">
        <v>0</v>
      </c>
      <c r="AL57" s="15">
        <v>0</v>
      </c>
      <c r="AM57" s="15">
        <v>0</v>
      </c>
      <c r="AN57" s="15">
        <v>0</v>
      </c>
      <c r="AO57" s="17">
        <v>0</v>
      </c>
      <c r="AP57" s="87">
        <f>AP56</f>
        <v>1</v>
      </c>
      <c r="AQ57" s="15">
        <v>0</v>
      </c>
      <c r="AR57" s="15">
        <v>0</v>
      </c>
      <c r="AS57" s="15">
        <v>0</v>
      </c>
      <c r="AT57" s="15"/>
      <c r="AU57" s="17">
        <v>0</v>
      </c>
      <c r="AV57" s="15">
        <v>0</v>
      </c>
      <c r="AW57" s="15">
        <v>0</v>
      </c>
      <c r="AX57" s="15">
        <v>0</v>
      </c>
      <c r="AY57" s="17">
        <v>0</v>
      </c>
      <c r="AZ57" s="87">
        <v>1</v>
      </c>
      <c r="BA57" s="15">
        <v>0</v>
      </c>
      <c r="BB57" s="15">
        <v>0</v>
      </c>
      <c r="BC57" s="17">
        <v>0</v>
      </c>
      <c r="BD57" s="105">
        <v>1</v>
      </c>
      <c r="BE57" s="15">
        <v>0</v>
      </c>
      <c r="BF57" s="15">
        <v>0</v>
      </c>
      <c r="BG57" s="106">
        <v>1</v>
      </c>
      <c r="BH57" s="17">
        <v>0</v>
      </c>
      <c r="BI57" s="15">
        <v>0</v>
      </c>
      <c r="BJ57" s="15">
        <v>0</v>
      </c>
      <c r="BK57" s="15">
        <v>0</v>
      </c>
      <c r="BL57" s="15">
        <v>0</v>
      </c>
      <c r="BM57" s="17">
        <v>0</v>
      </c>
      <c r="BN57" s="15">
        <v>0</v>
      </c>
      <c r="BO57" s="15">
        <v>0</v>
      </c>
      <c r="BP57" s="15">
        <v>0</v>
      </c>
      <c r="BQ57" s="15">
        <v>0</v>
      </c>
      <c r="BR57" s="15">
        <v>0</v>
      </c>
      <c r="BS57" s="17">
        <v>0</v>
      </c>
      <c r="BT57" s="15">
        <v>0</v>
      </c>
      <c r="BU57" s="15">
        <v>0</v>
      </c>
      <c r="BV57" s="15">
        <v>0</v>
      </c>
      <c r="BW57" s="15">
        <v>0</v>
      </c>
      <c r="BX57" s="17">
        <v>0</v>
      </c>
      <c r="BY57" s="15">
        <v>0</v>
      </c>
      <c r="BZ57" s="15">
        <v>0</v>
      </c>
      <c r="CA57" s="15">
        <v>0</v>
      </c>
      <c r="CB57" s="17">
        <v>0</v>
      </c>
      <c r="CC57" s="15">
        <v>0</v>
      </c>
      <c r="CD57" s="15">
        <v>0</v>
      </c>
      <c r="CE57" s="15">
        <v>0</v>
      </c>
      <c r="CF57" s="15">
        <v>0</v>
      </c>
      <c r="CG57" s="17">
        <v>0</v>
      </c>
      <c r="CH57" s="15">
        <v>0</v>
      </c>
      <c r="CI57" s="15">
        <v>0</v>
      </c>
      <c r="CJ57" s="15">
        <v>0</v>
      </c>
      <c r="CK57" s="15">
        <v>0</v>
      </c>
      <c r="CL57" s="17">
        <v>0</v>
      </c>
      <c r="CM57" s="15">
        <v>0</v>
      </c>
      <c r="CN57" s="15">
        <v>0</v>
      </c>
      <c r="CO57" s="17">
        <v>0</v>
      </c>
      <c r="CP57" s="15">
        <v>0</v>
      </c>
      <c r="CQ57" s="15">
        <v>0</v>
      </c>
      <c r="CR57" s="15">
        <v>0</v>
      </c>
      <c r="CS57" s="17">
        <v>0</v>
      </c>
      <c r="CT57" s="87">
        <v>1</v>
      </c>
      <c r="CU57" s="15">
        <v>0</v>
      </c>
      <c r="CV57" s="15">
        <v>0</v>
      </c>
      <c r="CW57" s="15">
        <v>0</v>
      </c>
      <c r="CX57" s="15">
        <v>0</v>
      </c>
      <c r="CY57" s="17">
        <v>0</v>
      </c>
      <c r="CZ57" s="15">
        <v>0</v>
      </c>
      <c r="DA57" s="15">
        <v>0</v>
      </c>
      <c r="DB57" s="15">
        <v>0</v>
      </c>
      <c r="DC57" s="15">
        <v>0</v>
      </c>
      <c r="DD57" s="17">
        <v>0</v>
      </c>
      <c r="DE57" s="15">
        <v>0</v>
      </c>
      <c r="DF57" s="15">
        <v>0</v>
      </c>
      <c r="DG57" s="15">
        <v>0</v>
      </c>
      <c r="DH57" s="17">
        <v>0</v>
      </c>
      <c r="DI57" s="15">
        <v>0</v>
      </c>
      <c r="DJ57" s="15">
        <v>0</v>
      </c>
      <c r="DK57" s="15">
        <v>0</v>
      </c>
      <c r="DL57" s="15">
        <v>0</v>
      </c>
      <c r="DM57" s="15">
        <v>0</v>
      </c>
      <c r="DN57" s="17">
        <v>0</v>
      </c>
      <c r="DO57" s="105">
        <v>1</v>
      </c>
      <c r="DP57" s="15">
        <v>0</v>
      </c>
      <c r="DQ57" s="15">
        <v>0</v>
      </c>
      <c r="DR57" s="15">
        <v>0</v>
      </c>
      <c r="DS57" s="17">
        <v>0</v>
      </c>
      <c r="DT57" s="15">
        <v>0</v>
      </c>
      <c r="DU57" s="15">
        <v>0</v>
      </c>
      <c r="DV57" s="15">
        <v>0</v>
      </c>
      <c r="DW57" s="15">
        <v>0</v>
      </c>
      <c r="DX57" s="17">
        <v>0</v>
      </c>
      <c r="DY57" s="87">
        <v>1</v>
      </c>
      <c r="DZ57" s="15">
        <v>0</v>
      </c>
      <c r="EA57" s="15">
        <v>0</v>
      </c>
      <c r="EB57" s="41">
        <v>0</v>
      </c>
      <c r="EC57" s="17">
        <v>0</v>
      </c>
      <c r="ED57" s="107" t="s">
        <v>220</v>
      </c>
      <c r="EE57" s="15"/>
    </row>
    <row r="58" spans="1:135" ht="38.25">
      <c r="A58" s="97">
        <v>43889</v>
      </c>
      <c r="B58" s="14">
        <f t="shared" ref="B58:D58" si="58">SUM(I58,L58,O58,U58,Z58,AE58,AK58,AP58,AV58,AZ58,BD58,BI58,BN58,BT58,BY58,CC58,CH58,CM58,CP58,CT58,CZ58,DE58,DI58,DO58,DT58,DY58)</f>
        <v>17</v>
      </c>
      <c r="C58" s="99">
        <f t="shared" si="58"/>
        <v>0</v>
      </c>
      <c r="D58" s="73">
        <f t="shared" si="58"/>
        <v>1</v>
      </c>
      <c r="E58" s="100">
        <f t="shared" si="52"/>
        <v>16</v>
      </c>
      <c r="F58" s="104">
        <f t="shared" si="57"/>
        <v>5</v>
      </c>
      <c r="G58" s="101">
        <f t="shared" si="54"/>
        <v>0</v>
      </c>
      <c r="H58" s="15">
        <f t="shared" si="1"/>
        <v>0</v>
      </c>
      <c r="I58" s="15">
        <v>0</v>
      </c>
      <c r="J58" s="15">
        <v>0</v>
      </c>
      <c r="K58" s="17">
        <v>0</v>
      </c>
      <c r="L58" s="15">
        <v>0</v>
      </c>
      <c r="M58" s="15">
        <v>0</v>
      </c>
      <c r="N58" s="17">
        <v>0</v>
      </c>
      <c r="O58" s="87">
        <v>3</v>
      </c>
      <c r="P58" s="15">
        <v>0</v>
      </c>
      <c r="Q58" s="15">
        <v>0</v>
      </c>
      <c r="R58" s="15">
        <v>0</v>
      </c>
      <c r="S58" s="15">
        <v>0</v>
      </c>
      <c r="T58" s="17">
        <v>0</v>
      </c>
      <c r="U58" s="87">
        <v>1</v>
      </c>
      <c r="V58" s="15">
        <v>0</v>
      </c>
      <c r="W58" s="15">
        <v>0</v>
      </c>
      <c r="X58" s="15">
        <v>0</v>
      </c>
      <c r="Y58" s="17">
        <v>0</v>
      </c>
      <c r="Z58" s="105">
        <v>1</v>
      </c>
      <c r="AA58" s="15">
        <v>0</v>
      </c>
      <c r="AB58" s="15">
        <v>0</v>
      </c>
      <c r="AC58" s="15">
        <v>0</v>
      </c>
      <c r="AD58" s="17">
        <v>0</v>
      </c>
      <c r="AE58" s="15">
        <v>0</v>
      </c>
      <c r="AF58" s="15">
        <v>0</v>
      </c>
      <c r="AG58" s="15">
        <v>0</v>
      </c>
      <c r="AH58" s="15">
        <v>0</v>
      </c>
      <c r="AI58" s="15">
        <v>0</v>
      </c>
      <c r="AJ58" s="17">
        <v>0</v>
      </c>
      <c r="AK58" s="15">
        <v>0</v>
      </c>
      <c r="AL58" s="15">
        <v>0</v>
      </c>
      <c r="AM58" s="15">
        <v>0</v>
      </c>
      <c r="AN58" s="15">
        <v>0</v>
      </c>
      <c r="AO58" s="17">
        <v>0</v>
      </c>
      <c r="AP58" s="87">
        <f t="shared" ref="AP58:AP60" si="59">AP57+2</f>
        <v>3</v>
      </c>
      <c r="AQ58" s="15">
        <v>0</v>
      </c>
      <c r="AR58" s="15">
        <v>0</v>
      </c>
      <c r="AS58" s="15">
        <v>0</v>
      </c>
      <c r="AT58" s="15"/>
      <c r="AU58" s="17">
        <v>0</v>
      </c>
      <c r="AV58" s="15">
        <v>0</v>
      </c>
      <c r="AW58" s="15">
        <v>0</v>
      </c>
      <c r="AX58" s="15">
        <v>0</v>
      </c>
      <c r="AY58" s="17">
        <v>0</v>
      </c>
      <c r="AZ58" s="87">
        <v>3</v>
      </c>
      <c r="BA58" s="15">
        <v>0</v>
      </c>
      <c r="BB58" s="15">
        <v>0</v>
      </c>
      <c r="BC58" s="17">
        <v>0</v>
      </c>
      <c r="BD58" s="105">
        <v>1</v>
      </c>
      <c r="BE58" s="15">
        <v>0</v>
      </c>
      <c r="BF58" s="15">
        <v>0</v>
      </c>
      <c r="BG58" s="106">
        <v>1</v>
      </c>
      <c r="BH58" s="17">
        <v>0</v>
      </c>
      <c r="BI58" s="15">
        <v>0</v>
      </c>
      <c r="BJ58" s="15">
        <v>0</v>
      </c>
      <c r="BK58" s="15">
        <v>0</v>
      </c>
      <c r="BL58" s="15">
        <v>0</v>
      </c>
      <c r="BM58" s="17">
        <v>0</v>
      </c>
      <c r="BN58" s="15">
        <v>0</v>
      </c>
      <c r="BO58" s="15">
        <v>0</v>
      </c>
      <c r="BP58" s="15">
        <v>0</v>
      </c>
      <c r="BQ58" s="15">
        <v>0</v>
      </c>
      <c r="BR58" s="15">
        <v>0</v>
      </c>
      <c r="BS58" s="17">
        <v>0</v>
      </c>
      <c r="BT58" s="15">
        <v>0</v>
      </c>
      <c r="BU58" s="15">
        <v>0</v>
      </c>
      <c r="BV58" s="15">
        <v>0</v>
      </c>
      <c r="BW58" s="15">
        <v>0</v>
      </c>
      <c r="BX58" s="17">
        <v>0</v>
      </c>
      <c r="BY58" s="15">
        <v>0</v>
      </c>
      <c r="BZ58" s="15">
        <v>0</v>
      </c>
      <c r="CA58" s="15">
        <v>0</v>
      </c>
      <c r="CB58" s="17">
        <v>0</v>
      </c>
      <c r="CC58" s="15">
        <v>0</v>
      </c>
      <c r="CD58" s="15">
        <v>0</v>
      </c>
      <c r="CE58" s="15">
        <v>0</v>
      </c>
      <c r="CF58" s="15">
        <v>0</v>
      </c>
      <c r="CG58" s="17">
        <v>0</v>
      </c>
      <c r="CH58" s="15">
        <v>0</v>
      </c>
      <c r="CI58" s="15">
        <v>0</v>
      </c>
      <c r="CJ58" s="15">
        <v>0</v>
      </c>
      <c r="CK58" s="15">
        <v>0</v>
      </c>
      <c r="CL58" s="17">
        <v>0</v>
      </c>
      <c r="CM58" s="15">
        <v>0</v>
      </c>
      <c r="CN58" s="15">
        <v>0</v>
      </c>
      <c r="CO58" s="17">
        <v>0</v>
      </c>
      <c r="CP58" s="15">
        <v>0</v>
      </c>
      <c r="CQ58" s="15">
        <v>0</v>
      </c>
      <c r="CR58" s="15">
        <v>0</v>
      </c>
      <c r="CS58" s="17">
        <v>0</v>
      </c>
      <c r="CT58" s="87">
        <v>1</v>
      </c>
      <c r="CU58" s="15">
        <v>0</v>
      </c>
      <c r="CV58" s="109">
        <v>1</v>
      </c>
      <c r="CW58" s="15">
        <v>0</v>
      </c>
      <c r="CX58" s="15">
        <v>0</v>
      </c>
      <c r="CY58" s="17">
        <v>0</v>
      </c>
      <c r="CZ58" s="15">
        <v>0</v>
      </c>
      <c r="DA58" s="15">
        <v>0</v>
      </c>
      <c r="DB58" s="15">
        <v>0</v>
      </c>
      <c r="DC58" s="15">
        <v>0</v>
      </c>
      <c r="DD58" s="17">
        <v>0</v>
      </c>
      <c r="DE58" s="15">
        <v>0</v>
      </c>
      <c r="DF58" s="15">
        <v>0</v>
      </c>
      <c r="DG58" s="15">
        <v>0</v>
      </c>
      <c r="DH58" s="17">
        <v>0</v>
      </c>
      <c r="DI58" s="87">
        <v>1</v>
      </c>
      <c r="DJ58" s="15">
        <v>0</v>
      </c>
      <c r="DK58" s="15">
        <v>0</v>
      </c>
      <c r="DL58" s="106">
        <v>4</v>
      </c>
      <c r="DM58" s="15">
        <v>0</v>
      </c>
      <c r="DN58" s="17">
        <v>0</v>
      </c>
      <c r="DO58" s="105">
        <v>1</v>
      </c>
      <c r="DP58" s="15">
        <v>0</v>
      </c>
      <c r="DQ58" s="15">
        <v>0</v>
      </c>
      <c r="DR58" s="15">
        <v>0</v>
      </c>
      <c r="DS58" s="17">
        <v>0</v>
      </c>
      <c r="DT58" s="15">
        <v>0</v>
      </c>
      <c r="DU58" s="15">
        <v>0</v>
      </c>
      <c r="DV58" s="15">
        <v>0</v>
      </c>
      <c r="DW58" s="15">
        <v>0</v>
      </c>
      <c r="DX58" s="17">
        <v>0</v>
      </c>
      <c r="DY58" s="87">
        <v>2</v>
      </c>
      <c r="DZ58" s="15">
        <v>0</v>
      </c>
      <c r="EA58" s="15">
        <v>0</v>
      </c>
      <c r="EB58" s="41">
        <v>0</v>
      </c>
      <c r="EC58" s="17">
        <v>0</v>
      </c>
      <c r="ED58" s="102" t="s">
        <v>221</v>
      </c>
      <c r="EE58" s="15"/>
    </row>
    <row r="59" spans="1:135" ht="12.75">
      <c r="A59" s="110">
        <v>43890</v>
      </c>
      <c r="B59" s="21">
        <v>18</v>
      </c>
      <c r="C59" s="111">
        <f t="shared" ref="C59:D59" si="60">SUM(J59,M59,P59,V59,AA59,AF59,AL59,AQ59,AW59,BA59,BE59,BJ59,BO59,BU59,BZ59,CD59,CI59,CN59,CQ59,CU59,DA59,DF59,DJ59,DP59,DU59,DZ59)</f>
        <v>0</v>
      </c>
      <c r="D59" s="79">
        <f t="shared" si="60"/>
        <v>1</v>
      </c>
      <c r="E59" s="112">
        <f t="shared" si="52"/>
        <v>17</v>
      </c>
      <c r="F59" s="113">
        <f t="shared" si="57"/>
        <v>6</v>
      </c>
      <c r="G59" s="114">
        <f t="shared" si="54"/>
        <v>0</v>
      </c>
      <c r="H59" s="22">
        <f t="shared" si="1"/>
        <v>0</v>
      </c>
      <c r="I59" s="115">
        <v>0</v>
      </c>
      <c r="J59" s="22">
        <v>0</v>
      </c>
      <c r="K59" s="24">
        <v>0</v>
      </c>
      <c r="L59" s="115">
        <v>0</v>
      </c>
      <c r="M59" s="22">
        <v>0</v>
      </c>
      <c r="N59" s="24">
        <v>0</v>
      </c>
      <c r="O59" s="116">
        <v>3</v>
      </c>
      <c r="P59" s="22">
        <v>0</v>
      </c>
      <c r="Q59" s="22">
        <v>0</v>
      </c>
      <c r="R59" s="22">
        <v>0</v>
      </c>
      <c r="S59" s="22">
        <v>0</v>
      </c>
      <c r="T59" s="24">
        <v>0</v>
      </c>
      <c r="U59" s="116">
        <v>2</v>
      </c>
      <c r="V59" s="22">
        <v>0</v>
      </c>
      <c r="W59" s="22">
        <v>0</v>
      </c>
      <c r="X59" s="117">
        <v>1</v>
      </c>
      <c r="Y59" s="24">
        <v>0</v>
      </c>
      <c r="Z59" s="116">
        <v>1</v>
      </c>
      <c r="AA59" s="22">
        <v>0</v>
      </c>
      <c r="AB59" s="22">
        <v>0</v>
      </c>
      <c r="AC59" s="22">
        <v>0</v>
      </c>
      <c r="AD59" s="24">
        <v>0</v>
      </c>
      <c r="AE59" s="116">
        <v>1</v>
      </c>
      <c r="AF59" s="22">
        <v>0</v>
      </c>
      <c r="AG59" s="22">
        <v>0</v>
      </c>
      <c r="AH59" s="22">
        <v>0</v>
      </c>
      <c r="AI59" s="22">
        <v>0</v>
      </c>
      <c r="AJ59" s="24">
        <v>0</v>
      </c>
      <c r="AK59" s="115">
        <v>0</v>
      </c>
      <c r="AL59" s="22">
        <v>0</v>
      </c>
      <c r="AM59" s="22">
        <v>0</v>
      </c>
      <c r="AN59" s="22">
        <v>0</v>
      </c>
      <c r="AO59" s="24">
        <v>0</v>
      </c>
      <c r="AP59" s="92">
        <f t="shared" si="59"/>
        <v>5</v>
      </c>
      <c r="AQ59" s="22">
        <v>0</v>
      </c>
      <c r="AR59" s="22">
        <v>0</v>
      </c>
      <c r="AS59" s="22">
        <v>0</v>
      </c>
      <c r="AT59" s="22"/>
      <c r="AU59" s="24">
        <v>0</v>
      </c>
      <c r="AV59" s="115">
        <v>0</v>
      </c>
      <c r="AW59" s="22">
        <v>0</v>
      </c>
      <c r="AX59" s="22">
        <v>0</v>
      </c>
      <c r="AY59" s="24">
        <v>0</v>
      </c>
      <c r="AZ59" s="92">
        <v>3</v>
      </c>
      <c r="BA59" s="22">
        <v>0</v>
      </c>
      <c r="BB59" s="22">
        <v>0</v>
      </c>
      <c r="BC59" s="24">
        <v>0</v>
      </c>
      <c r="BD59" s="116">
        <v>1</v>
      </c>
      <c r="BE59" s="22">
        <v>0</v>
      </c>
      <c r="BF59" s="22">
        <v>0</v>
      </c>
      <c r="BG59" s="117">
        <v>1</v>
      </c>
      <c r="BH59" s="24">
        <v>0</v>
      </c>
      <c r="BI59" s="115">
        <v>0</v>
      </c>
      <c r="BJ59" s="22">
        <v>0</v>
      </c>
      <c r="BK59" s="22">
        <v>0</v>
      </c>
      <c r="BL59" s="22">
        <v>0</v>
      </c>
      <c r="BM59" s="24">
        <v>0</v>
      </c>
      <c r="BN59" s="115">
        <v>0</v>
      </c>
      <c r="BO59" s="22">
        <v>0</v>
      </c>
      <c r="BP59" s="22">
        <v>0</v>
      </c>
      <c r="BQ59" s="22">
        <v>0</v>
      </c>
      <c r="BR59" s="22">
        <v>0</v>
      </c>
      <c r="BS59" s="24">
        <v>0</v>
      </c>
      <c r="BT59" s="115">
        <v>0</v>
      </c>
      <c r="BU59" s="22">
        <v>0</v>
      </c>
      <c r="BV59" s="22">
        <v>0</v>
      </c>
      <c r="BW59" s="22">
        <v>0</v>
      </c>
      <c r="BX59" s="24">
        <v>0</v>
      </c>
      <c r="BY59" s="115">
        <v>0</v>
      </c>
      <c r="BZ59" s="22">
        <v>0</v>
      </c>
      <c r="CA59" s="22">
        <v>0</v>
      </c>
      <c r="CB59" s="24">
        <v>0</v>
      </c>
      <c r="CC59" s="115">
        <v>0</v>
      </c>
      <c r="CD59" s="22">
        <v>0</v>
      </c>
      <c r="CE59" s="22">
        <v>0</v>
      </c>
      <c r="CF59" s="22">
        <v>0</v>
      </c>
      <c r="CG59" s="24">
        <v>0</v>
      </c>
      <c r="CH59" s="115">
        <v>0</v>
      </c>
      <c r="CI59" s="22">
        <v>0</v>
      </c>
      <c r="CJ59" s="22">
        <v>0</v>
      </c>
      <c r="CK59" s="22">
        <v>0</v>
      </c>
      <c r="CL59" s="24">
        <v>0</v>
      </c>
      <c r="CM59" s="115">
        <v>0</v>
      </c>
      <c r="CN59" s="22">
        <v>0</v>
      </c>
      <c r="CO59" s="24">
        <v>0</v>
      </c>
      <c r="CP59" s="115">
        <v>0</v>
      </c>
      <c r="CQ59" s="22">
        <v>0</v>
      </c>
      <c r="CR59" s="22">
        <v>0</v>
      </c>
      <c r="CS59" s="24">
        <v>0</v>
      </c>
      <c r="CT59" s="116">
        <v>1</v>
      </c>
      <c r="CU59" s="22">
        <v>0</v>
      </c>
      <c r="CV59" s="118">
        <v>1</v>
      </c>
      <c r="CW59" s="22">
        <v>0</v>
      </c>
      <c r="CX59" s="22">
        <v>0</v>
      </c>
      <c r="CY59" s="24">
        <v>0</v>
      </c>
      <c r="CZ59" s="115">
        <v>0</v>
      </c>
      <c r="DA59" s="22">
        <v>0</v>
      </c>
      <c r="DB59" s="22">
        <v>0</v>
      </c>
      <c r="DC59" s="22">
        <v>0</v>
      </c>
      <c r="DD59" s="24">
        <v>0</v>
      </c>
      <c r="DE59" s="115">
        <v>0</v>
      </c>
      <c r="DF59" s="22">
        <v>0</v>
      </c>
      <c r="DG59" s="22">
        <v>0</v>
      </c>
      <c r="DH59" s="24">
        <v>0</v>
      </c>
      <c r="DI59" s="92">
        <f>DI58</f>
        <v>1</v>
      </c>
      <c r="DJ59" s="22">
        <v>0</v>
      </c>
      <c r="DK59" s="22">
        <v>0</v>
      </c>
      <c r="DL59" s="117">
        <v>4</v>
      </c>
      <c r="DM59" s="22">
        <v>0</v>
      </c>
      <c r="DN59" s="24">
        <v>0</v>
      </c>
      <c r="DO59" s="116">
        <v>1</v>
      </c>
      <c r="DP59" s="22">
        <v>0</v>
      </c>
      <c r="DQ59" s="22">
        <v>0</v>
      </c>
      <c r="DR59" s="22">
        <v>0</v>
      </c>
      <c r="DS59" s="24">
        <v>0</v>
      </c>
      <c r="DT59" s="115">
        <v>0</v>
      </c>
      <c r="DU59" s="22">
        <v>0</v>
      </c>
      <c r="DV59" s="22">
        <v>0</v>
      </c>
      <c r="DW59" s="22">
        <v>0</v>
      </c>
      <c r="DX59" s="24">
        <v>0</v>
      </c>
      <c r="DY59" s="116">
        <v>2</v>
      </c>
      <c r="DZ59" s="22">
        <v>0</v>
      </c>
      <c r="EA59" s="22">
        <v>0</v>
      </c>
      <c r="EB59" s="61">
        <v>0</v>
      </c>
      <c r="EC59" s="24">
        <v>0</v>
      </c>
      <c r="ED59" s="119" t="s">
        <v>225</v>
      </c>
      <c r="EE59" s="15"/>
    </row>
    <row r="60" spans="1:135" ht="63.75">
      <c r="A60" s="97">
        <v>43891</v>
      </c>
      <c r="B60" s="14">
        <f t="shared" ref="B60:D60" si="61">SUM(I60,L60,O60,U60,Z60,AE60,AK60,AP60,AV60,AZ60,BD60,BI60,BN60,BT60,BY60,CC60,CH60,CM60,CP60,CT60,CZ60,DE60,DI60,DO60,DT60,DY60)</f>
        <v>29</v>
      </c>
      <c r="C60" s="44">
        <f t="shared" si="61"/>
        <v>0</v>
      </c>
      <c r="D60" s="73">
        <f t="shared" si="61"/>
        <v>1</v>
      </c>
      <c r="E60" s="100">
        <f t="shared" si="52"/>
        <v>28</v>
      </c>
      <c r="F60" s="104">
        <f t="shared" si="57"/>
        <v>7</v>
      </c>
      <c r="G60" s="101">
        <f t="shared" si="54"/>
        <v>0</v>
      </c>
      <c r="H60" s="15">
        <f t="shared" si="1"/>
        <v>0</v>
      </c>
      <c r="I60" s="18">
        <v>0</v>
      </c>
      <c r="J60" s="15">
        <v>0</v>
      </c>
      <c r="K60" s="17">
        <v>0</v>
      </c>
      <c r="L60" s="18">
        <v>0</v>
      </c>
      <c r="M60" s="15">
        <v>0</v>
      </c>
      <c r="N60" s="17">
        <v>0</v>
      </c>
      <c r="O60" s="105">
        <v>3</v>
      </c>
      <c r="P60" s="15">
        <v>0</v>
      </c>
      <c r="Q60" s="15">
        <v>0</v>
      </c>
      <c r="R60" s="15">
        <v>0</v>
      </c>
      <c r="S60" s="15">
        <v>0</v>
      </c>
      <c r="T60" s="17">
        <v>0</v>
      </c>
      <c r="U60" s="105">
        <v>2</v>
      </c>
      <c r="V60" s="15">
        <v>0</v>
      </c>
      <c r="W60" s="15">
        <v>0</v>
      </c>
      <c r="X60" s="106">
        <v>1</v>
      </c>
      <c r="Y60" s="17">
        <v>0</v>
      </c>
      <c r="Z60" s="105">
        <v>1</v>
      </c>
      <c r="AA60" s="15">
        <v>0</v>
      </c>
      <c r="AB60" s="15">
        <v>0</v>
      </c>
      <c r="AC60" s="15">
        <v>0</v>
      </c>
      <c r="AD60" s="17">
        <v>0</v>
      </c>
      <c r="AE60" s="105">
        <v>1</v>
      </c>
      <c r="AF60" s="15">
        <v>0</v>
      </c>
      <c r="AG60" s="15">
        <v>0</v>
      </c>
      <c r="AH60" s="15">
        <v>0</v>
      </c>
      <c r="AI60" s="15">
        <v>0</v>
      </c>
      <c r="AJ60" s="17">
        <v>0</v>
      </c>
      <c r="AK60" s="105">
        <v>1</v>
      </c>
      <c r="AL60" s="15">
        <v>0</v>
      </c>
      <c r="AM60" s="15">
        <v>0</v>
      </c>
      <c r="AN60" s="15">
        <v>0</v>
      </c>
      <c r="AO60" s="17">
        <v>0</v>
      </c>
      <c r="AP60" s="87">
        <f t="shared" si="59"/>
        <v>7</v>
      </c>
      <c r="AQ60" s="15">
        <v>0</v>
      </c>
      <c r="AR60" s="15">
        <v>0</v>
      </c>
      <c r="AS60" s="15">
        <v>0</v>
      </c>
      <c r="AT60" s="15"/>
      <c r="AU60" s="17">
        <v>0</v>
      </c>
      <c r="AV60" s="18">
        <v>0</v>
      </c>
      <c r="AW60" s="15">
        <v>0</v>
      </c>
      <c r="AX60" s="15">
        <v>0</v>
      </c>
      <c r="AY60" s="17">
        <v>0</v>
      </c>
      <c r="AZ60" s="105">
        <v>6</v>
      </c>
      <c r="BA60" s="15">
        <v>0</v>
      </c>
      <c r="BB60" s="15">
        <v>0</v>
      </c>
      <c r="BC60" s="17">
        <v>0</v>
      </c>
      <c r="BD60" s="105">
        <v>1</v>
      </c>
      <c r="BE60" s="15">
        <v>0</v>
      </c>
      <c r="BF60" s="15">
        <v>0</v>
      </c>
      <c r="BG60" s="106">
        <v>1</v>
      </c>
      <c r="BH60" s="17">
        <v>0</v>
      </c>
      <c r="BI60" s="18">
        <v>0</v>
      </c>
      <c r="BJ60" s="15">
        <v>0</v>
      </c>
      <c r="BK60" s="15">
        <v>0</v>
      </c>
      <c r="BL60" s="15">
        <v>0</v>
      </c>
      <c r="BM60" s="17">
        <v>0</v>
      </c>
      <c r="BN60" s="105">
        <v>1</v>
      </c>
      <c r="BO60" s="15">
        <v>0</v>
      </c>
      <c r="BP60" s="15">
        <v>0</v>
      </c>
      <c r="BQ60" s="15">
        <v>0</v>
      </c>
      <c r="BR60" s="15">
        <v>0</v>
      </c>
      <c r="BS60" s="17">
        <v>0</v>
      </c>
      <c r="BT60" s="18">
        <v>0</v>
      </c>
      <c r="BU60" s="15">
        <v>0</v>
      </c>
      <c r="BV60" s="15">
        <v>0</v>
      </c>
      <c r="BW60" s="15">
        <v>0</v>
      </c>
      <c r="BX60" s="17">
        <v>0</v>
      </c>
      <c r="BY60" s="18">
        <v>0</v>
      </c>
      <c r="BZ60" s="15">
        <v>0</v>
      </c>
      <c r="CA60" s="15">
        <v>0</v>
      </c>
      <c r="CB60" s="17">
        <v>0</v>
      </c>
      <c r="CC60" s="18">
        <v>0</v>
      </c>
      <c r="CD60" s="15">
        <v>0</v>
      </c>
      <c r="CE60" s="15">
        <v>0</v>
      </c>
      <c r="CF60" s="15">
        <v>0</v>
      </c>
      <c r="CG60" s="17">
        <v>0</v>
      </c>
      <c r="CH60" s="18">
        <v>0</v>
      </c>
      <c r="CI60" s="15">
        <v>0</v>
      </c>
      <c r="CJ60" s="15">
        <v>0</v>
      </c>
      <c r="CK60" s="15">
        <v>0</v>
      </c>
      <c r="CL60" s="17">
        <v>0</v>
      </c>
      <c r="CM60" s="18">
        <v>0</v>
      </c>
      <c r="CN60" s="15">
        <v>0</v>
      </c>
      <c r="CO60" s="17">
        <v>0</v>
      </c>
      <c r="CP60" s="18">
        <v>0</v>
      </c>
      <c r="CQ60" s="15">
        <v>0</v>
      </c>
      <c r="CR60" s="15">
        <v>0</v>
      </c>
      <c r="CS60" s="17">
        <v>0</v>
      </c>
      <c r="CT60" s="105">
        <v>1</v>
      </c>
      <c r="CU60" s="15">
        <v>0</v>
      </c>
      <c r="CV60" s="109">
        <v>1</v>
      </c>
      <c r="CW60" s="15">
        <v>0</v>
      </c>
      <c r="CX60" s="15">
        <v>0</v>
      </c>
      <c r="CY60" s="17">
        <v>0</v>
      </c>
      <c r="CZ60" s="18">
        <v>0</v>
      </c>
      <c r="DA60" s="15">
        <v>0</v>
      </c>
      <c r="DB60" s="15">
        <v>0</v>
      </c>
      <c r="DC60" s="15">
        <v>0</v>
      </c>
      <c r="DD60" s="17">
        <v>0</v>
      </c>
      <c r="DE60" s="18">
        <v>0</v>
      </c>
      <c r="DF60" s="15">
        <v>0</v>
      </c>
      <c r="DG60" s="15">
        <v>0</v>
      </c>
      <c r="DH60" s="17">
        <v>0</v>
      </c>
      <c r="DI60" s="87">
        <f t="shared" ref="DI60:DI61" si="62">DI59+1</f>
        <v>2</v>
      </c>
      <c r="DJ60" s="15">
        <v>0</v>
      </c>
      <c r="DK60" s="15">
        <v>0</v>
      </c>
      <c r="DL60" s="106">
        <v>5</v>
      </c>
      <c r="DM60" s="15">
        <v>0</v>
      </c>
      <c r="DN60" s="17">
        <v>0</v>
      </c>
      <c r="DO60" s="105">
        <v>1</v>
      </c>
      <c r="DP60" s="15">
        <v>0</v>
      </c>
      <c r="DQ60" s="15">
        <v>0</v>
      </c>
      <c r="DR60" s="15">
        <v>0</v>
      </c>
      <c r="DS60" s="17">
        <v>0</v>
      </c>
      <c r="DT60" s="18">
        <v>0</v>
      </c>
      <c r="DU60" s="15">
        <v>0</v>
      </c>
      <c r="DV60" s="15">
        <v>0</v>
      </c>
      <c r="DW60" s="15">
        <v>0</v>
      </c>
      <c r="DX60" s="17">
        <v>0</v>
      </c>
      <c r="DY60" s="105">
        <v>2</v>
      </c>
      <c r="DZ60" s="15">
        <v>0</v>
      </c>
      <c r="EA60" s="15">
        <v>0</v>
      </c>
      <c r="EB60" s="41">
        <v>0</v>
      </c>
      <c r="EC60" s="17">
        <v>0</v>
      </c>
      <c r="ED60" s="102" t="s">
        <v>226</v>
      </c>
      <c r="EE60" s="15"/>
    </row>
    <row r="61" spans="1:135" ht="51">
      <c r="A61" s="97">
        <v>43892</v>
      </c>
      <c r="B61" s="14">
        <f t="shared" ref="B61:D61" si="63">SUM(I61,L61,O61,U61,Z61,AE61,AK61,AP61,AV61,AZ61,BD61,BI61,BN61,BT61,BY61,CC61,CH61,CM61,CP61,CT61,CZ61,DE61,DI61,DO61,DT61,DY61)</f>
        <v>40</v>
      </c>
      <c r="C61" s="101">
        <f t="shared" si="63"/>
        <v>0</v>
      </c>
      <c r="D61" s="73">
        <f t="shared" si="63"/>
        <v>1</v>
      </c>
      <c r="E61" s="100">
        <f t="shared" si="52"/>
        <v>39</v>
      </c>
      <c r="F61" s="104">
        <f t="shared" si="57"/>
        <v>10</v>
      </c>
      <c r="G61" s="101">
        <f t="shared" si="54"/>
        <v>0</v>
      </c>
      <c r="H61" s="15">
        <f t="shared" si="1"/>
        <v>0</v>
      </c>
      <c r="I61" s="18">
        <v>0</v>
      </c>
      <c r="J61" s="15">
        <v>0</v>
      </c>
      <c r="K61" s="17">
        <v>0</v>
      </c>
      <c r="L61" s="18">
        <v>0</v>
      </c>
      <c r="M61" s="15">
        <v>0</v>
      </c>
      <c r="N61" s="17">
        <v>0</v>
      </c>
      <c r="O61" s="105">
        <v>6</v>
      </c>
      <c r="P61" s="15">
        <v>0</v>
      </c>
      <c r="Q61" s="15">
        <v>0</v>
      </c>
      <c r="R61" s="15">
        <v>0</v>
      </c>
      <c r="S61" s="15">
        <v>0</v>
      </c>
      <c r="T61" s="17">
        <v>0</v>
      </c>
      <c r="U61" s="105">
        <v>2</v>
      </c>
      <c r="V61" s="15">
        <v>0</v>
      </c>
      <c r="W61" s="15">
        <v>0</v>
      </c>
      <c r="X61" s="106">
        <v>1</v>
      </c>
      <c r="Y61" s="17">
        <v>0</v>
      </c>
      <c r="Z61" s="105">
        <v>1</v>
      </c>
      <c r="AA61" s="15">
        <v>0</v>
      </c>
      <c r="AB61" s="15">
        <v>0</v>
      </c>
      <c r="AC61" s="15">
        <v>0</v>
      </c>
      <c r="AD61" s="17">
        <v>0</v>
      </c>
      <c r="AE61" s="105">
        <v>2</v>
      </c>
      <c r="AF61" s="15">
        <v>0</v>
      </c>
      <c r="AG61" s="15">
        <v>0</v>
      </c>
      <c r="AH61" s="15">
        <v>0</v>
      </c>
      <c r="AI61" s="15">
        <v>0</v>
      </c>
      <c r="AJ61" s="17">
        <v>0</v>
      </c>
      <c r="AK61" s="105">
        <v>2</v>
      </c>
      <c r="AL61" s="15">
        <v>0</v>
      </c>
      <c r="AM61" s="15">
        <v>0</v>
      </c>
      <c r="AN61" s="15">
        <v>0</v>
      </c>
      <c r="AO61" s="17">
        <v>0</v>
      </c>
      <c r="AP61" s="87">
        <f>AP60</f>
        <v>7</v>
      </c>
      <c r="AQ61" s="15">
        <v>0</v>
      </c>
      <c r="AR61" s="15">
        <v>0</v>
      </c>
      <c r="AS61" s="15">
        <v>0</v>
      </c>
      <c r="AT61" s="15"/>
      <c r="AU61" s="17">
        <v>0</v>
      </c>
      <c r="AV61" s="18">
        <v>0</v>
      </c>
      <c r="AW61" s="15">
        <v>0</v>
      </c>
      <c r="AX61" s="15">
        <v>0</v>
      </c>
      <c r="AY61" s="17">
        <v>0</v>
      </c>
      <c r="AZ61" s="105">
        <v>9</v>
      </c>
      <c r="BA61" s="15">
        <v>0</v>
      </c>
      <c r="BB61" s="15">
        <v>0</v>
      </c>
      <c r="BC61" s="17">
        <v>0</v>
      </c>
      <c r="BD61" s="105">
        <v>1</v>
      </c>
      <c r="BE61" s="15">
        <v>0</v>
      </c>
      <c r="BF61" s="15">
        <v>0</v>
      </c>
      <c r="BG61" s="106">
        <v>1</v>
      </c>
      <c r="BH61" s="17">
        <v>0</v>
      </c>
      <c r="BI61" s="18">
        <v>0</v>
      </c>
      <c r="BJ61" s="15">
        <v>0</v>
      </c>
      <c r="BK61" s="15">
        <v>0</v>
      </c>
      <c r="BL61" s="15">
        <v>0</v>
      </c>
      <c r="BM61" s="17">
        <v>0</v>
      </c>
      <c r="BN61" s="105">
        <f t="shared" ref="BN61:BN62" si="64">BN60</f>
        <v>1</v>
      </c>
      <c r="BO61" s="15">
        <v>0</v>
      </c>
      <c r="BP61" s="15">
        <v>0</v>
      </c>
      <c r="BQ61" s="106">
        <v>1</v>
      </c>
      <c r="BR61" s="15">
        <v>0</v>
      </c>
      <c r="BS61" s="17">
        <v>0</v>
      </c>
      <c r="BT61" s="18">
        <v>0</v>
      </c>
      <c r="BU61" s="15">
        <v>0</v>
      </c>
      <c r="BV61" s="15">
        <v>0</v>
      </c>
      <c r="BW61" s="15">
        <v>0</v>
      </c>
      <c r="BX61" s="17">
        <v>0</v>
      </c>
      <c r="BY61" s="18">
        <v>0</v>
      </c>
      <c r="BZ61" s="15">
        <v>0</v>
      </c>
      <c r="CA61" s="15">
        <v>0</v>
      </c>
      <c r="CB61" s="17">
        <v>0</v>
      </c>
      <c r="CC61" s="18">
        <v>0</v>
      </c>
      <c r="CD61" s="15">
        <v>0</v>
      </c>
      <c r="CE61" s="15">
        <v>0</v>
      </c>
      <c r="CF61" s="15">
        <v>0</v>
      </c>
      <c r="CG61" s="17">
        <v>0</v>
      </c>
      <c r="CH61" s="18">
        <v>0</v>
      </c>
      <c r="CI61" s="15">
        <v>0</v>
      </c>
      <c r="CJ61" s="15">
        <v>0</v>
      </c>
      <c r="CK61" s="15">
        <v>0</v>
      </c>
      <c r="CL61" s="17">
        <v>0</v>
      </c>
      <c r="CM61" s="18">
        <v>0</v>
      </c>
      <c r="CN61" s="15">
        <v>0</v>
      </c>
      <c r="CO61" s="17">
        <v>0</v>
      </c>
      <c r="CP61" s="18">
        <v>0</v>
      </c>
      <c r="CQ61" s="15">
        <v>0</v>
      </c>
      <c r="CR61" s="15">
        <v>0</v>
      </c>
      <c r="CS61" s="17">
        <v>0</v>
      </c>
      <c r="CT61" s="105">
        <v>2</v>
      </c>
      <c r="CU61" s="15">
        <v>0</v>
      </c>
      <c r="CV61" s="109">
        <v>1</v>
      </c>
      <c r="CW61" s="15">
        <v>0</v>
      </c>
      <c r="CX61" s="15">
        <v>0</v>
      </c>
      <c r="CY61" s="17">
        <v>0</v>
      </c>
      <c r="CZ61" s="18">
        <v>0</v>
      </c>
      <c r="DA61" s="15">
        <v>0</v>
      </c>
      <c r="DB61" s="15">
        <v>0</v>
      </c>
      <c r="DC61" s="15">
        <v>0</v>
      </c>
      <c r="DD61" s="17">
        <v>0</v>
      </c>
      <c r="DE61" s="18">
        <v>0</v>
      </c>
      <c r="DF61" s="15">
        <v>0</v>
      </c>
      <c r="DG61" s="15">
        <v>0</v>
      </c>
      <c r="DH61" s="17">
        <v>0</v>
      </c>
      <c r="DI61" s="87">
        <f t="shared" si="62"/>
        <v>3</v>
      </c>
      <c r="DJ61" s="15">
        <v>0</v>
      </c>
      <c r="DK61" s="15">
        <v>0</v>
      </c>
      <c r="DL61" s="106">
        <v>7</v>
      </c>
      <c r="DM61" s="15">
        <v>0</v>
      </c>
      <c r="DN61" s="17">
        <v>0</v>
      </c>
      <c r="DO61" s="105">
        <v>1</v>
      </c>
      <c r="DP61" s="15">
        <v>0</v>
      </c>
      <c r="DQ61" s="15">
        <v>0</v>
      </c>
      <c r="DR61" s="15">
        <v>0</v>
      </c>
      <c r="DS61" s="17">
        <v>0</v>
      </c>
      <c r="DT61" s="105">
        <v>1</v>
      </c>
      <c r="DU61" s="15">
        <v>0</v>
      </c>
      <c r="DV61" s="15">
        <v>0</v>
      </c>
      <c r="DW61" s="15">
        <v>0</v>
      </c>
      <c r="DX61" s="17">
        <v>0</v>
      </c>
      <c r="DY61" s="105">
        <v>2</v>
      </c>
      <c r="DZ61" s="15">
        <v>0</v>
      </c>
      <c r="EA61" s="15">
        <v>0</v>
      </c>
      <c r="EB61" s="41">
        <v>0</v>
      </c>
      <c r="EC61" s="17">
        <v>0</v>
      </c>
      <c r="ED61" s="102" t="s">
        <v>228</v>
      </c>
      <c r="EE61" s="126" t="s">
        <v>229</v>
      </c>
    </row>
    <row r="62" spans="1:135" ht="51">
      <c r="A62" s="97">
        <v>43893</v>
      </c>
      <c r="B62" s="14">
        <f t="shared" ref="B62:D62" si="65">SUM(I62,L62,O62,U62,Z62,AE62,AK62,AP62,AV62,AZ62,BD62,BI62,BN62,BT62,BY62,CC62,CH62,CM62,CP62,CT62,CZ62,DE62,DI62,DO62,DT62,DY62)</f>
        <v>56</v>
      </c>
      <c r="C62" s="101">
        <f t="shared" si="65"/>
        <v>0</v>
      </c>
      <c r="D62" s="73">
        <f t="shared" si="65"/>
        <v>2</v>
      </c>
      <c r="E62" s="100">
        <f t="shared" si="52"/>
        <v>54</v>
      </c>
      <c r="F62" s="104">
        <f t="shared" si="57"/>
        <v>12</v>
      </c>
      <c r="G62" s="101">
        <f t="shared" si="54"/>
        <v>0</v>
      </c>
      <c r="H62" s="15">
        <f t="shared" si="1"/>
        <v>0</v>
      </c>
      <c r="I62" s="18">
        <v>0</v>
      </c>
      <c r="J62" s="15">
        <v>0</v>
      </c>
      <c r="K62" s="17">
        <v>0</v>
      </c>
      <c r="L62" s="18">
        <v>0</v>
      </c>
      <c r="M62" s="15">
        <v>0</v>
      </c>
      <c r="N62" s="17">
        <v>0</v>
      </c>
      <c r="O62" s="105">
        <v>6</v>
      </c>
      <c r="P62" s="15">
        <v>0</v>
      </c>
      <c r="Q62" s="15">
        <v>0</v>
      </c>
      <c r="R62" s="15">
        <v>0</v>
      </c>
      <c r="S62" s="15">
        <v>0</v>
      </c>
      <c r="T62" s="17">
        <v>0</v>
      </c>
      <c r="U62" s="105">
        <v>2</v>
      </c>
      <c r="V62" s="15">
        <v>0</v>
      </c>
      <c r="W62" s="15">
        <v>0</v>
      </c>
      <c r="X62" s="106">
        <v>1</v>
      </c>
      <c r="Y62" s="17">
        <v>0</v>
      </c>
      <c r="Z62" s="105">
        <v>1</v>
      </c>
      <c r="AA62" s="15">
        <v>0</v>
      </c>
      <c r="AB62" s="15">
        <v>0</v>
      </c>
      <c r="AC62" s="15">
        <v>0</v>
      </c>
      <c r="AD62" s="17">
        <v>0</v>
      </c>
      <c r="AE62" s="105">
        <v>3</v>
      </c>
      <c r="AF62" s="15">
        <v>0</v>
      </c>
      <c r="AG62" s="15">
        <v>0</v>
      </c>
      <c r="AH62" s="15">
        <v>0</v>
      </c>
      <c r="AI62" s="15">
        <v>0</v>
      </c>
      <c r="AJ62" s="17">
        <v>0</v>
      </c>
      <c r="AK62" s="105">
        <v>2</v>
      </c>
      <c r="AL62" s="15">
        <v>0</v>
      </c>
      <c r="AM62" s="15">
        <v>0</v>
      </c>
      <c r="AN62" s="15">
        <v>0</v>
      </c>
      <c r="AO62" s="17">
        <v>0</v>
      </c>
      <c r="AP62" s="87">
        <f>AP61+2</f>
        <v>9</v>
      </c>
      <c r="AQ62" s="15">
        <v>0</v>
      </c>
      <c r="AR62" s="109">
        <v>1</v>
      </c>
      <c r="AS62" s="15">
        <v>0</v>
      </c>
      <c r="AT62" s="15"/>
      <c r="AU62" s="17">
        <v>0</v>
      </c>
      <c r="AV62" s="18">
        <v>0</v>
      </c>
      <c r="AW62" s="15">
        <v>0</v>
      </c>
      <c r="AX62" s="15">
        <v>0</v>
      </c>
      <c r="AY62" s="17">
        <v>0</v>
      </c>
      <c r="AZ62" s="105">
        <v>9</v>
      </c>
      <c r="BA62" s="15">
        <v>0</v>
      </c>
      <c r="BB62" s="15">
        <v>0</v>
      </c>
      <c r="BC62" s="17">
        <v>0</v>
      </c>
      <c r="BD62" s="105">
        <v>2</v>
      </c>
      <c r="BE62" s="15">
        <v>0</v>
      </c>
      <c r="BF62" s="15">
        <v>0</v>
      </c>
      <c r="BG62" s="106">
        <v>1</v>
      </c>
      <c r="BH62" s="17">
        <v>0</v>
      </c>
      <c r="BI62" s="18">
        <v>0</v>
      </c>
      <c r="BJ62" s="15">
        <v>0</v>
      </c>
      <c r="BK62" s="15">
        <v>0</v>
      </c>
      <c r="BL62" s="15">
        <v>0</v>
      </c>
      <c r="BM62" s="17">
        <v>0</v>
      </c>
      <c r="BN62" s="105">
        <f t="shared" si="64"/>
        <v>1</v>
      </c>
      <c r="BO62" s="15">
        <v>0</v>
      </c>
      <c r="BP62" s="15">
        <v>0</v>
      </c>
      <c r="BQ62" s="106">
        <v>1</v>
      </c>
      <c r="BR62" s="15">
        <v>0</v>
      </c>
      <c r="BS62" s="17">
        <v>0</v>
      </c>
      <c r="BT62" s="18">
        <v>0</v>
      </c>
      <c r="BU62" s="15">
        <v>0</v>
      </c>
      <c r="BV62" s="15">
        <v>0</v>
      </c>
      <c r="BW62" s="15">
        <v>0</v>
      </c>
      <c r="BX62" s="17">
        <v>0</v>
      </c>
      <c r="BY62" s="18">
        <v>0</v>
      </c>
      <c r="BZ62" s="15">
        <v>0</v>
      </c>
      <c r="CA62" s="15">
        <v>0</v>
      </c>
      <c r="CB62" s="17">
        <v>0</v>
      </c>
      <c r="CC62" s="18">
        <v>0</v>
      </c>
      <c r="CD62" s="15">
        <v>0</v>
      </c>
      <c r="CE62" s="15">
        <v>0</v>
      </c>
      <c r="CF62" s="15">
        <v>0</v>
      </c>
      <c r="CG62" s="17">
        <v>0</v>
      </c>
      <c r="CH62" s="18">
        <v>0</v>
      </c>
      <c r="CI62" s="15">
        <v>0</v>
      </c>
      <c r="CJ62" s="15">
        <v>0</v>
      </c>
      <c r="CK62" s="15">
        <v>0</v>
      </c>
      <c r="CL62" s="17">
        <v>0</v>
      </c>
      <c r="CM62" s="18">
        <v>0</v>
      </c>
      <c r="CN62" s="15">
        <v>0</v>
      </c>
      <c r="CO62" s="17">
        <v>0</v>
      </c>
      <c r="CP62" s="18">
        <v>0</v>
      </c>
      <c r="CQ62" s="15">
        <v>0</v>
      </c>
      <c r="CR62" s="15">
        <v>0</v>
      </c>
      <c r="CS62" s="17">
        <v>0</v>
      </c>
      <c r="CT62" s="105">
        <v>6</v>
      </c>
      <c r="CU62" s="15">
        <v>0</v>
      </c>
      <c r="CV62" s="109">
        <v>1</v>
      </c>
      <c r="CW62" s="15">
        <v>0</v>
      </c>
      <c r="CX62" s="15">
        <v>0</v>
      </c>
      <c r="CY62" s="17">
        <v>0</v>
      </c>
      <c r="CZ62" s="18">
        <v>0</v>
      </c>
      <c r="DA62" s="15">
        <v>0</v>
      </c>
      <c r="DB62" s="15">
        <v>0</v>
      </c>
      <c r="DC62" s="15">
        <v>0</v>
      </c>
      <c r="DD62" s="17">
        <v>0</v>
      </c>
      <c r="DE62" s="18">
        <v>0</v>
      </c>
      <c r="DF62" s="15">
        <v>0</v>
      </c>
      <c r="DG62" s="15">
        <v>0</v>
      </c>
      <c r="DH62" s="17">
        <v>0</v>
      </c>
      <c r="DI62" s="87">
        <f>DI61</f>
        <v>3</v>
      </c>
      <c r="DJ62" s="15">
        <v>0</v>
      </c>
      <c r="DK62" s="15">
        <v>0</v>
      </c>
      <c r="DL62" s="106">
        <v>9</v>
      </c>
      <c r="DM62" s="15">
        <v>0</v>
      </c>
      <c r="DN62" s="17">
        <v>0</v>
      </c>
      <c r="DO62" s="105">
        <v>2</v>
      </c>
      <c r="DP62" s="15">
        <v>0</v>
      </c>
      <c r="DQ62" s="15">
        <v>0</v>
      </c>
      <c r="DR62" s="15">
        <v>0</v>
      </c>
      <c r="DS62" s="17">
        <v>0</v>
      </c>
      <c r="DT62" s="105">
        <v>1</v>
      </c>
      <c r="DU62" s="15">
        <v>0</v>
      </c>
      <c r="DV62" s="15">
        <v>0</v>
      </c>
      <c r="DW62" s="15">
        <v>0</v>
      </c>
      <c r="DX62" s="17">
        <v>0</v>
      </c>
      <c r="DY62" s="105">
        <v>9</v>
      </c>
      <c r="DZ62" s="15">
        <v>0</v>
      </c>
      <c r="EA62" s="15">
        <v>0</v>
      </c>
      <c r="EB62" s="41">
        <v>0</v>
      </c>
      <c r="EC62" s="17">
        <v>0</v>
      </c>
      <c r="ED62" s="102" t="s">
        <v>230</v>
      </c>
      <c r="EE62" s="127" t="s">
        <v>231</v>
      </c>
    </row>
    <row r="63" spans="1:135" ht="76.5">
      <c r="A63" s="97">
        <v>43894</v>
      </c>
      <c r="B63" s="14">
        <v>93</v>
      </c>
      <c r="C63" s="101">
        <f t="shared" ref="C63:D63" si="66">SUM(J63,M63,P63,V63,AA63,AF63,AL63,AQ63,AW63,BA63,BE63,BJ63,BO63,BU63,BZ63,CD63,CI63,CN63,CQ63,CU63,DA63,DF63,DJ63,DP63,DU63,DZ63)</f>
        <v>0</v>
      </c>
      <c r="D63" s="73">
        <f t="shared" si="66"/>
        <v>3</v>
      </c>
      <c r="E63" s="100">
        <f t="shared" si="52"/>
        <v>90</v>
      </c>
      <c r="F63" s="104">
        <f t="shared" si="57"/>
        <v>16</v>
      </c>
      <c r="G63" s="101">
        <f t="shared" si="54"/>
        <v>0</v>
      </c>
      <c r="H63" s="15">
        <f t="shared" si="1"/>
        <v>0</v>
      </c>
      <c r="I63" s="18">
        <v>0</v>
      </c>
      <c r="J63" s="15">
        <v>0</v>
      </c>
      <c r="K63" s="17">
        <v>0</v>
      </c>
      <c r="L63" s="18">
        <v>0</v>
      </c>
      <c r="M63" s="15">
        <v>0</v>
      </c>
      <c r="N63" s="17">
        <v>0</v>
      </c>
      <c r="O63" s="105">
        <v>7</v>
      </c>
      <c r="P63" s="15">
        <v>0</v>
      </c>
      <c r="Q63" s="15">
        <v>0</v>
      </c>
      <c r="R63" s="15">
        <v>0</v>
      </c>
      <c r="S63" s="15">
        <v>0</v>
      </c>
      <c r="T63" s="17">
        <v>0</v>
      </c>
      <c r="U63" s="105">
        <v>2</v>
      </c>
      <c r="V63" s="15">
        <v>0</v>
      </c>
      <c r="W63" s="15">
        <v>0</v>
      </c>
      <c r="X63" s="106">
        <v>1</v>
      </c>
      <c r="Y63" s="17">
        <v>0</v>
      </c>
      <c r="Z63" s="105">
        <v>1</v>
      </c>
      <c r="AA63" s="15">
        <v>0</v>
      </c>
      <c r="AB63" s="15">
        <v>0</v>
      </c>
      <c r="AC63" s="15">
        <v>0</v>
      </c>
      <c r="AD63" s="17">
        <v>0</v>
      </c>
      <c r="AE63" s="105">
        <v>3</v>
      </c>
      <c r="AF63" s="15">
        <v>0</v>
      </c>
      <c r="AG63" s="15">
        <v>0</v>
      </c>
      <c r="AH63" s="15">
        <v>0</v>
      </c>
      <c r="AI63" s="15">
        <v>0</v>
      </c>
      <c r="AJ63" s="17">
        <v>0</v>
      </c>
      <c r="AK63" s="105">
        <v>4</v>
      </c>
      <c r="AL63" s="15">
        <v>0</v>
      </c>
      <c r="AM63" s="15">
        <v>0</v>
      </c>
      <c r="AN63" s="15">
        <v>0</v>
      </c>
      <c r="AO63" s="17">
        <v>0</v>
      </c>
      <c r="AP63" s="87">
        <f>AP62</f>
        <v>9</v>
      </c>
      <c r="AQ63" s="15">
        <v>0</v>
      </c>
      <c r="AR63" s="109">
        <v>1</v>
      </c>
      <c r="AS63" s="15">
        <v>0</v>
      </c>
      <c r="AT63" s="15"/>
      <c r="AU63" s="17">
        <v>0</v>
      </c>
      <c r="AV63" s="18">
        <v>0</v>
      </c>
      <c r="AW63" s="15">
        <v>0</v>
      </c>
      <c r="AX63" s="15">
        <v>0</v>
      </c>
      <c r="AY63" s="17">
        <v>0</v>
      </c>
      <c r="AZ63" s="105">
        <v>9</v>
      </c>
      <c r="BA63" s="15">
        <v>0</v>
      </c>
      <c r="BB63" s="15">
        <v>0</v>
      </c>
      <c r="BC63" s="17">
        <v>0</v>
      </c>
      <c r="BD63" s="105">
        <v>2</v>
      </c>
      <c r="BE63" s="15">
        <v>0</v>
      </c>
      <c r="BF63" s="15">
        <v>0</v>
      </c>
      <c r="BG63" s="106">
        <v>1</v>
      </c>
      <c r="BH63" s="17">
        <v>0</v>
      </c>
      <c r="BI63" s="18">
        <v>0</v>
      </c>
      <c r="BJ63" s="15">
        <v>0</v>
      </c>
      <c r="BK63" s="15">
        <v>0</v>
      </c>
      <c r="BL63" s="15">
        <v>0</v>
      </c>
      <c r="BM63" s="17">
        <v>0</v>
      </c>
      <c r="BN63" s="105">
        <f>BN62+7</f>
        <v>8</v>
      </c>
      <c r="BO63" s="15">
        <v>0</v>
      </c>
      <c r="BP63" s="15">
        <v>0</v>
      </c>
      <c r="BQ63" s="106">
        <v>4</v>
      </c>
      <c r="BR63" s="15">
        <v>0</v>
      </c>
      <c r="BS63" s="17">
        <v>0</v>
      </c>
      <c r="BT63" s="18">
        <v>0</v>
      </c>
      <c r="BU63" s="15">
        <v>0</v>
      </c>
      <c r="BV63" s="15">
        <v>0</v>
      </c>
      <c r="BW63" s="15">
        <v>0</v>
      </c>
      <c r="BX63" s="17">
        <v>0</v>
      </c>
      <c r="BY63" s="18">
        <v>0</v>
      </c>
      <c r="BZ63" s="15">
        <v>0</v>
      </c>
      <c r="CA63" s="15">
        <v>0</v>
      </c>
      <c r="CB63" s="17">
        <v>0</v>
      </c>
      <c r="CC63" s="105">
        <v>1</v>
      </c>
      <c r="CD63" s="15">
        <v>0</v>
      </c>
      <c r="CE63" s="15">
        <v>0</v>
      </c>
      <c r="CF63" s="15">
        <v>0</v>
      </c>
      <c r="CG63" s="17">
        <v>0</v>
      </c>
      <c r="CH63" s="18">
        <v>0</v>
      </c>
      <c r="CI63" s="15">
        <v>0</v>
      </c>
      <c r="CJ63" s="15">
        <v>0</v>
      </c>
      <c r="CK63" s="15">
        <v>0</v>
      </c>
      <c r="CL63" s="17">
        <v>0</v>
      </c>
      <c r="CM63" s="105">
        <v>3</v>
      </c>
      <c r="CN63" s="15">
        <v>0</v>
      </c>
      <c r="CO63" s="17">
        <v>0</v>
      </c>
      <c r="CP63" s="18">
        <v>0</v>
      </c>
      <c r="CQ63" s="15">
        <v>0</v>
      </c>
      <c r="CR63" s="15">
        <v>0</v>
      </c>
      <c r="CS63" s="17">
        <v>0</v>
      </c>
      <c r="CT63" s="105">
        <v>16</v>
      </c>
      <c r="CU63" s="15">
        <v>0</v>
      </c>
      <c r="CV63" s="109">
        <v>1</v>
      </c>
      <c r="CW63" s="15">
        <v>0</v>
      </c>
      <c r="CX63" s="15">
        <v>0</v>
      </c>
      <c r="CY63" s="17">
        <v>0</v>
      </c>
      <c r="CZ63" s="18">
        <v>0</v>
      </c>
      <c r="DA63" s="15">
        <v>0</v>
      </c>
      <c r="DB63" s="15">
        <v>0</v>
      </c>
      <c r="DC63" s="15">
        <v>0</v>
      </c>
      <c r="DD63" s="17">
        <v>0</v>
      </c>
      <c r="DE63" s="18">
        <v>0</v>
      </c>
      <c r="DF63" s="15">
        <v>0</v>
      </c>
      <c r="DG63" s="15">
        <v>0</v>
      </c>
      <c r="DH63" s="17">
        <v>0</v>
      </c>
      <c r="DI63" s="87">
        <f t="shared" ref="DI63:DI66" si="67">DI62+1</f>
        <v>4</v>
      </c>
      <c r="DJ63" s="15">
        <v>0</v>
      </c>
      <c r="DK63" s="15">
        <v>0</v>
      </c>
      <c r="DL63" s="106">
        <v>10</v>
      </c>
      <c r="DM63" s="15">
        <v>0</v>
      </c>
      <c r="DN63" s="17">
        <v>0</v>
      </c>
      <c r="DO63" s="105">
        <v>8</v>
      </c>
      <c r="DP63" s="15">
        <v>0</v>
      </c>
      <c r="DQ63" s="109">
        <v>1</v>
      </c>
      <c r="DR63" s="15">
        <v>0</v>
      </c>
      <c r="DS63" s="17">
        <v>0</v>
      </c>
      <c r="DT63" s="105">
        <v>2</v>
      </c>
      <c r="DU63" s="15">
        <v>0</v>
      </c>
      <c r="DV63" s="15">
        <v>0</v>
      </c>
      <c r="DW63" s="15">
        <v>0</v>
      </c>
      <c r="DX63" s="17">
        <v>0</v>
      </c>
      <c r="DY63" s="105">
        <v>13</v>
      </c>
      <c r="DZ63" s="15">
        <v>0</v>
      </c>
      <c r="EA63" s="15">
        <v>0</v>
      </c>
      <c r="EB63" s="41">
        <v>0</v>
      </c>
      <c r="EC63" s="17">
        <v>0</v>
      </c>
      <c r="ED63" s="102" t="s">
        <v>233</v>
      </c>
      <c r="EE63" s="77" t="s">
        <v>234</v>
      </c>
    </row>
    <row r="64" spans="1:135" ht="89.25">
      <c r="A64" s="97">
        <v>43895</v>
      </c>
      <c r="B64" s="14">
        <v>114</v>
      </c>
      <c r="C64" s="34">
        <f t="shared" ref="C64:D64" si="68">SUM(J64,M64,P64,V64,AA64,AF64,AL64,AQ64,AW64,BA64,BE64,BJ64,BO64,BU64,BZ64,CD64,CI64,CN64,CQ64,CU64,DA64,DF64,DJ64,DP64,DU64,DZ64)</f>
        <v>1</v>
      </c>
      <c r="D64" s="73">
        <f t="shared" si="68"/>
        <v>3</v>
      </c>
      <c r="E64" s="100">
        <f t="shared" si="52"/>
        <v>110</v>
      </c>
      <c r="F64" s="104">
        <f t="shared" si="57"/>
        <v>15</v>
      </c>
      <c r="G64" s="101">
        <f t="shared" si="54"/>
        <v>0</v>
      </c>
      <c r="H64" s="15">
        <f t="shared" si="1"/>
        <v>0</v>
      </c>
      <c r="I64" s="18">
        <v>0</v>
      </c>
      <c r="J64" s="15">
        <v>0</v>
      </c>
      <c r="K64" s="17">
        <v>0</v>
      </c>
      <c r="L64" s="18">
        <v>0</v>
      </c>
      <c r="M64" s="15">
        <v>0</v>
      </c>
      <c r="N64" s="17">
        <v>0</v>
      </c>
      <c r="O64" s="105">
        <v>9</v>
      </c>
      <c r="P64" s="15">
        <v>0</v>
      </c>
      <c r="Q64" s="15">
        <v>0</v>
      </c>
      <c r="R64" s="15">
        <v>0</v>
      </c>
      <c r="S64" s="15">
        <v>0</v>
      </c>
      <c r="T64" s="17">
        <v>0</v>
      </c>
      <c r="U64" s="105">
        <v>6</v>
      </c>
      <c r="V64" s="15">
        <v>0</v>
      </c>
      <c r="W64" s="15">
        <v>0</v>
      </c>
      <c r="X64" s="106">
        <v>1</v>
      </c>
      <c r="Y64" s="17">
        <v>0</v>
      </c>
      <c r="Z64" s="105">
        <v>1</v>
      </c>
      <c r="AA64" s="15">
        <v>0</v>
      </c>
      <c r="AB64" s="15">
        <v>0</v>
      </c>
      <c r="AC64" s="15">
        <v>0</v>
      </c>
      <c r="AD64" s="17">
        <v>0</v>
      </c>
      <c r="AE64" s="105">
        <v>3</v>
      </c>
      <c r="AF64" s="15">
        <v>0</v>
      </c>
      <c r="AG64" s="15">
        <v>0</v>
      </c>
      <c r="AH64" s="15">
        <v>0</v>
      </c>
      <c r="AI64" s="15">
        <v>0</v>
      </c>
      <c r="AJ64" s="17">
        <v>0</v>
      </c>
      <c r="AK64" s="105">
        <v>6</v>
      </c>
      <c r="AL64" s="15">
        <v>0</v>
      </c>
      <c r="AM64" s="15">
        <v>0</v>
      </c>
      <c r="AN64" s="15">
        <v>0</v>
      </c>
      <c r="AO64" s="17">
        <v>0</v>
      </c>
      <c r="AP64" s="87">
        <f>AP63+4</f>
        <v>13</v>
      </c>
      <c r="AQ64" s="15">
        <v>0</v>
      </c>
      <c r="AR64" s="109">
        <v>1</v>
      </c>
      <c r="AS64" s="15">
        <v>0</v>
      </c>
      <c r="AT64" s="15"/>
      <c r="AU64" s="17">
        <v>0</v>
      </c>
      <c r="AV64" s="18">
        <v>0</v>
      </c>
      <c r="AW64" s="15">
        <v>0</v>
      </c>
      <c r="AX64" s="15">
        <v>0</v>
      </c>
      <c r="AY64" s="17">
        <v>0</v>
      </c>
      <c r="AZ64" s="105">
        <v>9</v>
      </c>
      <c r="BA64" s="15">
        <v>0</v>
      </c>
      <c r="BB64" s="15">
        <v>0</v>
      </c>
      <c r="BC64" s="17">
        <v>0</v>
      </c>
      <c r="BD64" s="105">
        <v>4</v>
      </c>
      <c r="BE64" s="15">
        <v>0</v>
      </c>
      <c r="BF64" s="15">
        <v>0</v>
      </c>
      <c r="BG64" s="106">
        <v>2</v>
      </c>
      <c r="BH64" s="17">
        <v>0</v>
      </c>
      <c r="BI64" s="105">
        <v>2</v>
      </c>
      <c r="BJ64" s="15">
        <v>0</v>
      </c>
      <c r="BK64" s="15">
        <v>0</v>
      </c>
      <c r="BL64" s="15">
        <v>0</v>
      </c>
      <c r="BM64" s="17">
        <v>0</v>
      </c>
      <c r="BN64" s="105">
        <f>BN63+1</f>
        <v>9</v>
      </c>
      <c r="BO64" s="15">
        <v>0</v>
      </c>
      <c r="BP64" s="15">
        <v>0</v>
      </c>
      <c r="BQ64" s="106">
        <v>4</v>
      </c>
      <c r="BR64" s="15">
        <v>0</v>
      </c>
      <c r="BS64" s="17">
        <v>0</v>
      </c>
      <c r="BT64" s="18">
        <v>0</v>
      </c>
      <c r="BU64" s="15">
        <v>0</v>
      </c>
      <c r="BV64" s="15">
        <v>0</v>
      </c>
      <c r="BW64" s="15">
        <v>0</v>
      </c>
      <c r="BX64" s="17">
        <v>0</v>
      </c>
      <c r="BY64" s="18">
        <v>0</v>
      </c>
      <c r="BZ64" s="15">
        <v>0</v>
      </c>
      <c r="CA64" s="15">
        <v>0</v>
      </c>
      <c r="CB64" s="17">
        <v>0</v>
      </c>
      <c r="CC64" s="105">
        <v>1</v>
      </c>
      <c r="CD64" s="15">
        <v>0</v>
      </c>
      <c r="CE64" s="15">
        <v>0</v>
      </c>
      <c r="CF64" s="15">
        <v>0</v>
      </c>
      <c r="CG64" s="17">
        <v>0</v>
      </c>
      <c r="CH64" s="18">
        <v>0</v>
      </c>
      <c r="CI64" s="15">
        <v>0</v>
      </c>
      <c r="CJ64" s="15">
        <v>0</v>
      </c>
      <c r="CK64" s="15">
        <v>0</v>
      </c>
      <c r="CL64" s="17">
        <v>0</v>
      </c>
      <c r="CM64" s="105">
        <v>3</v>
      </c>
      <c r="CN64" s="15">
        <v>0</v>
      </c>
      <c r="CO64" s="17">
        <v>0</v>
      </c>
      <c r="CP64" s="18">
        <v>0</v>
      </c>
      <c r="CQ64" s="15">
        <v>0</v>
      </c>
      <c r="CR64" s="15">
        <v>0</v>
      </c>
      <c r="CS64" s="17">
        <v>0</v>
      </c>
      <c r="CT64" s="105">
        <v>16</v>
      </c>
      <c r="CU64" s="15">
        <v>0</v>
      </c>
      <c r="CV64" s="109">
        <v>1</v>
      </c>
      <c r="CW64" s="15">
        <v>0</v>
      </c>
      <c r="CX64" s="15">
        <v>0</v>
      </c>
      <c r="CY64" s="17">
        <v>0</v>
      </c>
      <c r="CZ64" s="18">
        <v>0</v>
      </c>
      <c r="DA64" s="15">
        <v>0</v>
      </c>
      <c r="DB64" s="15">
        <v>0</v>
      </c>
      <c r="DC64" s="15">
        <v>0</v>
      </c>
      <c r="DD64" s="17">
        <v>0</v>
      </c>
      <c r="DE64" s="18">
        <v>0</v>
      </c>
      <c r="DF64" s="15">
        <v>0</v>
      </c>
      <c r="DG64" s="15">
        <v>0</v>
      </c>
      <c r="DH64" s="17">
        <v>0</v>
      </c>
      <c r="DI64" s="87">
        <f t="shared" si="67"/>
        <v>5</v>
      </c>
      <c r="DJ64" s="15">
        <v>0</v>
      </c>
      <c r="DK64" s="15">
        <v>0</v>
      </c>
      <c r="DL64" s="106">
        <v>8</v>
      </c>
      <c r="DM64" s="15">
        <v>0</v>
      </c>
      <c r="DN64" s="17">
        <v>0</v>
      </c>
      <c r="DO64" s="105">
        <v>8</v>
      </c>
      <c r="DP64" s="128">
        <v>1</v>
      </c>
      <c r="DQ64" s="109">
        <v>1</v>
      </c>
      <c r="DR64" s="15">
        <v>0</v>
      </c>
      <c r="DS64" s="17">
        <v>0</v>
      </c>
      <c r="DT64" s="105">
        <v>3</v>
      </c>
      <c r="DU64" s="15">
        <v>0</v>
      </c>
      <c r="DV64" s="15">
        <v>0</v>
      </c>
      <c r="DW64" s="15">
        <v>0</v>
      </c>
      <c r="DX64" s="17">
        <v>0</v>
      </c>
      <c r="DY64" s="105">
        <v>19</v>
      </c>
      <c r="DZ64" s="15">
        <v>0</v>
      </c>
      <c r="EA64" s="15">
        <v>0</v>
      </c>
      <c r="EB64" s="41">
        <v>0</v>
      </c>
      <c r="EC64" s="17">
        <v>0</v>
      </c>
      <c r="ED64" s="102" t="s">
        <v>236</v>
      </c>
      <c r="EE64" s="127" t="s">
        <v>237</v>
      </c>
    </row>
    <row r="65" spans="1:135" ht="25.5">
      <c r="A65" s="97">
        <v>43896</v>
      </c>
      <c r="B65" s="14">
        <v>214</v>
      </c>
      <c r="C65" s="34">
        <f t="shared" ref="C65:D65" si="69">SUM(J65,M65,P65,V65,AA65,AF65,AL65,AQ65,AW65,BA65,BE65,BJ65,BO65,BU65,BZ65,CD65,CI65,CN65,CQ65,CU65,DA65,DF65,DJ65,DP65,DU65,DZ65)</f>
        <v>1</v>
      </c>
      <c r="D65" s="73">
        <f t="shared" si="69"/>
        <v>4</v>
      </c>
      <c r="E65" s="100">
        <f t="shared" si="52"/>
        <v>209</v>
      </c>
      <c r="F65" s="104">
        <f t="shared" si="57"/>
        <v>20</v>
      </c>
      <c r="G65" s="129">
        <f t="shared" ref="G65:G110" si="70">SUM(S65,Y65,AD65,AI65,AO65,AT65,BH65,BM65,BR65,BX65,CG65,CL65,CX65,DM65,DS65,DX65,)</f>
        <v>2</v>
      </c>
      <c r="H65" s="15">
        <f t="shared" si="1"/>
        <v>0</v>
      </c>
      <c r="I65" s="105">
        <v>1</v>
      </c>
      <c r="J65" s="15">
        <v>0</v>
      </c>
      <c r="K65" s="17">
        <v>0</v>
      </c>
      <c r="L65" s="18">
        <v>0</v>
      </c>
      <c r="M65" s="15">
        <v>0</v>
      </c>
      <c r="N65" s="17">
        <v>0</v>
      </c>
      <c r="O65" s="105">
        <v>12</v>
      </c>
      <c r="P65" s="15">
        <v>0</v>
      </c>
      <c r="Q65" s="109">
        <v>1</v>
      </c>
      <c r="R65" s="15">
        <v>0</v>
      </c>
      <c r="S65" s="15">
        <v>0</v>
      </c>
      <c r="T65" s="17">
        <v>0</v>
      </c>
      <c r="U65" s="105">
        <v>6</v>
      </c>
      <c r="V65" s="15">
        <v>0</v>
      </c>
      <c r="W65" s="15">
        <v>0</v>
      </c>
      <c r="X65" s="106">
        <v>4</v>
      </c>
      <c r="Y65" s="130">
        <v>2</v>
      </c>
      <c r="Z65" s="105">
        <v>12</v>
      </c>
      <c r="AA65" s="15">
        <v>0</v>
      </c>
      <c r="AB65" s="15">
        <v>0</v>
      </c>
      <c r="AC65" s="15">
        <v>0</v>
      </c>
      <c r="AD65" s="17">
        <v>0</v>
      </c>
      <c r="AE65" s="105">
        <v>17</v>
      </c>
      <c r="AF65" s="15">
        <v>0</v>
      </c>
      <c r="AG65" s="15">
        <v>0</v>
      </c>
      <c r="AH65" s="15">
        <v>0</v>
      </c>
      <c r="AI65" s="15">
        <v>0</v>
      </c>
      <c r="AJ65" s="17">
        <v>0</v>
      </c>
      <c r="AK65" s="105">
        <v>6</v>
      </c>
      <c r="AL65" s="15">
        <v>0</v>
      </c>
      <c r="AM65" s="15">
        <v>0</v>
      </c>
      <c r="AN65" s="15">
        <v>0</v>
      </c>
      <c r="AO65" s="17">
        <v>0</v>
      </c>
      <c r="AP65" s="87">
        <f>AP64+5</f>
        <v>18</v>
      </c>
      <c r="AQ65" s="15">
        <v>0</v>
      </c>
      <c r="AR65" s="109">
        <v>1</v>
      </c>
      <c r="AS65" s="15">
        <v>0</v>
      </c>
      <c r="AT65" s="15"/>
      <c r="AU65" s="17">
        <v>0</v>
      </c>
      <c r="AV65" s="18">
        <v>0</v>
      </c>
      <c r="AW65" s="15">
        <v>0</v>
      </c>
      <c r="AX65" s="15">
        <v>0</v>
      </c>
      <c r="AY65" s="17">
        <v>0</v>
      </c>
      <c r="AZ65" s="105">
        <v>9</v>
      </c>
      <c r="BA65" s="15">
        <v>0</v>
      </c>
      <c r="BB65" s="15">
        <v>0</v>
      </c>
      <c r="BC65" s="17">
        <v>0</v>
      </c>
      <c r="BD65" s="105">
        <v>4</v>
      </c>
      <c r="BE65" s="15">
        <v>0</v>
      </c>
      <c r="BF65" s="15">
        <v>0</v>
      </c>
      <c r="BG65" s="106">
        <v>5</v>
      </c>
      <c r="BH65" s="17">
        <v>0</v>
      </c>
      <c r="BI65" s="105">
        <v>3</v>
      </c>
      <c r="BJ65" s="15">
        <v>0</v>
      </c>
      <c r="BK65" s="15">
        <v>0</v>
      </c>
      <c r="BL65" s="15">
        <v>0</v>
      </c>
      <c r="BM65" s="17">
        <v>0</v>
      </c>
      <c r="BN65" s="105">
        <f>BN64+4</f>
        <v>13</v>
      </c>
      <c r="BO65" s="15">
        <v>0</v>
      </c>
      <c r="BP65" s="15">
        <v>0</v>
      </c>
      <c r="BQ65" s="106">
        <v>2</v>
      </c>
      <c r="BR65" s="15">
        <v>0</v>
      </c>
      <c r="BS65" s="17">
        <v>0</v>
      </c>
      <c r="BT65" s="18">
        <v>0</v>
      </c>
      <c r="BU65" s="15">
        <v>0</v>
      </c>
      <c r="BV65" s="15">
        <v>0</v>
      </c>
      <c r="BW65" s="15">
        <v>0</v>
      </c>
      <c r="BX65" s="17">
        <v>0</v>
      </c>
      <c r="BY65" s="18">
        <v>0</v>
      </c>
      <c r="BZ65" s="15">
        <v>0</v>
      </c>
      <c r="CA65" s="15">
        <v>0</v>
      </c>
      <c r="CB65" s="17">
        <v>0</v>
      </c>
      <c r="CC65" s="105">
        <v>2</v>
      </c>
      <c r="CD65" s="15">
        <v>0</v>
      </c>
      <c r="CE65" s="15">
        <v>0</v>
      </c>
      <c r="CF65" s="15">
        <v>0</v>
      </c>
      <c r="CG65" s="17">
        <v>0</v>
      </c>
      <c r="CH65" s="18">
        <v>0</v>
      </c>
      <c r="CI65" s="15">
        <v>0</v>
      </c>
      <c r="CJ65" s="15">
        <v>0</v>
      </c>
      <c r="CK65" s="15">
        <v>0</v>
      </c>
      <c r="CL65" s="17">
        <v>0</v>
      </c>
      <c r="CM65" s="105">
        <v>6</v>
      </c>
      <c r="CN65" s="15">
        <v>0</v>
      </c>
      <c r="CO65" s="17">
        <v>0</v>
      </c>
      <c r="CP65" s="105">
        <v>1</v>
      </c>
      <c r="CQ65" s="15">
        <v>0</v>
      </c>
      <c r="CR65" s="15">
        <v>0</v>
      </c>
      <c r="CS65" s="17">
        <v>0</v>
      </c>
      <c r="CT65" s="105">
        <v>19</v>
      </c>
      <c r="CU65" s="15">
        <v>0</v>
      </c>
      <c r="CV65" s="109">
        <v>1</v>
      </c>
      <c r="CW65" s="15">
        <v>0</v>
      </c>
      <c r="CX65" s="15">
        <v>0</v>
      </c>
      <c r="CY65" s="17">
        <v>0</v>
      </c>
      <c r="CZ65" s="105">
        <v>1</v>
      </c>
      <c r="DA65" s="15">
        <v>0</v>
      </c>
      <c r="DB65" s="15">
        <v>0</v>
      </c>
      <c r="DC65" s="15">
        <v>0</v>
      </c>
      <c r="DD65" s="17">
        <v>0</v>
      </c>
      <c r="DE65" s="18">
        <v>0</v>
      </c>
      <c r="DF65" s="15">
        <v>0</v>
      </c>
      <c r="DG65" s="15">
        <v>0</v>
      </c>
      <c r="DH65" s="17">
        <v>0</v>
      </c>
      <c r="DI65" s="87">
        <f t="shared" si="67"/>
        <v>6</v>
      </c>
      <c r="DJ65" s="15">
        <v>0</v>
      </c>
      <c r="DK65" s="15">
        <v>0</v>
      </c>
      <c r="DL65" s="106">
        <v>9</v>
      </c>
      <c r="DM65" s="15">
        <v>0</v>
      </c>
      <c r="DN65" s="17">
        <v>0</v>
      </c>
      <c r="DO65" s="105">
        <v>9</v>
      </c>
      <c r="DP65" s="128">
        <v>1</v>
      </c>
      <c r="DQ65" s="109">
        <v>1</v>
      </c>
      <c r="DR65" s="15">
        <v>0</v>
      </c>
      <c r="DS65" s="17">
        <v>0</v>
      </c>
      <c r="DT65" s="105">
        <v>3</v>
      </c>
      <c r="DU65" s="15">
        <v>0</v>
      </c>
      <c r="DV65" s="15">
        <v>0</v>
      </c>
      <c r="DW65" s="15">
        <v>0</v>
      </c>
      <c r="DX65" s="17">
        <v>0</v>
      </c>
      <c r="DY65" s="105">
        <v>26</v>
      </c>
      <c r="DZ65" s="15">
        <v>0</v>
      </c>
      <c r="EA65" s="15">
        <v>0</v>
      </c>
      <c r="EB65" s="41">
        <v>0</v>
      </c>
      <c r="EC65" s="17">
        <v>0</v>
      </c>
      <c r="ED65" s="102" t="s">
        <v>239</v>
      </c>
      <c r="EE65" s="77" t="s">
        <v>240</v>
      </c>
    </row>
    <row r="66" spans="1:135" ht="12.75">
      <c r="A66" s="97">
        <v>43897</v>
      </c>
      <c r="B66" s="14">
        <v>268</v>
      </c>
      <c r="C66" s="34">
        <f t="shared" ref="C66:D66" si="71">SUM(J66,M66,P66,V66,AA66,AF66,AL66,AQ66,AW66,BA66,BE66,BJ66,BO66,BU66,BZ66,CD66,CI66,CN66,CQ66,CU66,DA66,DF66,DJ66,DP66,DU66,DZ66)</f>
        <v>1</v>
      </c>
      <c r="D66" s="73">
        <f t="shared" si="71"/>
        <v>4</v>
      </c>
      <c r="E66" s="100">
        <f t="shared" si="52"/>
        <v>263</v>
      </c>
      <c r="F66" s="104">
        <f t="shared" si="57"/>
        <v>20</v>
      </c>
      <c r="G66" s="129">
        <f t="shared" si="70"/>
        <v>2</v>
      </c>
      <c r="H66" s="15">
        <f t="shared" si="1"/>
        <v>0</v>
      </c>
      <c r="I66" s="105">
        <v>1</v>
      </c>
      <c r="J66" s="15">
        <v>0</v>
      </c>
      <c r="K66" s="17">
        <v>0</v>
      </c>
      <c r="L66" s="18">
        <v>0</v>
      </c>
      <c r="M66" s="15">
        <v>0</v>
      </c>
      <c r="N66" s="17">
        <v>0</v>
      </c>
      <c r="O66" s="105">
        <v>12</v>
      </c>
      <c r="P66" s="15">
        <v>0</v>
      </c>
      <c r="Q66" s="109">
        <v>1</v>
      </c>
      <c r="R66" s="15">
        <v>0</v>
      </c>
      <c r="S66" s="15">
        <v>0</v>
      </c>
      <c r="T66" s="17">
        <v>0</v>
      </c>
      <c r="U66" s="105">
        <v>15</v>
      </c>
      <c r="V66" s="15">
        <v>0</v>
      </c>
      <c r="W66" s="15">
        <v>0</v>
      </c>
      <c r="X66" s="106">
        <v>4</v>
      </c>
      <c r="Y66" s="130">
        <v>2</v>
      </c>
      <c r="Z66" s="105">
        <v>12</v>
      </c>
      <c r="AA66" s="15">
        <v>0</v>
      </c>
      <c r="AB66" s="15">
        <v>0</v>
      </c>
      <c r="AC66" s="15">
        <v>0</v>
      </c>
      <c r="AD66" s="17">
        <v>0</v>
      </c>
      <c r="AE66" s="105">
        <v>17</v>
      </c>
      <c r="AF66" s="15">
        <v>0</v>
      </c>
      <c r="AG66" s="15">
        <v>0</v>
      </c>
      <c r="AH66" s="15">
        <v>0</v>
      </c>
      <c r="AI66" s="15">
        <v>0</v>
      </c>
      <c r="AJ66" s="17">
        <v>0</v>
      </c>
      <c r="AK66" s="105">
        <v>6</v>
      </c>
      <c r="AL66" s="15">
        <v>0</v>
      </c>
      <c r="AM66" s="15">
        <v>0</v>
      </c>
      <c r="AN66" s="15">
        <v>0</v>
      </c>
      <c r="AO66" s="17">
        <v>0</v>
      </c>
      <c r="AP66" s="87">
        <f>AP65+12</f>
        <v>30</v>
      </c>
      <c r="AQ66" s="15">
        <v>0</v>
      </c>
      <c r="AR66" s="109">
        <v>1</v>
      </c>
      <c r="AS66" s="15">
        <v>0</v>
      </c>
      <c r="AT66" s="15"/>
      <c r="AU66" s="17">
        <v>0</v>
      </c>
      <c r="AV66" s="18">
        <v>0</v>
      </c>
      <c r="AW66" s="15">
        <v>0</v>
      </c>
      <c r="AX66" s="15">
        <v>0</v>
      </c>
      <c r="AY66" s="17">
        <v>0</v>
      </c>
      <c r="AZ66" s="105">
        <v>9</v>
      </c>
      <c r="BA66" s="15">
        <v>0</v>
      </c>
      <c r="BB66" s="15">
        <v>0</v>
      </c>
      <c r="BC66" s="17">
        <v>0</v>
      </c>
      <c r="BD66" s="105">
        <v>5</v>
      </c>
      <c r="BE66" s="15">
        <v>0</v>
      </c>
      <c r="BF66" s="15">
        <v>0</v>
      </c>
      <c r="BG66" s="106">
        <v>5</v>
      </c>
      <c r="BH66" s="17">
        <v>0</v>
      </c>
      <c r="BI66" s="105">
        <v>3</v>
      </c>
      <c r="BJ66" s="15">
        <v>0</v>
      </c>
      <c r="BK66" s="15">
        <v>0</v>
      </c>
      <c r="BL66" s="15">
        <v>0</v>
      </c>
      <c r="BM66" s="17">
        <v>0</v>
      </c>
      <c r="BN66" s="105">
        <f>BN65+5</f>
        <v>18</v>
      </c>
      <c r="BO66" s="15">
        <v>0</v>
      </c>
      <c r="BP66" s="15">
        <v>0</v>
      </c>
      <c r="BQ66" s="106">
        <v>2</v>
      </c>
      <c r="BR66" s="15">
        <v>0</v>
      </c>
      <c r="BS66" s="17">
        <v>0</v>
      </c>
      <c r="BT66" s="18">
        <v>0</v>
      </c>
      <c r="BU66" s="15">
        <v>0</v>
      </c>
      <c r="BV66" s="15">
        <v>0</v>
      </c>
      <c r="BW66" s="15">
        <v>0</v>
      </c>
      <c r="BX66" s="17">
        <v>0</v>
      </c>
      <c r="BY66" s="18">
        <v>0</v>
      </c>
      <c r="BZ66" s="15">
        <v>0</v>
      </c>
      <c r="CA66" s="15">
        <v>0</v>
      </c>
      <c r="CB66" s="17">
        <v>0</v>
      </c>
      <c r="CC66" s="105">
        <v>2</v>
      </c>
      <c r="CD66" s="15">
        <v>0</v>
      </c>
      <c r="CE66" s="15">
        <v>0</v>
      </c>
      <c r="CF66" s="15">
        <v>0</v>
      </c>
      <c r="CG66" s="17">
        <v>0</v>
      </c>
      <c r="CH66" s="18">
        <v>0</v>
      </c>
      <c r="CI66" s="15">
        <v>0</v>
      </c>
      <c r="CJ66" s="15">
        <v>0</v>
      </c>
      <c r="CK66" s="15">
        <v>0</v>
      </c>
      <c r="CL66" s="17">
        <v>0</v>
      </c>
      <c r="CM66" s="105">
        <v>6</v>
      </c>
      <c r="CN66" s="15">
        <v>0</v>
      </c>
      <c r="CO66" s="17">
        <v>0</v>
      </c>
      <c r="CP66" s="105">
        <v>1</v>
      </c>
      <c r="CQ66" s="15">
        <v>0</v>
      </c>
      <c r="CR66" s="15">
        <v>0</v>
      </c>
      <c r="CS66" s="17">
        <v>0</v>
      </c>
      <c r="CT66" s="105">
        <v>45</v>
      </c>
      <c r="CU66" s="15">
        <v>0</v>
      </c>
      <c r="CV66" s="109">
        <v>1</v>
      </c>
      <c r="CW66" s="15">
        <v>0</v>
      </c>
      <c r="CX66" s="15">
        <v>0</v>
      </c>
      <c r="CY66" s="17">
        <v>0</v>
      </c>
      <c r="CZ66" s="105">
        <v>1</v>
      </c>
      <c r="DA66" s="15">
        <v>0</v>
      </c>
      <c r="DB66" s="15">
        <v>0</v>
      </c>
      <c r="DC66" s="15">
        <v>0</v>
      </c>
      <c r="DD66" s="17">
        <v>0</v>
      </c>
      <c r="DE66" s="18">
        <v>0</v>
      </c>
      <c r="DF66" s="15">
        <v>0</v>
      </c>
      <c r="DG66" s="15">
        <v>0</v>
      </c>
      <c r="DH66" s="17">
        <v>0</v>
      </c>
      <c r="DI66" s="87">
        <f t="shared" si="67"/>
        <v>7</v>
      </c>
      <c r="DJ66" s="15">
        <v>0</v>
      </c>
      <c r="DK66" s="15">
        <v>0</v>
      </c>
      <c r="DL66" s="106">
        <v>9</v>
      </c>
      <c r="DM66" s="15">
        <v>0</v>
      </c>
      <c r="DN66" s="17">
        <v>0</v>
      </c>
      <c r="DO66" s="105">
        <v>9</v>
      </c>
      <c r="DP66" s="128">
        <v>1</v>
      </c>
      <c r="DQ66" s="109">
        <v>1</v>
      </c>
      <c r="DR66" s="15">
        <v>0</v>
      </c>
      <c r="DS66" s="17">
        <v>0</v>
      </c>
      <c r="DT66" s="105">
        <v>3</v>
      </c>
      <c r="DU66" s="15">
        <v>0</v>
      </c>
      <c r="DV66" s="15">
        <v>0</v>
      </c>
      <c r="DW66" s="15">
        <v>0</v>
      </c>
      <c r="DX66" s="17">
        <v>0</v>
      </c>
      <c r="DY66" s="105">
        <v>30</v>
      </c>
      <c r="DZ66" s="15">
        <v>0</v>
      </c>
      <c r="EA66" s="15">
        <v>0</v>
      </c>
      <c r="EB66" s="41">
        <v>0</v>
      </c>
      <c r="EC66" s="17">
        <v>0</v>
      </c>
      <c r="ED66" s="102" t="s">
        <v>242</v>
      </c>
      <c r="EE66" s="77" t="s">
        <v>243</v>
      </c>
    </row>
    <row r="67" spans="1:135" ht="25.5">
      <c r="A67" s="97">
        <v>43898</v>
      </c>
      <c r="B67" s="14">
        <v>332</v>
      </c>
      <c r="C67" s="34">
        <f t="shared" ref="C67:D67" si="72">SUM(J67,M67,P67,V67,AA67,AF67,AL67,AQ67,AW67,BA67,BE67,BJ67,BO67,BU67,BZ67,CD67,CI67,CN67,CQ67,CU67,DA67,DF67,DJ67,DP67,DU67,DZ67)</f>
        <v>2</v>
      </c>
      <c r="D67" s="73">
        <f t="shared" si="72"/>
        <v>4</v>
      </c>
      <c r="E67" s="100">
        <f t="shared" si="52"/>
        <v>326</v>
      </c>
      <c r="F67" s="104">
        <f t="shared" si="57"/>
        <v>25</v>
      </c>
      <c r="G67" s="129">
        <f t="shared" si="70"/>
        <v>3</v>
      </c>
      <c r="H67" s="131">
        <f t="shared" ref="H67:H93" si="73">SUM(T67,AJ67,AU67,BS67,CY67,DD67,DN67,EC67,)</f>
        <v>1</v>
      </c>
      <c r="I67" s="105">
        <v>1</v>
      </c>
      <c r="J67" s="15">
        <v>0</v>
      </c>
      <c r="K67" s="17">
        <v>0</v>
      </c>
      <c r="L67" s="18">
        <v>0</v>
      </c>
      <c r="M67" s="15">
        <v>0</v>
      </c>
      <c r="N67" s="17">
        <v>0</v>
      </c>
      <c r="O67" s="105">
        <v>14</v>
      </c>
      <c r="P67" s="15">
        <v>0</v>
      </c>
      <c r="Q67" s="109">
        <v>1</v>
      </c>
      <c r="R67" s="15">
        <v>0</v>
      </c>
      <c r="S67" s="15">
        <v>0</v>
      </c>
      <c r="T67" s="17">
        <v>0</v>
      </c>
      <c r="U67" s="105">
        <v>19</v>
      </c>
      <c r="V67" s="128">
        <v>1</v>
      </c>
      <c r="W67" s="15">
        <v>0</v>
      </c>
      <c r="X67" s="106">
        <v>4</v>
      </c>
      <c r="Y67" s="130">
        <v>2</v>
      </c>
      <c r="Z67" s="105">
        <v>24</v>
      </c>
      <c r="AA67" s="15">
        <v>0</v>
      </c>
      <c r="AB67" s="15">
        <v>0</v>
      </c>
      <c r="AC67" s="15">
        <v>0</v>
      </c>
      <c r="AD67" s="17">
        <v>0</v>
      </c>
      <c r="AE67" s="105">
        <v>26</v>
      </c>
      <c r="AF67" s="15">
        <v>0</v>
      </c>
      <c r="AG67" s="15">
        <v>0</v>
      </c>
      <c r="AH67" s="15">
        <v>0</v>
      </c>
      <c r="AI67" s="15">
        <v>0</v>
      </c>
      <c r="AJ67" s="17">
        <v>0</v>
      </c>
      <c r="AK67" s="105">
        <v>8</v>
      </c>
      <c r="AL67" s="15">
        <v>0</v>
      </c>
      <c r="AM67" s="15">
        <v>0</v>
      </c>
      <c r="AN67" s="15">
        <v>0</v>
      </c>
      <c r="AO67" s="17">
        <v>0</v>
      </c>
      <c r="AP67" s="87">
        <f t="shared" ref="AP67:AP68" si="74">AP66+9</f>
        <v>39</v>
      </c>
      <c r="AQ67" s="15">
        <v>0</v>
      </c>
      <c r="AR67" s="109">
        <v>1</v>
      </c>
      <c r="AS67" s="15">
        <v>0</v>
      </c>
      <c r="AT67" s="15"/>
      <c r="AU67" s="17">
        <v>0</v>
      </c>
      <c r="AV67" s="18">
        <v>0</v>
      </c>
      <c r="AW67" s="15">
        <v>0</v>
      </c>
      <c r="AX67" s="15">
        <v>0</v>
      </c>
      <c r="AY67" s="17">
        <v>0</v>
      </c>
      <c r="AZ67" s="105">
        <v>9</v>
      </c>
      <c r="BA67" s="15">
        <v>0</v>
      </c>
      <c r="BB67" s="15">
        <v>0</v>
      </c>
      <c r="BC67" s="17">
        <v>0</v>
      </c>
      <c r="BD67" s="105">
        <v>5</v>
      </c>
      <c r="BE67" s="15">
        <v>0</v>
      </c>
      <c r="BF67" s="15">
        <v>0</v>
      </c>
      <c r="BG67" s="106">
        <v>5</v>
      </c>
      <c r="BH67" s="17">
        <v>0</v>
      </c>
      <c r="BI67" s="105">
        <v>3</v>
      </c>
      <c r="BJ67" s="15">
        <v>0</v>
      </c>
      <c r="BK67" s="15">
        <v>0</v>
      </c>
      <c r="BL67" s="15">
        <v>0</v>
      </c>
      <c r="BM67" s="17">
        <v>0</v>
      </c>
      <c r="BN67" s="105">
        <f>BN66+6</f>
        <v>24</v>
      </c>
      <c r="BO67" s="15">
        <v>0</v>
      </c>
      <c r="BP67" s="15">
        <v>0</v>
      </c>
      <c r="BQ67" s="106">
        <v>3</v>
      </c>
      <c r="BR67" s="15">
        <v>0</v>
      </c>
      <c r="BS67" s="17">
        <v>0</v>
      </c>
      <c r="BT67" s="18">
        <v>0</v>
      </c>
      <c r="BU67" s="15">
        <v>0</v>
      </c>
      <c r="BV67" s="15">
        <v>0</v>
      </c>
      <c r="BW67" s="15">
        <v>0</v>
      </c>
      <c r="BX67" s="17">
        <v>0</v>
      </c>
      <c r="BY67" s="18">
        <v>0</v>
      </c>
      <c r="BZ67" s="15">
        <v>0</v>
      </c>
      <c r="CA67" s="15">
        <v>0</v>
      </c>
      <c r="CB67" s="17">
        <v>0</v>
      </c>
      <c r="CC67" s="105">
        <v>2</v>
      </c>
      <c r="CD67" s="15">
        <v>0</v>
      </c>
      <c r="CE67" s="15">
        <v>0</v>
      </c>
      <c r="CF67" s="15">
        <v>0</v>
      </c>
      <c r="CG67" s="17">
        <v>0</v>
      </c>
      <c r="CH67" s="18">
        <v>0</v>
      </c>
      <c r="CI67" s="15">
        <v>0</v>
      </c>
      <c r="CJ67" s="15">
        <v>0</v>
      </c>
      <c r="CK67" s="15">
        <v>0</v>
      </c>
      <c r="CL67" s="17">
        <v>0</v>
      </c>
      <c r="CM67" s="105">
        <v>6</v>
      </c>
      <c r="CN67" s="15">
        <v>0</v>
      </c>
      <c r="CO67" s="17">
        <v>0</v>
      </c>
      <c r="CP67" s="105">
        <v>1</v>
      </c>
      <c r="CQ67" s="15">
        <v>0</v>
      </c>
      <c r="CR67" s="15">
        <v>0</v>
      </c>
      <c r="CS67" s="17">
        <v>0</v>
      </c>
      <c r="CT67" s="105">
        <v>58</v>
      </c>
      <c r="CU67" s="15">
        <v>0</v>
      </c>
      <c r="CV67" s="109">
        <v>1</v>
      </c>
      <c r="CW67" s="15">
        <v>0</v>
      </c>
      <c r="CX67" s="15">
        <v>0</v>
      </c>
      <c r="CY67" s="17">
        <v>0</v>
      </c>
      <c r="CZ67" s="105">
        <v>1</v>
      </c>
      <c r="DA67" s="15">
        <v>0</v>
      </c>
      <c r="DB67" s="15">
        <v>0</v>
      </c>
      <c r="DC67" s="15">
        <v>0</v>
      </c>
      <c r="DD67" s="17">
        <v>0</v>
      </c>
      <c r="DE67" s="18">
        <v>0</v>
      </c>
      <c r="DF67" s="15">
        <v>0</v>
      </c>
      <c r="DG67" s="15">
        <v>0</v>
      </c>
      <c r="DH67" s="17">
        <v>0</v>
      </c>
      <c r="DI67" s="87">
        <f t="shared" ref="DI67:DI69" si="75">DI66+5</f>
        <v>12</v>
      </c>
      <c r="DJ67" s="15">
        <v>0</v>
      </c>
      <c r="DK67" s="15">
        <v>0</v>
      </c>
      <c r="DL67" s="106">
        <v>13</v>
      </c>
      <c r="DM67" s="132">
        <v>1</v>
      </c>
      <c r="DN67" s="133">
        <v>1</v>
      </c>
      <c r="DO67" s="105">
        <v>38</v>
      </c>
      <c r="DP67" s="128">
        <v>1</v>
      </c>
      <c r="DQ67" s="109">
        <v>1</v>
      </c>
      <c r="DR67" s="15">
        <v>0</v>
      </c>
      <c r="DS67" s="17">
        <v>0</v>
      </c>
      <c r="DT67" s="105">
        <v>10</v>
      </c>
      <c r="DU67" s="15">
        <v>0</v>
      </c>
      <c r="DV67" s="15">
        <v>0</v>
      </c>
      <c r="DW67" s="15">
        <v>0</v>
      </c>
      <c r="DX67" s="17">
        <v>0</v>
      </c>
      <c r="DY67" s="105">
        <v>37</v>
      </c>
      <c r="DZ67" s="15">
        <v>0</v>
      </c>
      <c r="EA67" s="15">
        <v>0</v>
      </c>
      <c r="EB67" s="41">
        <v>0</v>
      </c>
      <c r="EC67" s="17">
        <v>0</v>
      </c>
      <c r="ED67" s="102" t="s">
        <v>246</v>
      </c>
      <c r="EE67" s="127" t="s">
        <v>247</v>
      </c>
    </row>
    <row r="68" spans="1:135" ht="25.5">
      <c r="A68" s="97">
        <v>43899</v>
      </c>
      <c r="B68" s="14">
        <v>374</v>
      </c>
      <c r="C68" s="34">
        <f t="shared" ref="C68:D68" si="76">SUM(J68,M68,P68,V68,AA68,AF68,AL68,AQ68,AW68,BA68,BE68,BJ68,BO68,BU68,BZ68,CD68,CI68,CN68,CQ68,CU68,DA68,DF68,DJ68,DP68,DU68,DZ68)</f>
        <v>2</v>
      </c>
      <c r="D68" s="73">
        <f t="shared" si="76"/>
        <v>6</v>
      </c>
      <c r="E68" s="100">
        <f t="shared" si="52"/>
        <v>366</v>
      </c>
      <c r="F68" s="104">
        <f t="shared" si="57"/>
        <v>27</v>
      </c>
      <c r="G68" s="129">
        <f t="shared" si="70"/>
        <v>5</v>
      </c>
      <c r="H68" s="131">
        <f t="shared" si="73"/>
        <v>3</v>
      </c>
      <c r="I68" s="105">
        <v>1</v>
      </c>
      <c r="J68" s="15">
        <v>0</v>
      </c>
      <c r="K68" s="17">
        <v>0</v>
      </c>
      <c r="L68" s="18">
        <v>0</v>
      </c>
      <c r="M68" s="15">
        <v>0</v>
      </c>
      <c r="N68" s="17">
        <v>0</v>
      </c>
      <c r="O68" s="105">
        <v>14</v>
      </c>
      <c r="P68" s="15">
        <v>0</v>
      </c>
      <c r="Q68" s="109">
        <v>2</v>
      </c>
      <c r="R68" s="15">
        <v>0</v>
      </c>
      <c r="S68" s="15">
        <v>0</v>
      </c>
      <c r="T68" s="17">
        <v>0</v>
      </c>
      <c r="U68" s="105">
        <v>20</v>
      </c>
      <c r="V68" s="128">
        <v>1</v>
      </c>
      <c r="W68" s="109">
        <v>1</v>
      </c>
      <c r="X68" s="106">
        <v>4</v>
      </c>
      <c r="Y68" s="130">
        <v>4</v>
      </c>
      <c r="Z68" s="105">
        <v>24</v>
      </c>
      <c r="AA68" s="15">
        <v>0</v>
      </c>
      <c r="AB68" s="15">
        <v>0</v>
      </c>
      <c r="AC68" s="15">
        <v>0</v>
      </c>
      <c r="AD68" s="17">
        <v>0</v>
      </c>
      <c r="AE68" s="105">
        <v>26</v>
      </c>
      <c r="AF68" s="15">
        <v>0</v>
      </c>
      <c r="AG68" s="15">
        <v>0</v>
      </c>
      <c r="AH68" s="15">
        <v>0</v>
      </c>
      <c r="AI68" s="15">
        <v>0</v>
      </c>
      <c r="AJ68" s="17">
        <v>0</v>
      </c>
      <c r="AK68" s="105">
        <v>11</v>
      </c>
      <c r="AL68" s="15">
        <v>0</v>
      </c>
      <c r="AM68" s="15">
        <v>0</v>
      </c>
      <c r="AN68" s="15">
        <v>0</v>
      </c>
      <c r="AO68" s="17">
        <v>0</v>
      </c>
      <c r="AP68" s="87">
        <f t="shared" si="74"/>
        <v>48</v>
      </c>
      <c r="AQ68" s="15">
        <v>0</v>
      </c>
      <c r="AR68" s="109">
        <v>1</v>
      </c>
      <c r="AS68" s="15">
        <v>0</v>
      </c>
      <c r="AT68" s="134"/>
      <c r="AU68" s="133">
        <v>2</v>
      </c>
      <c r="AV68" s="18">
        <v>0</v>
      </c>
      <c r="AW68" s="15">
        <v>0</v>
      </c>
      <c r="AX68" s="15">
        <v>0</v>
      </c>
      <c r="AY68" s="17">
        <v>0</v>
      </c>
      <c r="AZ68" s="105">
        <v>9</v>
      </c>
      <c r="BA68" s="15">
        <v>0</v>
      </c>
      <c r="BB68" s="15">
        <v>0</v>
      </c>
      <c r="BC68" s="17">
        <v>0</v>
      </c>
      <c r="BD68" s="105">
        <v>7</v>
      </c>
      <c r="BE68" s="15">
        <v>0</v>
      </c>
      <c r="BF68" s="15">
        <v>0</v>
      </c>
      <c r="BG68" s="106">
        <v>5</v>
      </c>
      <c r="BH68" s="17">
        <v>0</v>
      </c>
      <c r="BI68" s="105">
        <v>3</v>
      </c>
      <c r="BJ68" s="15">
        <v>0</v>
      </c>
      <c r="BK68" s="15">
        <v>0</v>
      </c>
      <c r="BL68" s="15">
        <v>0</v>
      </c>
      <c r="BM68" s="17">
        <v>0</v>
      </c>
      <c r="BN68" s="105">
        <f>BN67+3</f>
        <v>27</v>
      </c>
      <c r="BO68" s="15">
        <v>0</v>
      </c>
      <c r="BP68" s="15">
        <v>0</v>
      </c>
      <c r="BQ68" s="106">
        <v>4</v>
      </c>
      <c r="BR68" s="15">
        <v>0</v>
      </c>
      <c r="BS68" s="17">
        <v>0</v>
      </c>
      <c r="BT68" s="18">
        <v>0</v>
      </c>
      <c r="BU68" s="15">
        <v>0</v>
      </c>
      <c r="BV68" s="15">
        <v>0</v>
      </c>
      <c r="BW68" s="15">
        <v>0</v>
      </c>
      <c r="BX68" s="17">
        <v>0</v>
      </c>
      <c r="BY68" s="18">
        <v>0</v>
      </c>
      <c r="BZ68" s="15">
        <v>0</v>
      </c>
      <c r="CA68" s="15">
        <v>0</v>
      </c>
      <c r="CB68" s="17">
        <v>0</v>
      </c>
      <c r="CC68" s="105">
        <v>2</v>
      </c>
      <c r="CD68" s="15">
        <v>0</v>
      </c>
      <c r="CE68" s="15">
        <v>0</v>
      </c>
      <c r="CF68" s="15">
        <v>0</v>
      </c>
      <c r="CG68" s="17">
        <v>0</v>
      </c>
      <c r="CH68" s="18">
        <v>0</v>
      </c>
      <c r="CI68" s="15">
        <v>0</v>
      </c>
      <c r="CJ68" s="15">
        <v>0</v>
      </c>
      <c r="CK68" s="15">
        <v>0</v>
      </c>
      <c r="CL68" s="17">
        <v>0</v>
      </c>
      <c r="CM68" s="105">
        <v>6</v>
      </c>
      <c r="CN68" s="15">
        <v>0</v>
      </c>
      <c r="CO68" s="17">
        <v>0</v>
      </c>
      <c r="CP68" s="105">
        <v>1</v>
      </c>
      <c r="CQ68" s="15">
        <v>0</v>
      </c>
      <c r="CR68" s="15">
        <v>0</v>
      </c>
      <c r="CS68" s="17">
        <v>0</v>
      </c>
      <c r="CT68" s="105">
        <v>68</v>
      </c>
      <c r="CU68" s="15">
        <v>0</v>
      </c>
      <c r="CV68" s="109">
        <v>1</v>
      </c>
      <c r="CW68" s="15">
        <v>0</v>
      </c>
      <c r="CX68" s="15">
        <v>0</v>
      </c>
      <c r="CY68" s="17">
        <v>0</v>
      </c>
      <c r="CZ68" s="105">
        <v>1</v>
      </c>
      <c r="DA68" s="15">
        <v>0</v>
      </c>
      <c r="DB68" s="15">
        <v>0</v>
      </c>
      <c r="DC68" s="15">
        <v>0</v>
      </c>
      <c r="DD68" s="17">
        <v>0</v>
      </c>
      <c r="DE68" s="18">
        <v>0</v>
      </c>
      <c r="DF68" s="15">
        <v>0</v>
      </c>
      <c r="DG68" s="15">
        <v>0</v>
      </c>
      <c r="DH68" s="17">
        <v>0</v>
      </c>
      <c r="DI68" s="87">
        <f t="shared" si="75"/>
        <v>17</v>
      </c>
      <c r="DJ68" s="15">
        <v>0</v>
      </c>
      <c r="DK68" s="15">
        <v>0</v>
      </c>
      <c r="DL68" s="106">
        <v>14</v>
      </c>
      <c r="DM68" s="132">
        <v>1</v>
      </c>
      <c r="DN68" s="133">
        <v>1</v>
      </c>
      <c r="DO68" s="105">
        <v>38</v>
      </c>
      <c r="DP68" s="128">
        <v>1</v>
      </c>
      <c r="DQ68" s="109">
        <v>1</v>
      </c>
      <c r="DR68" s="15">
        <v>0</v>
      </c>
      <c r="DS68" s="17">
        <v>0</v>
      </c>
      <c r="DT68" s="105">
        <v>10</v>
      </c>
      <c r="DU68" s="15">
        <v>0</v>
      </c>
      <c r="DV68" s="15">
        <v>0</v>
      </c>
      <c r="DW68" s="15">
        <v>0</v>
      </c>
      <c r="DX68" s="17">
        <v>0</v>
      </c>
      <c r="DY68" s="105">
        <v>40</v>
      </c>
      <c r="DZ68" s="15">
        <v>0</v>
      </c>
      <c r="EA68" s="15">
        <v>0</v>
      </c>
      <c r="EB68" s="41">
        <v>0</v>
      </c>
      <c r="EC68" s="17">
        <v>0</v>
      </c>
      <c r="ED68" s="102" t="s">
        <v>248</v>
      </c>
      <c r="EE68" s="77" t="s">
        <v>249</v>
      </c>
    </row>
    <row r="69" spans="1:135" ht="25.5">
      <c r="A69" s="97">
        <v>43900</v>
      </c>
      <c r="B69" s="14">
        <v>476</v>
      </c>
      <c r="C69" s="34">
        <v>3</v>
      </c>
      <c r="D69" s="73">
        <f>SUM(K69,N69,Q69,W69,AB69,AG69,AM69,AR69,AX69,BB69,BF69,BK69,BP69,BV69,CA69,CE69,CJ69,CO69,CR69,CV69,DB69,DG69,DK69,DQ69,DV69,EA69)</f>
        <v>10</v>
      </c>
      <c r="E69" s="100">
        <f t="shared" si="52"/>
        <v>463</v>
      </c>
      <c r="F69" s="104">
        <f t="shared" si="57"/>
        <v>79</v>
      </c>
      <c r="G69" s="129">
        <f t="shared" si="70"/>
        <v>11</v>
      </c>
      <c r="H69" s="131">
        <f t="shared" si="73"/>
        <v>4</v>
      </c>
      <c r="I69" s="105">
        <v>2</v>
      </c>
      <c r="J69" s="15">
        <v>0</v>
      </c>
      <c r="K69" s="17">
        <v>0</v>
      </c>
      <c r="L69" s="18">
        <v>0</v>
      </c>
      <c r="M69" s="15">
        <v>0</v>
      </c>
      <c r="N69" s="17">
        <v>0</v>
      </c>
      <c r="O69" s="105">
        <v>17</v>
      </c>
      <c r="P69" s="15">
        <v>0</v>
      </c>
      <c r="Q69" s="109">
        <v>2</v>
      </c>
      <c r="R69" s="15">
        <v>0</v>
      </c>
      <c r="S69" s="15">
        <v>0</v>
      </c>
      <c r="T69" s="17">
        <v>0</v>
      </c>
      <c r="U69" s="105">
        <v>22</v>
      </c>
      <c r="V69" s="128">
        <v>1</v>
      </c>
      <c r="W69" s="109">
        <v>1</v>
      </c>
      <c r="X69" s="106">
        <v>5</v>
      </c>
      <c r="Y69" s="130">
        <v>1</v>
      </c>
      <c r="Z69" s="105">
        <v>39</v>
      </c>
      <c r="AA69" s="15">
        <v>0</v>
      </c>
      <c r="AB69" s="15">
        <v>0</v>
      </c>
      <c r="AC69" s="15">
        <v>0</v>
      </c>
      <c r="AD69" s="17">
        <v>0</v>
      </c>
      <c r="AE69" s="105">
        <v>39</v>
      </c>
      <c r="AF69" s="15">
        <v>0</v>
      </c>
      <c r="AG69" s="15">
        <v>0</v>
      </c>
      <c r="AH69" s="15">
        <v>0</v>
      </c>
      <c r="AI69" s="15">
        <v>0</v>
      </c>
      <c r="AJ69" s="17">
        <v>0</v>
      </c>
      <c r="AK69" s="105">
        <v>11</v>
      </c>
      <c r="AL69" s="15">
        <v>0</v>
      </c>
      <c r="AM69" s="15">
        <v>0</v>
      </c>
      <c r="AN69" s="15">
        <v>0</v>
      </c>
      <c r="AO69" s="17">
        <v>0</v>
      </c>
      <c r="AP69" s="87">
        <f>AP68+29</f>
        <v>77</v>
      </c>
      <c r="AQ69" s="128">
        <v>1</v>
      </c>
      <c r="AR69" s="109">
        <v>1</v>
      </c>
      <c r="AS69" s="15">
        <v>0</v>
      </c>
      <c r="AT69" s="134"/>
      <c r="AU69" s="133">
        <v>3</v>
      </c>
      <c r="AV69" s="18">
        <v>0</v>
      </c>
      <c r="AW69" s="15">
        <v>0</v>
      </c>
      <c r="AX69" s="15">
        <v>0</v>
      </c>
      <c r="AY69" s="17">
        <v>0</v>
      </c>
      <c r="AZ69" s="105">
        <v>18</v>
      </c>
      <c r="BA69" s="15">
        <v>0</v>
      </c>
      <c r="BB69" s="15">
        <v>0</v>
      </c>
      <c r="BC69" s="17">
        <v>0</v>
      </c>
      <c r="BD69" s="105">
        <v>7</v>
      </c>
      <c r="BE69" s="15">
        <v>0</v>
      </c>
      <c r="BF69" s="15">
        <v>0</v>
      </c>
      <c r="BG69" s="106">
        <v>5</v>
      </c>
      <c r="BH69" s="17">
        <v>0</v>
      </c>
      <c r="BI69" s="105">
        <v>6</v>
      </c>
      <c r="BJ69" s="15">
        <v>0</v>
      </c>
      <c r="BK69" s="15">
        <v>0</v>
      </c>
      <c r="BL69" s="15">
        <v>0</v>
      </c>
      <c r="BM69" s="17">
        <v>0</v>
      </c>
      <c r="BN69" s="105">
        <f>BN68+4</f>
        <v>31</v>
      </c>
      <c r="BO69" s="15">
        <v>0</v>
      </c>
      <c r="BP69" s="15">
        <v>0</v>
      </c>
      <c r="BQ69" s="106">
        <v>4</v>
      </c>
      <c r="BR69" s="132">
        <v>1</v>
      </c>
      <c r="BS69" s="17">
        <v>0</v>
      </c>
      <c r="BT69" s="18">
        <v>0</v>
      </c>
      <c r="BU69" s="15">
        <v>0</v>
      </c>
      <c r="BV69" s="15">
        <v>0</v>
      </c>
      <c r="BW69" s="15">
        <v>0</v>
      </c>
      <c r="BX69" s="17">
        <v>0</v>
      </c>
      <c r="BY69" s="18">
        <v>0</v>
      </c>
      <c r="BZ69" s="15">
        <v>0</v>
      </c>
      <c r="CA69" s="15">
        <v>0</v>
      </c>
      <c r="CB69" s="17">
        <v>0</v>
      </c>
      <c r="CC69" s="105">
        <v>7</v>
      </c>
      <c r="CD69" s="15">
        <v>0</v>
      </c>
      <c r="CE69" s="15">
        <v>0</v>
      </c>
      <c r="CF69" s="15">
        <v>0</v>
      </c>
      <c r="CG69" s="17">
        <v>0</v>
      </c>
      <c r="CH69" s="18">
        <v>0</v>
      </c>
      <c r="CI69" s="15">
        <v>0</v>
      </c>
      <c r="CJ69" s="15">
        <v>0</v>
      </c>
      <c r="CK69" s="15">
        <v>0</v>
      </c>
      <c r="CL69" s="17">
        <v>0</v>
      </c>
      <c r="CM69" s="105">
        <v>7</v>
      </c>
      <c r="CN69" s="15">
        <v>0</v>
      </c>
      <c r="CO69" s="17">
        <v>0</v>
      </c>
      <c r="CP69" s="105">
        <v>1</v>
      </c>
      <c r="CQ69" s="15">
        <v>0</v>
      </c>
      <c r="CR69" s="15">
        <v>0</v>
      </c>
      <c r="CS69" s="17">
        <v>0</v>
      </c>
      <c r="CT69" s="105">
        <v>91</v>
      </c>
      <c r="CU69" s="128">
        <v>1</v>
      </c>
      <c r="CV69" s="109">
        <v>1</v>
      </c>
      <c r="CW69" s="15">
        <v>0</v>
      </c>
      <c r="CX69" s="15">
        <v>0</v>
      </c>
      <c r="CY69" s="17">
        <v>0</v>
      </c>
      <c r="CZ69" s="105">
        <v>1</v>
      </c>
      <c r="DA69" s="15">
        <v>0</v>
      </c>
      <c r="DB69" s="15">
        <v>0</v>
      </c>
      <c r="DC69" s="15">
        <v>0</v>
      </c>
      <c r="DD69" s="17">
        <v>0</v>
      </c>
      <c r="DE69" s="18">
        <v>0</v>
      </c>
      <c r="DF69" s="15">
        <v>0</v>
      </c>
      <c r="DG69" s="15">
        <v>0</v>
      </c>
      <c r="DH69" s="17">
        <v>0</v>
      </c>
      <c r="DI69" s="87">
        <f t="shared" si="75"/>
        <v>22</v>
      </c>
      <c r="DJ69" s="15">
        <v>0</v>
      </c>
      <c r="DK69" s="15">
        <v>0</v>
      </c>
      <c r="DL69" s="106">
        <v>17</v>
      </c>
      <c r="DM69" s="132">
        <v>1</v>
      </c>
      <c r="DN69" s="133">
        <v>1</v>
      </c>
      <c r="DO69" s="105">
        <v>130</v>
      </c>
      <c r="DP69" s="128">
        <v>1</v>
      </c>
      <c r="DQ69" s="109">
        <v>5</v>
      </c>
      <c r="DR69" s="106">
        <v>48</v>
      </c>
      <c r="DS69" s="130">
        <v>8</v>
      </c>
      <c r="DT69" s="105">
        <v>11</v>
      </c>
      <c r="DU69" s="15">
        <v>0</v>
      </c>
      <c r="DV69" s="15">
        <v>0</v>
      </c>
      <c r="DW69" s="15">
        <v>0</v>
      </c>
      <c r="DX69" s="17">
        <v>0</v>
      </c>
      <c r="DY69" s="105">
        <v>49</v>
      </c>
      <c r="DZ69" s="15">
        <v>0</v>
      </c>
      <c r="EA69" s="15">
        <v>0</v>
      </c>
      <c r="EB69" s="41">
        <v>0</v>
      </c>
      <c r="EC69" s="17">
        <v>0</v>
      </c>
      <c r="ED69" s="102" t="s">
        <v>250</v>
      </c>
      <c r="EE69" s="77" t="s">
        <v>251</v>
      </c>
    </row>
    <row r="70" spans="1:135" ht="38.25">
      <c r="A70" s="97">
        <v>43901</v>
      </c>
      <c r="B70" s="14">
        <v>613</v>
      </c>
      <c r="C70" s="34">
        <f t="shared" ref="C70:D70" si="77">SUM(J70,M70,P70,V70,AA70,AF70,AL70,AQ70,AW70,BA70,BE70,BJ70,BO70,BU70,BZ70,CD70,CI70,CN70,CQ70,CU70,DA70,DF70,DJ70,DP70,DU70,DZ70)</f>
        <v>7</v>
      </c>
      <c r="D70" s="73">
        <f t="shared" si="77"/>
        <v>11</v>
      </c>
      <c r="E70" s="100">
        <f t="shared" si="52"/>
        <v>595</v>
      </c>
      <c r="F70" s="104">
        <f t="shared" si="57"/>
        <v>85</v>
      </c>
      <c r="G70" s="129">
        <f t="shared" si="70"/>
        <v>10</v>
      </c>
      <c r="H70" s="131">
        <f t="shared" si="73"/>
        <v>5</v>
      </c>
      <c r="I70" s="105">
        <v>2</v>
      </c>
      <c r="J70" s="15">
        <v>0</v>
      </c>
      <c r="K70" s="17">
        <v>0</v>
      </c>
      <c r="L70" s="18">
        <v>0</v>
      </c>
      <c r="M70" s="15">
        <v>0</v>
      </c>
      <c r="N70" s="17">
        <v>0</v>
      </c>
      <c r="O70" s="105">
        <v>18</v>
      </c>
      <c r="P70" s="15">
        <v>0</v>
      </c>
      <c r="Q70" s="109">
        <v>2</v>
      </c>
      <c r="R70" s="15">
        <v>0</v>
      </c>
      <c r="S70" s="15">
        <v>0</v>
      </c>
      <c r="T70" s="17">
        <v>0</v>
      </c>
      <c r="U70" s="105">
        <v>26</v>
      </c>
      <c r="V70" s="128">
        <v>2</v>
      </c>
      <c r="W70" s="109">
        <v>2</v>
      </c>
      <c r="X70" s="106">
        <v>3</v>
      </c>
      <c r="Y70" s="130">
        <v>1</v>
      </c>
      <c r="Z70" s="105">
        <v>39</v>
      </c>
      <c r="AA70" s="15">
        <v>0</v>
      </c>
      <c r="AB70" s="15">
        <v>0</v>
      </c>
      <c r="AC70" s="15">
        <v>0</v>
      </c>
      <c r="AD70" s="17">
        <v>0</v>
      </c>
      <c r="AE70" s="105">
        <v>39</v>
      </c>
      <c r="AF70" s="15">
        <v>0</v>
      </c>
      <c r="AG70" s="15">
        <v>0</v>
      </c>
      <c r="AH70" s="15">
        <v>0</v>
      </c>
      <c r="AI70" s="15">
        <v>0</v>
      </c>
      <c r="AJ70" s="17">
        <v>0</v>
      </c>
      <c r="AK70" s="105">
        <v>16</v>
      </c>
      <c r="AL70" s="15">
        <v>0</v>
      </c>
      <c r="AM70" s="15">
        <v>0</v>
      </c>
      <c r="AN70" s="15">
        <v>0</v>
      </c>
      <c r="AO70" s="17">
        <v>0</v>
      </c>
      <c r="AP70" s="87">
        <f>AP69+11</f>
        <v>88</v>
      </c>
      <c r="AQ70" s="128">
        <v>1</v>
      </c>
      <c r="AR70" s="109">
        <v>1</v>
      </c>
      <c r="AS70" s="15">
        <v>0</v>
      </c>
      <c r="AT70" s="134"/>
      <c r="AU70" s="133">
        <v>4</v>
      </c>
      <c r="AV70" s="18">
        <v>0</v>
      </c>
      <c r="AW70" s="15">
        <v>0</v>
      </c>
      <c r="AX70" s="15">
        <v>0</v>
      </c>
      <c r="AY70" s="17">
        <v>0</v>
      </c>
      <c r="AZ70" s="105">
        <v>18</v>
      </c>
      <c r="BA70" s="15">
        <v>0</v>
      </c>
      <c r="BB70" s="15">
        <v>0</v>
      </c>
      <c r="BC70" s="17">
        <v>0</v>
      </c>
      <c r="BD70" s="105">
        <v>7</v>
      </c>
      <c r="BE70" s="15">
        <v>0</v>
      </c>
      <c r="BF70" s="15">
        <v>0</v>
      </c>
      <c r="BG70" s="106">
        <v>6</v>
      </c>
      <c r="BH70" s="17">
        <v>0</v>
      </c>
      <c r="BI70" s="105">
        <v>6</v>
      </c>
      <c r="BJ70" s="15">
        <v>0</v>
      </c>
      <c r="BK70" s="15">
        <v>0</v>
      </c>
      <c r="BL70" s="15">
        <v>0</v>
      </c>
      <c r="BM70" s="17">
        <v>0</v>
      </c>
      <c r="BN70" s="105">
        <f>BN69+6</f>
        <v>37</v>
      </c>
      <c r="BO70" s="15">
        <v>0</v>
      </c>
      <c r="BP70" s="15">
        <v>0</v>
      </c>
      <c r="BQ70" s="106">
        <v>6</v>
      </c>
      <c r="BR70" s="132">
        <v>1</v>
      </c>
      <c r="BS70" s="17">
        <v>0</v>
      </c>
      <c r="BT70" s="18">
        <v>0</v>
      </c>
      <c r="BU70" s="15">
        <v>0</v>
      </c>
      <c r="BV70" s="15">
        <v>0</v>
      </c>
      <c r="BW70" s="15">
        <v>0</v>
      </c>
      <c r="BX70" s="17">
        <v>0</v>
      </c>
      <c r="BY70" s="18">
        <v>0</v>
      </c>
      <c r="BZ70" s="15">
        <v>0</v>
      </c>
      <c r="CA70" s="15">
        <v>0</v>
      </c>
      <c r="CB70" s="17">
        <v>0</v>
      </c>
      <c r="CC70" s="105">
        <v>7</v>
      </c>
      <c r="CD70" s="15">
        <v>0</v>
      </c>
      <c r="CE70" s="15">
        <v>0</v>
      </c>
      <c r="CF70" s="15">
        <v>0</v>
      </c>
      <c r="CG70" s="17">
        <v>0</v>
      </c>
      <c r="CH70" s="105">
        <v>1</v>
      </c>
      <c r="CI70" s="15">
        <v>0</v>
      </c>
      <c r="CJ70" s="15">
        <v>0</v>
      </c>
      <c r="CK70" s="15">
        <v>0</v>
      </c>
      <c r="CL70" s="17">
        <v>0</v>
      </c>
      <c r="CM70" s="105">
        <v>7</v>
      </c>
      <c r="CN70" s="15">
        <v>0</v>
      </c>
      <c r="CO70" s="17">
        <v>0</v>
      </c>
      <c r="CP70" s="105">
        <v>1</v>
      </c>
      <c r="CQ70" s="15">
        <v>0</v>
      </c>
      <c r="CR70" s="15">
        <v>0</v>
      </c>
      <c r="CS70" s="17">
        <v>0</v>
      </c>
      <c r="CT70" s="105">
        <v>91</v>
      </c>
      <c r="CU70" s="128">
        <v>1</v>
      </c>
      <c r="CV70" s="109">
        <v>1</v>
      </c>
      <c r="CW70" s="15">
        <v>0</v>
      </c>
      <c r="CX70" s="15">
        <v>0</v>
      </c>
      <c r="CY70" s="17">
        <v>0</v>
      </c>
      <c r="CZ70" s="105">
        <v>1</v>
      </c>
      <c r="DA70" s="15">
        <v>0</v>
      </c>
      <c r="DB70" s="15">
        <v>0</v>
      </c>
      <c r="DC70" s="15">
        <v>0</v>
      </c>
      <c r="DD70" s="17">
        <v>0</v>
      </c>
      <c r="DE70" s="18">
        <v>0</v>
      </c>
      <c r="DF70" s="15">
        <v>0</v>
      </c>
      <c r="DG70" s="15">
        <v>0</v>
      </c>
      <c r="DH70" s="17">
        <v>0</v>
      </c>
      <c r="DI70" s="87">
        <f>DI69+8</f>
        <v>30</v>
      </c>
      <c r="DJ70" s="15">
        <v>0</v>
      </c>
      <c r="DK70" s="15">
        <v>0</v>
      </c>
      <c r="DL70" s="106">
        <v>18</v>
      </c>
      <c r="DM70" s="132">
        <v>1</v>
      </c>
      <c r="DN70" s="133">
        <v>1</v>
      </c>
      <c r="DO70" s="105">
        <v>200</v>
      </c>
      <c r="DP70" s="128">
        <v>3</v>
      </c>
      <c r="DQ70" s="109">
        <v>5</v>
      </c>
      <c r="DR70" s="106">
        <v>52</v>
      </c>
      <c r="DS70" s="130">
        <v>7</v>
      </c>
      <c r="DT70" s="105">
        <v>11</v>
      </c>
      <c r="DU70" s="15">
        <v>0</v>
      </c>
      <c r="DV70" s="15">
        <v>0</v>
      </c>
      <c r="DW70" s="15">
        <v>0</v>
      </c>
      <c r="DX70" s="17">
        <v>0</v>
      </c>
      <c r="DY70" s="105">
        <v>59</v>
      </c>
      <c r="DZ70" s="15">
        <v>0</v>
      </c>
      <c r="EA70" s="15">
        <v>0</v>
      </c>
      <c r="EB70" s="41">
        <v>0</v>
      </c>
      <c r="EC70" s="17">
        <v>0</v>
      </c>
      <c r="ED70" s="102" t="s">
        <v>252</v>
      </c>
      <c r="EE70" s="127" t="s">
        <v>253</v>
      </c>
    </row>
    <row r="71" spans="1:135" ht="25.5">
      <c r="A71" s="97">
        <v>43902</v>
      </c>
      <c r="B71" s="14">
        <f t="shared" ref="B71:D71" si="78">SUM(I71,L71,O71,U71,Z71,AE71,AK71,AP71,AV71,AZ71,BD71,BI71,BN71,BT71,BY71,CC71,CH71,CM71,CP71,CT71,CZ71,DE71,DI71,DO71,DT71,DY71)</f>
        <v>1073</v>
      </c>
      <c r="C71" s="34">
        <f t="shared" si="78"/>
        <v>9</v>
      </c>
      <c r="D71" s="73">
        <f t="shared" si="78"/>
        <v>12</v>
      </c>
      <c r="E71" s="100">
        <f t="shared" si="52"/>
        <v>1052</v>
      </c>
      <c r="F71" s="104">
        <f t="shared" si="57"/>
        <v>99</v>
      </c>
      <c r="G71" s="129">
        <f t="shared" si="70"/>
        <v>12</v>
      </c>
      <c r="H71" s="131">
        <f t="shared" si="73"/>
        <v>5</v>
      </c>
      <c r="I71" s="105">
        <v>2</v>
      </c>
      <c r="J71" s="15">
        <v>0</v>
      </c>
      <c r="K71" s="17">
        <v>0</v>
      </c>
      <c r="L71" s="18">
        <v>0</v>
      </c>
      <c r="M71" s="15">
        <v>0</v>
      </c>
      <c r="N71" s="17">
        <v>0</v>
      </c>
      <c r="O71" s="105">
        <v>27</v>
      </c>
      <c r="P71" s="15">
        <v>0</v>
      </c>
      <c r="Q71" s="109">
        <v>3</v>
      </c>
      <c r="R71" s="136">
        <v>1</v>
      </c>
      <c r="S71" s="15">
        <v>0</v>
      </c>
      <c r="T71" s="17">
        <v>0</v>
      </c>
      <c r="U71" s="105">
        <v>26</v>
      </c>
      <c r="V71" s="128">
        <v>2</v>
      </c>
      <c r="W71" s="109">
        <v>2</v>
      </c>
      <c r="X71" s="106">
        <v>9</v>
      </c>
      <c r="Y71" s="130">
        <v>3</v>
      </c>
      <c r="Z71" s="105">
        <v>80</v>
      </c>
      <c r="AA71" s="15">
        <v>0</v>
      </c>
      <c r="AB71" s="15">
        <v>0</v>
      </c>
      <c r="AC71" s="15">
        <v>0</v>
      </c>
      <c r="AD71" s="17">
        <v>0</v>
      </c>
      <c r="AE71" s="105">
        <v>51</v>
      </c>
      <c r="AF71" s="15">
        <v>0</v>
      </c>
      <c r="AG71" s="15">
        <v>0</v>
      </c>
      <c r="AH71" s="15">
        <v>0</v>
      </c>
      <c r="AI71" s="15">
        <v>0</v>
      </c>
      <c r="AJ71" s="17">
        <v>0</v>
      </c>
      <c r="AK71" s="105">
        <v>22</v>
      </c>
      <c r="AL71" s="15">
        <v>0</v>
      </c>
      <c r="AM71" s="15">
        <v>0</v>
      </c>
      <c r="AN71" s="15">
        <v>0</v>
      </c>
      <c r="AO71" s="17">
        <v>0</v>
      </c>
      <c r="AP71" s="87">
        <f>AP70+31</f>
        <v>119</v>
      </c>
      <c r="AQ71" s="128">
        <v>1</v>
      </c>
      <c r="AR71" s="109">
        <v>1</v>
      </c>
      <c r="AS71" s="15">
        <v>0</v>
      </c>
      <c r="AT71" s="134"/>
      <c r="AU71" s="133">
        <v>4</v>
      </c>
      <c r="AV71" s="105">
        <v>2</v>
      </c>
      <c r="AW71" s="15">
        <v>0</v>
      </c>
      <c r="AX71" s="15">
        <v>0</v>
      </c>
      <c r="AY71" s="17">
        <v>0</v>
      </c>
      <c r="AZ71" s="105">
        <v>28</v>
      </c>
      <c r="BA71" s="15">
        <v>0</v>
      </c>
      <c r="BB71" s="15">
        <v>0</v>
      </c>
      <c r="BC71" s="17">
        <v>0</v>
      </c>
      <c r="BD71" s="105">
        <v>12</v>
      </c>
      <c r="BE71" s="15">
        <v>0</v>
      </c>
      <c r="BF71" s="15">
        <v>0</v>
      </c>
      <c r="BG71" s="106">
        <v>6</v>
      </c>
      <c r="BH71" s="17">
        <v>0</v>
      </c>
      <c r="BI71" s="105">
        <v>8</v>
      </c>
      <c r="BJ71" s="15">
        <v>0</v>
      </c>
      <c r="BK71" s="15">
        <v>0</v>
      </c>
      <c r="BL71" s="15">
        <v>0</v>
      </c>
      <c r="BM71" s="17">
        <v>0</v>
      </c>
      <c r="BN71" s="105">
        <f>BN70+9</f>
        <v>46</v>
      </c>
      <c r="BO71" s="15">
        <v>0</v>
      </c>
      <c r="BP71" s="15">
        <v>0</v>
      </c>
      <c r="BQ71" s="106">
        <v>6</v>
      </c>
      <c r="BR71" s="132">
        <v>1</v>
      </c>
      <c r="BS71" s="17">
        <v>0</v>
      </c>
      <c r="BT71" s="105">
        <v>4</v>
      </c>
      <c r="BU71" s="15">
        <v>0</v>
      </c>
      <c r="BV71" s="15">
        <v>0</v>
      </c>
      <c r="BW71" s="15">
        <v>0</v>
      </c>
      <c r="BX71" s="17">
        <v>0</v>
      </c>
      <c r="BY71" s="18">
        <v>0</v>
      </c>
      <c r="BZ71" s="15">
        <v>0</v>
      </c>
      <c r="CA71" s="15">
        <v>0</v>
      </c>
      <c r="CB71" s="17">
        <v>0</v>
      </c>
      <c r="CC71" s="105">
        <v>14</v>
      </c>
      <c r="CD71" s="15">
        <v>0</v>
      </c>
      <c r="CE71" s="15">
        <v>0</v>
      </c>
      <c r="CF71" s="15">
        <v>0</v>
      </c>
      <c r="CG71" s="17">
        <v>0</v>
      </c>
      <c r="CH71" s="105">
        <v>1</v>
      </c>
      <c r="CI71" s="15">
        <v>0</v>
      </c>
      <c r="CJ71" s="15">
        <v>0</v>
      </c>
      <c r="CK71" s="15">
        <v>0</v>
      </c>
      <c r="CL71" s="17">
        <v>0</v>
      </c>
      <c r="CM71" s="105">
        <v>9</v>
      </c>
      <c r="CN71" s="15">
        <v>0</v>
      </c>
      <c r="CO71" s="17">
        <v>0</v>
      </c>
      <c r="CP71" s="105">
        <v>7</v>
      </c>
      <c r="CQ71" s="15">
        <v>0</v>
      </c>
      <c r="CR71" s="15">
        <v>0</v>
      </c>
      <c r="CS71" s="17">
        <v>0</v>
      </c>
      <c r="CT71" s="105">
        <v>180</v>
      </c>
      <c r="CU71" s="128">
        <v>3</v>
      </c>
      <c r="CV71" s="109">
        <v>1</v>
      </c>
      <c r="CW71" s="15">
        <v>0</v>
      </c>
      <c r="CX71" s="15">
        <v>0</v>
      </c>
      <c r="CY71" s="17">
        <v>0</v>
      </c>
      <c r="CZ71" s="105">
        <v>5</v>
      </c>
      <c r="DA71" s="15">
        <v>0</v>
      </c>
      <c r="DB71" s="15">
        <v>0</v>
      </c>
      <c r="DC71" s="15">
        <v>0</v>
      </c>
      <c r="DD71" s="17">
        <v>0</v>
      </c>
      <c r="DE71" s="18">
        <v>0</v>
      </c>
      <c r="DF71" s="15">
        <v>0</v>
      </c>
      <c r="DG71" s="15">
        <v>0</v>
      </c>
      <c r="DH71" s="17">
        <v>0</v>
      </c>
      <c r="DI71" s="87">
        <f t="shared" ref="DI71:DI72" si="79">DI70+23</f>
        <v>53</v>
      </c>
      <c r="DJ71" s="15">
        <v>0</v>
      </c>
      <c r="DK71" s="15">
        <v>0</v>
      </c>
      <c r="DL71" s="106">
        <v>25</v>
      </c>
      <c r="DM71" s="132">
        <v>1</v>
      </c>
      <c r="DN71" s="133">
        <v>1</v>
      </c>
      <c r="DO71" s="105">
        <v>274</v>
      </c>
      <c r="DP71" s="128">
        <v>3</v>
      </c>
      <c r="DQ71" s="109">
        <v>5</v>
      </c>
      <c r="DR71" s="106">
        <v>52</v>
      </c>
      <c r="DS71" s="130">
        <v>7</v>
      </c>
      <c r="DT71" s="105">
        <v>11</v>
      </c>
      <c r="DU71" s="15">
        <v>0</v>
      </c>
      <c r="DV71" s="15">
        <v>0</v>
      </c>
      <c r="DW71" s="15">
        <v>0</v>
      </c>
      <c r="DX71" s="17">
        <v>0</v>
      </c>
      <c r="DY71" s="105">
        <v>92</v>
      </c>
      <c r="DZ71" s="15">
        <v>0</v>
      </c>
      <c r="EA71" s="15">
        <v>0</v>
      </c>
      <c r="EB71" s="41">
        <v>0</v>
      </c>
      <c r="EC71" s="17">
        <v>0</v>
      </c>
      <c r="ED71" s="102" t="s">
        <v>254</v>
      </c>
      <c r="EE71" s="127" t="s">
        <v>255</v>
      </c>
    </row>
    <row r="72" spans="1:135" ht="25.5">
      <c r="A72" s="97">
        <v>43903</v>
      </c>
      <c r="B72" s="14">
        <v>1125</v>
      </c>
      <c r="C72" s="34">
        <v>11</v>
      </c>
      <c r="D72" s="73">
        <f>SUM(K72,N72,Q72,W72,AB72,AG72,AM72,AR72,AX72,BB72,BF72,BK72,BP72,BV72,CA72,CE72,CJ72,CO72,CR72,CV72,DB72,DG72,DK72,DQ72,DV72,EA72)</f>
        <v>12</v>
      </c>
      <c r="E72" s="100">
        <f t="shared" si="52"/>
        <v>1102</v>
      </c>
      <c r="F72" s="104">
        <f t="shared" si="57"/>
        <v>119</v>
      </c>
      <c r="G72" s="129">
        <f t="shared" si="70"/>
        <v>13</v>
      </c>
      <c r="H72" s="131">
        <f t="shared" si="73"/>
        <v>6</v>
      </c>
      <c r="I72" s="105">
        <v>5</v>
      </c>
      <c r="J72" s="15">
        <v>0</v>
      </c>
      <c r="K72" s="17">
        <v>0</v>
      </c>
      <c r="L72" s="18">
        <v>0</v>
      </c>
      <c r="M72" s="15">
        <v>0</v>
      </c>
      <c r="N72" s="17">
        <v>0</v>
      </c>
      <c r="O72" s="105">
        <v>32</v>
      </c>
      <c r="P72" s="15">
        <v>0</v>
      </c>
      <c r="Q72" s="109">
        <v>3</v>
      </c>
      <c r="R72" s="136">
        <v>1</v>
      </c>
      <c r="S72" s="15">
        <v>0</v>
      </c>
      <c r="T72" s="17">
        <v>0</v>
      </c>
      <c r="U72" s="105">
        <v>42</v>
      </c>
      <c r="V72" s="128">
        <v>2</v>
      </c>
      <c r="W72" s="109">
        <v>2</v>
      </c>
      <c r="X72" s="106">
        <v>12</v>
      </c>
      <c r="Y72" s="130">
        <v>3</v>
      </c>
      <c r="Z72" s="105">
        <v>111</v>
      </c>
      <c r="AA72" s="128">
        <v>1</v>
      </c>
      <c r="AB72" s="15">
        <v>0</v>
      </c>
      <c r="AC72" s="15">
        <v>0</v>
      </c>
      <c r="AD72" s="17">
        <v>0</v>
      </c>
      <c r="AE72" s="105">
        <v>62</v>
      </c>
      <c r="AF72" s="15">
        <v>0</v>
      </c>
      <c r="AG72" s="15">
        <v>0</v>
      </c>
      <c r="AH72" s="15">
        <v>0</v>
      </c>
      <c r="AI72" s="15">
        <v>0</v>
      </c>
      <c r="AJ72" s="17">
        <v>0</v>
      </c>
      <c r="AK72" s="105">
        <v>29</v>
      </c>
      <c r="AL72" s="15">
        <v>0</v>
      </c>
      <c r="AM72" s="15">
        <v>0</v>
      </c>
      <c r="AN72" s="15">
        <v>0</v>
      </c>
      <c r="AO72" s="17">
        <v>0</v>
      </c>
      <c r="AP72" s="87">
        <f>AP71+67</f>
        <v>186</v>
      </c>
      <c r="AQ72" s="128">
        <v>1</v>
      </c>
      <c r="AR72" s="109">
        <v>1</v>
      </c>
      <c r="AS72" s="15">
        <v>0</v>
      </c>
      <c r="AT72" s="134"/>
      <c r="AU72" s="133">
        <v>5</v>
      </c>
      <c r="AV72" s="105">
        <v>4</v>
      </c>
      <c r="AW72" s="15">
        <v>0</v>
      </c>
      <c r="AX72" s="15">
        <v>0</v>
      </c>
      <c r="AY72" s="17">
        <v>0</v>
      </c>
      <c r="AZ72" s="105">
        <v>39</v>
      </c>
      <c r="BA72" s="15">
        <v>0</v>
      </c>
      <c r="BB72" s="15">
        <v>0</v>
      </c>
      <c r="BC72" s="17">
        <v>0</v>
      </c>
      <c r="BD72" s="105">
        <v>17</v>
      </c>
      <c r="BE72" s="15">
        <v>0</v>
      </c>
      <c r="BF72" s="15">
        <v>0</v>
      </c>
      <c r="BG72" s="106">
        <v>8</v>
      </c>
      <c r="BH72" s="17">
        <v>0</v>
      </c>
      <c r="BI72" s="105">
        <v>13</v>
      </c>
      <c r="BJ72" s="15">
        <v>0</v>
      </c>
      <c r="BK72" s="15">
        <v>0</v>
      </c>
      <c r="BL72" s="15">
        <v>0</v>
      </c>
      <c r="BM72" s="17">
        <v>0</v>
      </c>
      <c r="BN72" s="105">
        <f>BN71+13</f>
        <v>59</v>
      </c>
      <c r="BO72" s="15">
        <v>0</v>
      </c>
      <c r="BP72" s="15">
        <v>0</v>
      </c>
      <c r="BQ72" s="106">
        <v>9</v>
      </c>
      <c r="BR72" s="132">
        <v>1</v>
      </c>
      <c r="BS72" s="17">
        <v>0</v>
      </c>
      <c r="BT72" s="105">
        <v>5</v>
      </c>
      <c r="BU72" s="15">
        <v>0</v>
      </c>
      <c r="BV72" s="15">
        <v>0</v>
      </c>
      <c r="BW72" s="15">
        <v>0</v>
      </c>
      <c r="BX72" s="17">
        <v>0</v>
      </c>
      <c r="BY72" s="105">
        <v>7</v>
      </c>
      <c r="BZ72" s="15">
        <v>0</v>
      </c>
      <c r="CA72" s="15">
        <v>0</v>
      </c>
      <c r="CB72" s="17">
        <v>0</v>
      </c>
      <c r="CC72" s="105">
        <v>19</v>
      </c>
      <c r="CD72" s="15">
        <v>0</v>
      </c>
      <c r="CE72" s="15">
        <v>0</v>
      </c>
      <c r="CF72" s="15">
        <v>0</v>
      </c>
      <c r="CG72" s="17">
        <v>0</v>
      </c>
      <c r="CH72" s="105">
        <v>1</v>
      </c>
      <c r="CI72" s="15">
        <v>0</v>
      </c>
      <c r="CJ72" s="15">
        <v>0</v>
      </c>
      <c r="CK72" s="15">
        <v>0</v>
      </c>
      <c r="CL72" s="17">
        <v>0</v>
      </c>
      <c r="CM72" s="105">
        <v>10</v>
      </c>
      <c r="CN72" s="15">
        <v>0</v>
      </c>
      <c r="CO72" s="17">
        <v>0</v>
      </c>
      <c r="CP72" s="105">
        <v>8</v>
      </c>
      <c r="CQ72" s="15">
        <v>0</v>
      </c>
      <c r="CR72" s="15">
        <v>0</v>
      </c>
      <c r="CS72" s="17">
        <v>0</v>
      </c>
      <c r="CT72" s="105">
        <v>218</v>
      </c>
      <c r="CU72" s="128">
        <v>3</v>
      </c>
      <c r="CV72" s="109">
        <v>1</v>
      </c>
      <c r="CW72" s="15">
        <v>0</v>
      </c>
      <c r="CX72" s="15">
        <v>0</v>
      </c>
      <c r="CY72" s="17">
        <v>0</v>
      </c>
      <c r="CZ72" s="105">
        <v>5</v>
      </c>
      <c r="DA72" s="15">
        <v>0</v>
      </c>
      <c r="DB72" s="15">
        <v>0</v>
      </c>
      <c r="DC72" s="15">
        <v>0</v>
      </c>
      <c r="DD72" s="17">
        <v>0</v>
      </c>
      <c r="DE72" s="18">
        <v>0</v>
      </c>
      <c r="DF72" s="15">
        <v>0</v>
      </c>
      <c r="DG72" s="15">
        <v>0</v>
      </c>
      <c r="DH72" s="17">
        <v>0</v>
      </c>
      <c r="DI72" s="87">
        <f t="shared" si="79"/>
        <v>76</v>
      </c>
      <c r="DJ72" s="128">
        <v>1</v>
      </c>
      <c r="DK72" s="15">
        <v>0</v>
      </c>
      <c r="DL72" s="106">
        <v>27</v>
      </c>
      <c r="DM72" s="132">
        <v>1</v>
      </c>
      <c r="DN72" s="133">
        <v>1</v>
      </c>
      <c r="DO72" s="105">
        <v>292</v>
      </c>
      <c r="DP72" s="128">
        <v>3</v>
      </c>
      <c r="DQ72" s="109">
        <v>5</v>
      </c>
      <c r="DR72" s="106">
        <v>62</v>
      </c>
      <c r="DS72" s="130">
        <v>8</v>
      </c>
      <c r="DT72" s="105">
        <v>13</v>
      </c>
      <c r="DU72" s="15">
        <v>0</v>
      </c>
      <c r="DV72" s="15">
        <v>0</v>
      </c>
      <c r="DW72" s="15">
        <v>0</v>
      </c>
      <c r="DX72" s="17">
        <v>0</v>
      </c>
      <c r="DY72" s="105">
        <v>140</v>
      </c>
      <c r="DZ72" s="15">
        <v>0</v>
      </c>
      <c r="EA72" s="15">
        <v>0</v>
      </c>
      <c r="EB72" s="41">
        <v>0</v>
      </c>
      <c r="EC72" s="17">
        <v>0</v>
      </c>
      <c r="ED72" s="102" t="s">
        <v>257</v>
      </c>
      <c r="EE72" s="127" t="s">
        <v>258</v>
      </c>
    </row>
    <row r="73" spans="1:135" ht="25.5">
      <c r="A73" s="97">
        <v>43904</v>
      </c>
      <c r="B73" s="14">
        <f t="shared" ref="B73:D73" si="80">SUM(I73,L73,O73,U73,Z73,AE73,AK73,AP73,AV73,AZ73,BD73,BI73,BN73,BT73,BY73,CC73,CH73,CM73,CP73,CT73,CZ73,DE73,DI73,DO73,DT73,DY73)</f>
        <v>1710</v>
      </c>
      <c r="C73" s="34">
        <f t="shared" si="80"/>
        <v>14</v>
      </c>
      <c r="D73" s="73">
        <f t="shared" si="80"/>
        <v>14</v>
      </c>
      <c r="E73" s="100">
        <f t="shared" si="52"/>
        <v>1682</v>
      </c>
      <c r="F73" s="104">
        <f t="shared" si="57"/>
        <v>134</v>
      </c>
      <c r="G73" s="129">
        <f t="shared" si="70"/>
        <v>15</v>
      </c>
      <c r="H73" s="131">
        <f t="shared" si="73"/>
        <v>6</v>
      </c>
      <c r="I73" s="105">
        <v>5</v>
      </c>
      <c r="J73" s="15">
        <v>0</v>
      </c>
      <c r="K73" s="17">
        <v>0</v>
      </c>
      <c r="L73" s="18">
        <v>0</v>
      </c>
      <c r="M73" s="15">
        <v>0</v>
      </c>
      <c r="N73" s="17">
        <v>0</v>
      </c>
      <c r="O73" s="105">
        <v>32</v>
      </c>
      <c r="P73" s="15">
        <v>0</v>
      </c>
      <c r="Q73" s="109">
        <v>3</v>
      </c>
      <c r="R73" s="136">
        <v>1</v>
      </c>
      <c r="S73" s="15">
        <v>0</v>
      </c>
      <c r="T73" s="17">
        <v>0</v>
      </c>
      <c r="U73" s="105">
        <v>47</v>
      </c>
      <c r="V73" s="128">
        <v>2</v>
      </c>
      <c r="W73" s="109">
        <v>2</v>
      </c>
      <c r="X73" s="106">
        <v>8</v>
      </c>
      <c r="Y73" s="130">
        <v>2</v>
      </c>
      <c r="Z73" s="105">
        <v>119</v>
      </c>
      <c r="AA73" s="128">
        <v>1</v>
      </c>
      <c r="AB73" s="15">
        <v>0</v>
      </c>
      <c r="AC73" s="15">
        <v>0</v>
      </c>
      <c r="AD73" s="17">
        <v>0</v>
      </c>
      <c r="AE73" s="105">
        <v>78</v>
      </c>
      <c r="AF73" s="15">
        <v>0</v>
      </c>
      <c r="AG73" s="15">
        <v>0</v>
      </c>
      <c r="AH73" s="15">
        <v>0</v>
      </c>
      <c r="AI73" s="15">
        <v>0</v>
      </c>
      <c r="AJ73" s="17">
        <v>0</v>
      </c>
      <c r="AK73" s="105">
        <v>36</v>
      </c>
      <c r="AL73" s="15">
        <v>0</v>
      </c>
      <c r="AM73" s="15">
        <v>0</v>
      </c>
      <c r="AN73" s="15">
        <v>0</v>
      </c>
      <c r="AO73" s="17">
        <v>0</v>
      </c>
      <c r="AP73" s="87">
        <f>AP72+108</f>
        <v>294</v>
      </c>
      <c r="AQ73" s="128">
        <v>1</v>
      </c>
      <c r="AR73" s="109">
        <v>1</v>
      </c>
      <c r="AS73" s="15">
        <v>0</v>
      </c>
      <c r="AT73" s="134"/>
      <c r="AU73" s="133">
        <v>5</v>
      </c>
      <c r="AV73" s="105">
        <v>5</v>
      </c>
      <c r="AW73" s="15">
        <v>0</v>
      </c>
      <c r="AX73" s="109">
        <v>2</v>
      </c>
      <c r="AY73" s="17">
        <v>0</v>
      </c>
      <c r="AZ73" s="105">
        <v>47</v>
      </c>
      <c r="BA73" s="15">
        <v>0</v>
      </c>
      <c r="BB73" s="15">
        <v>0</v>
      </c>
      <c r="BC73" s="17">
        <v>0</v>
      </c>
      <c r="BD73" s="105">
        <v>18</v>
      </c>
      <c r="BE73" s="15">
        <v>0</v>
      </c>
      <c r="BF73" s="15">
        <v>0</v>
      </c>
      <c r="BG73" s="106">
        <v>8</v>
      </c>
      <c r="BH73" s="17">
        <v>0</v>
      </c>
      <c r="BI73" s="105">
        <v>19</v>
      </c>
      <c r="BJ73" s="15">
        <v>0</v>
      </c>
      <c r="BK73" s="15">
        <v>0</v>
      </c>
      <c r="BL73" s="15">
        <v>0</v>
      </c>
      <c r="BM73" s="17">
        <v>0</v>
      </c>
      <c r="BN73" s="105">
        <f>BN72+9</f>
        <v>68</v>
      </c>
      <c r="BO73" s="15">
        <v>0</v>
      </c>
      <c r="BP73" s="15">
        <v>0</v>
      </c>
      <c r="BQ73" s="106">
        <v>10</v>
      </c>
      <c r="BR73" s="132">
        <v>1</v>
      </c>
      <c r="BS73" s="17">
        <v>0</v>
      </c>
      <c r="BT73" s="105">
        <v>5</v>
      </c>
      <c r="BU73" s="15">
        <v>0</v>
      </c>
      <c r="BV73" s="15">
        <v>0</v>
      </c>
      <c r="BW73" s="15">
        <v>0</v>
      </c>
      <c r="BX73" s="17">
        <v>0</v>
      </c>
      <c r="BY73" s="105">
        <v>8</v>
      </c>
      <c r="BZ73" s="15">
        <v>0</v>
      </c>
      <c r="CA73" s="15">
        <v>0</v>
      </c>
      <c r="CB73" s="17">
        <v>0</v>
      </c>
      <c r="CC73" s="105">
        <v>26</v>
      </c>
      <c r="CD73" s="15">
        <v>0</v>
      </c>
      <c r="CE73" s="15">
        <v>0</v>
      </c>
      <c r="CF73" s="15">
        <v>0</v>
      </c>
      <c r="CG73" s="17">
        <v>0</v>
      </c>
      <c r="CH73" s="105">
        <v>1</v>
      </c>
      <c r="CI73" s="15">
        <v>0</v>
      </c>
      <c r="CJ73" s="15">
        <v>0</v>
      </c>
      <c r="CK73" s="15">
        <v>0</v>
      </c>
      <c r="CL73" s="17">
        <v>0</v>
      </c>
      <c r="CM73" s="105">
        <v>13</v>
      </c>
      <c r="CN73" s="15">
        <v>0</v>
      </c>
      <c r="CO73" s="17">
        <v>0</v>
      </c>
      <c r="CP73" s="105">
        <v>10</v>
      </c>
      <c r="CQ73" s="15">
        <v>0</v>
      </c>
      <c r="CR73" s="15">
        <v>0</v>
      </c>
      <c r="CS73" s="17">
        <v>0</v>
      </c>
      <c r="CT73" s="105">
        <v>265</v>
      </c>
      <c r="CU73" s="128">
        <v>5</v>
      </c>
      <c r="CV73" s="109">
        <v>1</v>
      </c>
      <c r="CW73" s="15">
        <v>0</v>
      </c>
      <c r="CX73" s="15">
        <v>0</v>
      </c>
      <c r="CY73" s="17">
        <v>0</v>
      </c>
      <c r="CZ73" s="105">
        <v>5</v>
      </c>
      <c r="DA73" s="15">
        <v>0</v>
      </c>
      <c r="DB73" s="15">
        <v>0</v>
      </c>
      <c r="DC73" s="15">
        <v>0</v>
      </c>
      <c r="DD73" s="17">
        <v>0</v>
      </c>
      <c r="DE73" s="18">
        <v>0</v>
      </c>
      <c r="DF73" s="15">
        <v>0</v>
      </c>
      <c r="DG73" s="15">
        <v>0</v>
      </c>
      <c r="DH73" s="17">
        <v>0</v>
      </c>
      <c r="DI73" s="87">
        <f>DI72+22</f>
        <v>98</v>
      </c>
      <c r="DJ73" s="128">
        <f>DJ72</f>
        <v>1</v>
      </c>
      <c r="DK73" s="15">
        <v>0</v>
      </c>
      <c r="DL73" s="106">
        <v>31</v>
      </c>
      <c r="DM73" s="132">
        <v>1</v>
      </c>
      <c r="DN73" s="133">
        <v>1</v>
      </c>
      <c r="DO73" s="105">
        <v>350</v>
      </c>
      <c r="DP73" s="128">
        <v>4</v>
      </c>
      <c r="DQ73" s="109">
        <v>5</v>
      </c>
      <c r="DR73" s="106">
        <v>76</v>
      </c>
      <c r="DS73" s="130">
        <v>11</v>
      </c>
      <c r="DT73" s="105">
        <v>13</v>
      </c>
      <c r="DU73" s="15">
        <v>0</v>
      </c>
      <c r="DV73" s="15">
        <v>0</v>
      </c>
      <c r="DW73" s="15">
        <v>0</v>
      </c>
      <c r="DX73" s="17">
        <v>0</v>
      </c>
      <c r="DY73" s="105">
        <v>148</v>
      </c>
      <c r="DZ73" s="15">
        <v>0</v>
      </c>
      <c r="EA73" s="15">
        <v>0</v>
      </c>
      <c r="EB73" s="41">
        <v>0</v>
      </c>
      <c r="EC73" s="17">
        <v>0</v>
      </c>
      <c r="ED73" s="102" t="s">
        <v>259</v>
      </c>
      <c r="EE73" s="77" t="s">
        <v>260</v>
      </c>
    </row>
    <row r="74" spans="1:135" ht="51">
      <c r="A74" s="97">
        <v>43905</v>
      </c>
      <c r="B74" s="14">
        <v>2200</v>
      </c>
      <c r="C74" s="34">
        <f t="shared" ref="C74:D74" si="81">SUM(J74,M74,P74,V74,AA74,AF74,AL74,AQ74,AW74,BA74,BE74,BJ74,BO74,BU74,BZ74,CD74,CI74,CN74,CQ74,CU74,DA74,DF74,DJ74,DP74,DU74,DZ74)</f>
        <v>19</v>
      </c>
      <c r="D74" s="73">
        <f t="shared" si="81"/>
        <v>17</v>
      </c>
      <c r="E74" s="100">
        <f t="shared" si="52"/>
        <v>2164</v>
      </c>
      <c r="F74" s="104">
        <f t="shared" si="57"/>
        <v>155</v>
      </c>
      <c r="G74" s="129">
        <f t="shared" si="70"/>
        <v>15</v>
      </c>
      <c r="H74" s="131">
        <f t="shared" si="73"/>
        <v>9</v>
      </c>
      <c r="I74" s="105">
        <v>5</v>
      </c>
      <c r="J74" s="15">
        <v>0</v>
      </c>
      <c r="K74" s="17">
        <v>0</v>
      </c>
      <c r="L74" s="18">
        <v>0</v>
      </c>
      <c r="M74" s="15">
        <v>0</v>
      </c>
      <c r="N74" s="17">
        <v>0</v>
      </c>
      <c r="O74" s="105">
        <v>43</v>
      </c>
      <c r="P74" s="15">
        <v>0</v>
      </c>
      <c r="Q74" s="109">
        <v>3</v>
      </c>
      <c r="R74" s="136">
        <v>1</v>
      </c>
      <c r="S74" s="15">
        <v>0</v>
      </c>
      <c r="T74" s="17">
        <v>0</v>
      </c>
      <c r="U74" s="105">
        <v>54</v>
      </c>
      <c r="V74" s="128">
        <v>2</v>
      </c>
      <c r="W74" s="109">
        <v>5</v>
      </c>
      <c r="X74" s="106">
        <v>12</v>
      </c>
      <c r="Y74" s="130">
        <v>2</v>
      </c>
      <c r="Z74" s="105">
        <v>119</v>
      </c>
      <c r="AA74" s="128">
        <v>1</v>
      </c>
      <c r="AB74" s="15">
        <v>0</v>
      </c>
      <c r="AC74" s="15">
        <v>0</v>
      </c>
      <c r="AD74" s="17">
        <v>0</v>
      </c>
      <c r="AE74" s="105">
        <v>78</v>
      </c>
      <c r="AF74" s="15">
        <v>0</v>
      </c>
      <c r="AG74" s="15">
        <v>0</v>
      </c>
      <c r="AH74" s="15">
        <v>0</v>
      </c>
      <c r="AI74" s="15">
        <v>0</v>
      </c>
      <c r="AJ74" s="17">
        <v>0</v>
      </c>
      <c r="AK74" s="105">
        <v>40</v>
      </c>
      <c r="AL74" s="15">
        <v>0</v>
      </c>
      <c r="AM74" s="15">
        <v>0</v>
      </c>
      <c r="AN74" s="15">
        <v>0</v>
      </c>
      <c r="AO74" s="17">
        <v>0</v>
      </c>
      <c r="AP74" s="87">
        <f>AP73+99</f>
        <v>393</v>
      </c>
      <c r="AQ74" s="128">
        <f t="shared" ref="AQ74:AQ75" si="82">1+2</f>
        <v>3</v>
      </c>
      <c r="AR74" s="109">
        <v>1</v>
      </c>
      <c r="AS74" s="15">
        <v>0</v>
      </c>
      <c r="AT74" s="134"/>
      <c r="AU74" s="133">
        <v>8</v>
      </c>
      <c r="AV74" s="105">
        <v>5</v>
      </c>
      <c r="AW74" s="15">
        <v>0</v>
      </c>
      <c r="AX74" s="109">
        <v>2</v>
      </c>
      <c r="AY74" s="17">
        <v>0</v>
      </c>
      <c r="AZ74" s="105">
        <v>47</v>
      </c>
      <c r="BA74" s="15">
        <v>0</v>
      </c>
      <c r="BB74" s="15">
        <v>0</v>
      </c>
      <c r="BC74" s="17">
        <v>0</v>
      </c>
      <c r="BD74" s="105">
        <v>19</v>
      </c>
      <c r="BE74" s="15">
        <v>0</v>
      </c>
      <c r="BF74" s="15">
        <v>0</v>
      </c>
      <c r="BG74" s="106">
        <v>9</v>
      </c>
      <c r="BH74" s="17">
        <v>0</v>
      </c>
      <c r="BI74" s="105">
        <v>19</v>
      </c>
      <c r="BJ74" s="15">
        <v>0</v>
      </c>
      <c r="BK74" s="15">
        <v>0</v>
      </c>
      <c r="BL74" s="15">
        <v>0</v>
      </c>
      <c r="BM74" s="17">
        <v>0</v>
      </c>
      <c r="BN74" s="105">
        <f>BN73+6</f>
        <v>74</v>
      </c>
      <c r="BO74" s="15">
        <v>0</v>
      </c>
      <c r="BP74" s="15">
        <v>0</v>
      </c>
      <c r="BQ74" s="106">
        <v>9</v>
      </c>
      <c r="BR74" s="132">
        <v>1</v>
      </c>
      <c r="BS74" s="17">
        <v>0</v>
      </c>
      <c r="BT74" s="105">
        <v>5</v>
      </c>
      <c r="BU74" s="15">
        <v>0</v>
      </c>
      <c r="BV74" s="15">
        <v>0</v>
      </c>
      <c r="BW74" s="15">
        <v>0</v>
      </c>
      <c r="BX74" s="17">
        <v>0</v>
      </c>
      <c r="BY74" s="105">
        <v>8</v>
      </c>
      <c r="BZ74" s="15">
        <v>0</v>
      </c>
      <c r="CA74" s="15">
        <v>0</v>
      </c>
      <c r="CB74" s="17">
        <v>0</v>
      </c>
      <c r="CC74" s="105">
        <v>26</v>
      </c>
      <c r="CD74" s="15">
        <v>0</v>
      </c>
      <c r="CE74" s="15">
        <v>0</v>
      </c>
      <c r="CF74" s="15">
        <v>0</v>
      </c>
      <c r="CG74" s="17">
        <v>0</v>
      </c>
      <c r="CH74" s="105">
        <v>1</v>
      </c>
      <c r="CI74" s="15">
        <v>0</v>
      </c>
      <c r="CJ74" s="15">
        <v>0</v>
      </c>
      <c r="CK74" s="15">
        <v>0</v>
      </c>
      <c r="CL74" s="17">
        <v>0</v>
      </c>
      <c r="CM74" s="105">
        <v>13</v>
      </c>
      <c r="CN74" s="15">
        <v>0</v>
      </c>
      <c r="CO74" s="17">
        <v>0</v>
      </c>
      <c r="CP74" s="105">
        <v>10</v>
      </c>
      <c r="CQ74" s="15">
        <v>0</v>
      </c>
      <c r="CR74" s="15">
        <v>0</v>
      </c>
      <c r="CS74" s="17">
        <v>0</v>
      </c>
      <c r="CT74" s="105">
        <v>291</v>
      </c>
      <c r="CU74" s="128">
        <v>6</v>
      </c>
      <c r="CV74" s="109">
        <v>1</v>
      </c>
      <c r="CW74" s="15">
        <v>0</v>
      </c>
      <c r="CX74" s="15">
        <v>0</v>
      </c>
      <c r="CY74" s="17">
        <v>0</v>
      </c>
      <c r="CZ74" s="105">
        <v>5</v>
      </c>
      <c r="DA74" s="15">
        <v>0</v>
      </c>
      <c r="DB74" s="15">
        <v>0</v>
      </c>
      <c r="DC74" s="15">
        <v>0</v>
      </c>
      <c r="DD74" s="17">
        <v>0</v>
      </c>
      <c r="DE74" s="18">
        <v>0</v>
      </c>
      <c r="DF74" s="15">
        <v>0</v>
      </c>
      <c r="DG74" s="15">
        <v>0</v>
      </c>
      <c r="DH74" s="17">
        <v>0</v>
      </c>
      <c r="DI74" s="87">
        <f>DI73+17</f>
        <v>115</v>
      </c>
      <c r="DJ74" s="128">
        <f t="shared" ref="DJ74:DJ75" si="83">DJ73+1</f>
        <v>2</v>
      </c>
      <c r="DK74" s="15">
        <v>0</v>
      </c>
      <c r="DL74" s="106">
        <v>33</v>
      </c>
      <c r="DM74" s="132">
        <v>1</v>
      </c>
      <c r="DN74" s="133">
        <v>1</v>
      </c>
      <c r="DO74" s="105">
        <v>406</v>
      </c>
      <c r="DP74" s="128">
        <v>5</v>
      </c>
      <c r="DQ74" s="109">
        <v>5</v>
      </c>
      <c r="DR74" s="106">
        <v>91</v>
      </c>
      <c r="DS74" s="130">
        <v>11</v>
      </c>
      <c r="DT74" s="105">
        <v>20</v>
      </c>
      <c r="DU74" s="15">
        <v>0</v>
      </c>
      <c r="DV74" s="15">
        <v>0</v>
      </c>
      <c r="DW74" s="15">
        <v>0</v>
      </c>
      <c r="DX74" s="17">
        <v>0</v>
      </c>
      <c r="DY74" s="105">
        <v>148</v>
      </c>
      <c r="DZ74" s="15">
        <v>0</v>
      </c>
      <c r="EA74" s="15">
        <v>0</v>
      </c>
      <c r="EB74" s="41">
        <v>0</v>
      </c>
      <c r="EC74" s="17">
        <v>0</v>
      </c>
      <c r="ED74" s="102" t="s">
        <v>261</v>
      </c>
      <c r="EE74" s="77" t="s">
        <v>262</v>
      </c>
    </row>
    <row r="75" spans="1:135" ht="63.75">
      <c r="A75" s="97">
        <v>43906</v>
      </c>
      <c r="B75" s="14">
        <v>2327</v>
      </c>
      <c r="C75" s="34">
        <f t="shared" ref="C75:D75" si="84">SUM(J75,M75,P75,V75,AA75,AF75,AL75,AQ75,AW75,BA75,BE75,BJ75,BO75,BU75,BZ75,CD75,CI75,CN75,CQ75,CU75,DA75,DF75,DJ75,DP75,DU75,DZ75)</f>
        <v>25</v>
      </c>
      <c r="D75" s="73">
        <f t="shared" si="84"/>
        <v>18</v>
      </c>
      <c r="E75" s="100">
        <f t="shared" si="52"/>
        <v>2284</v>
      </c>
      <c r="F75" s="104">
        <f t="shared" si="57"/>
        <v>207</v>
      </c>
      <c r="G75" s="129">
        <f t="shared" si="70"/>
        <v>30</v>
      </c>
      <c r="H75" s="131">
        <f t="shared" si="73"/>
        <v>10</v>
      </c>
      <c r="I75" s="105">
        <v>5</v>
      </c>
      <c r="J75" s="15">
        <v>0</v>
      </c>
      <c r="K75" s="17">
        <v>0</v>
      </c>
      <c r="L75" s="18">
        <v>0</v>
      </c>
      <c r="M75" s="15">
        <v>0</v>
      </c>
      <c r="N75" s="17">
        <v>0</v>
      </c>
      <c r="O75" s="105">
        <v>52</v>
      </c>
      <c r="P75" s="15">
        <v>0</v>
      </c>
      <c r="Q75" s="109">
        <v>4</v>
      </c>
      <c r="R75" s="136">
        <v>2</v>
      </c>
      <c r="S75" s="15">
        <v>0</v>
      </c>
      <c r="T75" s="17">
        <v>0</v>
      </c>
      <c r="U75" s="105">
        <v>76</v>
      </c>
      <c r="V75" s="128">
        <v>2</v>
      </c>
      <c r="W75" s="109">
        <v>5</v>
      </c>
      <c r="X75" s="106">
        <v>17</v>
      </c>
      <c r="Y75" s="130">
        <v>4</v>
      </c>
      <c r="Z75" s="105">
        <v>119</v>
      </c>
      <c r="AA75" s="128">
        <v>1</v>
      </c>
      <c r="AB75" s="15">
        <v>0</v>
      </c>
      <c r="AC75" s="15">
        <v>0</v>
      </c>
      <c r="AD75" s="17">
        <v>0</v>
      </c>
      <c r="AE75" s="105">
        <v>78</v>
      </c>
      <c r="AF75" s="15">
        <v>0</v>
      </c>
      <c r="AG75" s="15">
        <v>0</v>
      </c>
      <c r="AH75" s="15">
        <v>0</v>
      </c>
      <c r="AI75" s="15">
        <v>0</v>
      </c>
      <c r="AJ75" s="17">
        <v>0</v>
      </c>
      <c r="AK75" s="105">
        <v>45</v>
      </c>
      <c r="AL75" s="15">
        <v>0</v>
      </c>
      <c r="AM75" s="15">
        <v>0</v>
      </c>
      <c r="AN75" s="15">
        <v>0</v>
      </c>
      <c r="AO75" s="17">
        <v>0</v>
      </c>
      <c r="AP75" s="87">
        <f>AP74+89</f>
        <v>482</v>
      </c>
      <c r="AQ75" s="128">
        <f t="shared" si="82"/>
        <v>3</v>
      </c>
      <c r="AR75" s="109">
        <v>1</v>
      </c>
      <c r="AS75" s="15">
        <v>0</v>
      </c>
      <c r="AT75" s="134"/>
      <c r="AU75" s="133">
        <v>9</v>
      </c>
      <c r="AV75" s="105">
        <v>5</v>
      </c>
      <c r="AW75" s="15">
        <v>0</v>
      </c>
      <c r="AX75" s="109">
        <v>2</v>
      </c>
      <c r="AY75" s="17">
        <v>0</v>
      </c>
      <c r="AZ75" s="105">
        <v>47</v>
      </c>
      <c r="BA75" s="15">
        <v>0</v>
      </c>
      <c r="BB75" s="15">
        <v>0</v>
      </c>
      <c r="BC75" s="17">
        <v>0</v>
      </c>
      <c r="BD75" s="105">
        <v>25</v>
      </c>
      <c r="BE75" s="15">
        <v>0</v>
      </c>
      <c r="BF75" s="15">
        <v>0</v>
      </c>
      <c r="BG75" s="106">
        <v>9</v>
      </c>
      <c r="BH75" s="17">
        <v>0</v>
      </c>
      <c r="BI75" s="105">
        <v>19</v>
      </c>
      <c r="BJ75" s="15">
        <v>0</v>
      </c>
      <c r="BK75" s="15">
        <v>0</v>
      </c>
      <c r="BL75" s="15">
        <v>0</v>
      </c>
      <c r="BM75" s="17">
        <v>0</v>
      </c>
      <c r="BN75" s="105">
        <f>BN74+19</f>
        <v>93</v>
      </c>
      <c r="BO75" s="15">
        <v>0</v>
      </c>
      <c r="BP75" s="15">
        <v>0</v>
      </c>
      <c r="BQ75" s="106">
        <v>13</v>
      </c>
      <c r="BR75" s="132">
        <v>2</v>
      </c>
      <c r="BS75" s="17">
        <v>0</v>
      </c>
      <c r="BT75" s="105">
        <v>5</v>
      </c>
      <c r="BU75" s="15">
        <v>0</v>
      </c>
      <c r="BV75" s="15">
        <v>0</v>
      </c>
      <c r="BW75" s="15">
        <v>0</v>
      </c>
      <c r="BX75" s="17">
        <v>0</v>
      </c>
      <c r="BY75" s="105">
        <v>8</v>
      </c>
      <c r="BZ75" s="15">
        <v>0</v>
      </c>
      <c r="CA75" s="15">
        <v>0</v>
      </c>
      <c r="CB75" s="17">
        <v>0</v>
      </c>
      <c r="CC75" s="105">
        <v>26</v>
      </c>
      <c r="CD75" s="15">
        <v>0</v>
      </c>
      <c r="CE75" s="15">
        <v>0</v>
      </c>
      <c r="CF75" s="15">
        <v>0</v>
      </c>
      <c r="CG75" s="17">
        <v>0</v>
      </c>
      <c r="CH75" s="105">
        <v>1</v>
      </c>
      <c r="CI75" s="15">
        <v>0</v>
      </c>
      <c r="CJ75" s="15">
        <v>0</v>
      </c>
      <c r="CK75" s="15">
        <v>0</v>
      </c>
      <c r="CL75" s="17">
        <v>0</v>
      </c>
      <c r="CM75" s="105">
        <v>13</v>
      </c>
      <c r="CN75" s="15">
        <v>0</v>
      </c>
      <c r="CO75" s="17">
        <v>0</v>
      </c>
      <c r="CP75" s="105">
        <v>10</v>
      </c>
      <c r="CQ75" s="15">
        <v>0</v>
      </c>
      <c r="CR75" s="15">
        <v>0</v>
      </c>
      <c r="CS75" s="17">
        <v>0</v>
      </c>
      <c r="CT75" s="105">
        <v>330</v>
      </c>
      <c r="CU75" s="128">
        <v>8</v>
      </c>
      <c r="CV75" s="109">
        <v>1</v>
      </c>
      <c r="CW75" s="15">
        <v>0</v>
      </c>
      <c r="CX75" s="15">
        <v>0</v>
      </c>
      <c r="CY75" s="17">
        <v>0</v>
      </c>
      <c r="CZ75" s="105">
        <v>5</v>
      </c>
      <c r="DA75" s="15">
        <v>0</v>
      </c>
      <c r="DB75" s="15">
        <v>0</v>
      </c>
      <c r="DC75" s="15">
        <v>0</v>
      </c>
      <c r="DD75" s="17">
        <v>0</v>
      </c>
      <c r="DE75" s="18">
        <v>0</v>
      </c>
      <c r="DF75" s="15">
        <v>0</v>
      </c>
      <c r="DG75" s="15">
        <v>0</v>
      </c>
      <c r="DH75" s="17">
        <v>0</v>
      </c>
      <c r="DI75" s="87">
        <f>DI74+57</f>
        <v>172</v>
      </c>
      <c r="DJ75" s="128">
        <f t="shared" si="83"/>
        <v>3</v>
      </c>
      <c r="DK75" s="15">
        <v>0</v>
      </c>
      <c r="DL75" s="106">
        <v>39</v>
      </c>
      <c r="DM75" s="132">
        <v>3</v>
      </c>
      <c r="DN75" s="133">
        <v>1</v>
      </c>
      <c r="DO75" s="105">
        <v>508</v>
      </c>
      <c r="DP75" s="128">
        <v>7</v>
      </c>
      <c r="DQ75" s="109">
        <v>5</v>
      </c>
      <c r="DR75" s="106">
        <v>127</v>
      </c>
      <c r="DS75" s="130">
        <v>21</v>
      </c>
      <c r="DT75" s="105">
        <v>29</v>
      </c>
      <c r="DU75" s="15">
        <v>0</v>
      </c>
      <c r="DV75" s="15">
        <v>0</v>
      </c>
      <c r="DW75" s="15">
        <v>0</v>
      </c>
      <c r="DX75" s="17">
        <v>0</v>
      </c>
      <c r="DY75" s="105">
        <v>270</v>
      </c>
      <c r="DZ75" s="128">
        <v>1</v>
      </c>
      <c r="EA75" s="15">
        <v>0</v>
      </c>
      <c r="EB75" s="41">
        <v>0</v>
      </c>
      <c r="EC75" s="17">
        <v>0</v>
      </c>
      <c r="ED75" s="102" t="s">
        <v>263</v>
      </c>
      <c r="EE75" s="127" t="s">
        <v>264</v>
      </c>
    </row>
    <row r="76" spans="1:135" ht="178.5">
      <c r="A76" s="97">
        <v>43907</v>
      </c>
      <c r="B76" s="14">
        <v>2700</v>
      </c>
      <c r="C76" s="34">
        <f t="shared" ref="C76:D76" si="85">SUM(J76,M76,P76,V76,AA76,AF76,AL76,AQ76,AW76,BA76,BE76,BJ76,BO76,BU76,BZ76,CD76,CI76,CN76,CQ76,CU76,DA76,DF76,DJ76,DP76,DU76,DZ76)</f>
        <v>36</v>
      </c>
      <c r="D76" s="73">
        <f t="shared" si="85"/>
        <v>41</v>
      </c>
      <c r="E76" s="100">
        <f t="shared" si="52"/>
        <v>2623</v>
      </c>
      <c r="F76" s="104">
        <f t="shared" si="57"/>
        <v>241</v>
      </c>
      <c r="G76" s="129">
        <f t="shared" si="70"/>
        <v>37</v>
      </c>
      <c r="H76" s="131">
        <f t="shared" si="73"/>
        <v>19</v>
      </c>
      <c r="I76" s="105">
        <v>5</v>
      </c>
      <c r="J76" s="15">
        <v>0</v>
      </c>
      <c r="K76" s="17">
        <v>0</v>
      </c>
      <c r="L76" s="105">
        <v>2</v>
      </c>
      <c r="M76" s="15">
        <v>0</v>
      </c>
      <c r="N76" s="17">
        <v>0</v>
      </c>
      <c r="O76" s="105">
        <v>67</v>
      </c>
      <c r="P76" s="15">
        <v>0</v>
      </c>
      <c r="Q76" s="109">
        <v>4</v>
      </c>
      <c r="R76" s="136">
        <v>2</v>
      </c>
      <c r="S76" s="15">
        <v>0</v>
      </c>
      <c r="T76" s="17">
        <v>0</v>
      </c>
      <c r="U76" s="105">
        <v>89</v>
      </c>
      <c r="V76" s="128">
        <v>2</v>
      </c>
      <c r="W76" s="109">
        <v>13</v>
      </c>
      <c r="X76" s="106">
        <v>26</v>
      </c>
      <c r="Y76" s="130">
        <v>5</v>
      </c>
      <c r="Z76" s="105">
        <v>165</v>
      </c>
      <c r="AA76" s="128">
        <v>4</v>
      </c>
      <c r="AB76" s="15">
        <v>0</v>
      </c>
      <c r="AC76" s="15">
        <v>0</v>
      </c>
      <c r="AD76" s="17">
        <v>0</v>
      </c>
      <c r="AE76" s="105">
        <v>131</v>
      </c>
      <c r="AF76" s="128">
        <v>1</v>
      </c>
      <c r="AG76" s="15">
        <v>0</v>
      </c>
      <c r="AH76" s="15">
        <v>0</v>
      </c>
      <c r="AI76" s="15">
        <v>0</v>
      </c>
      <c r="AJ76" s="17">
        <v>0</v>
      </c>
      <c r="AK76" s="105">
        <v>59</v>
      </c>
      <c r="AL76" s="15">
        <v>0</v>
      </c>
      <c r="AM76" s="15">
        <v>0</v>
      </c>
      <c r="AN76" s="15">
        <v>0</v>
      </c>
      <c r="AO76" s="17">
        <v>0</v>
      </c>
      <c r="AP76" s="87">
        <f>AP75+129</f>
        <v>611</v>
      </c>
      <c r="AQ76" s="128">
        <f>1+3</f>
        <v>4</v>
      </c>
      <c r="AR76" s="109">
        <v>1</v>
      </c>
      <c r="AS76" s="15">
        <v>0</v>
      </c>
      <c r="AT76" s="134"/>
      <c r="AU76" s="133">
        <v>17</v>
      </c>
      <c r="AV76" s="105">
        <v>5</v>
      </c>
      <c r="AW76" s="15">
        <v>0</v>
      </c>
      <c r="AX76" s="109">
        <v>2</v>
      </c>
      <c r="AY76" s="17">
        <v>0</v>
      </c>
      <c r="AZ76" s="105">
        <v>64</v>
      </c>
      <c r="BA76" s="128">
        <v>1</v>
      </c>
      <c r="BB76" s="15">
        <v>0</v>
      </c>
      <c r="BC76" s="17">
        <v>0</v>
      </c>
      <c r="BD76" s="105">
        <v>29</v>
      </c>
      <c r="BE76" s="15">
        <v>0</v>
      </c>
      <c r="BF76" s="15">
        <v>0</v>
      </c>
      <c r="BG76" s="106">
        <v>11</v>
      </c>
      <c r="BH76" s="17">
        <v>0</v>
      </c>
      <c r="BI76" s="105">
        <v>26</v>
      </c>
      <c r="BJ76" s="15">
        <v>0</v>
      </c>
      <c r="BK76" s="15">
        <v>0</v>
      </c>
      <c r="BL76" s="15">
        <v>0</v>
      </c>
      <c r="BM76" s="17">
        <v>0</v>
      </c>
      <c r="BN76" s="105">
        <f>BN75+21</f>
        <v>114</v>
      </c>
      <c r="BO76" s="128">
        <v>1</v>
      </c>
      <c r="BP76" s="15">
        <v>0</v>
      </c>
      <c r="BQ76" s="106">
        <v>16</v>
      </c>
      <c r="BR76" s="132">
        <v>4</v>
      </c>
      <c r="BS76" s="17">
        <v>0</v>
      </c>
      <c r="BT76" s="105">
        <v>8</v>
      </c>
      <c r="BU76" s="15">
        <v>0</v>
      </c>
      <c r="BV76" s="15">
        <v>0</v>
      </c>
      <c r="BW76" s="15">
        <v>0</v>
      </c>
      <c r="BX76" s="17">
        <v>0</v>
      </c>
      <c r="BY76" s="105">
        <v>8</v>
      </c>
      <c r="BZ76" s="15">
        <v>0</v>
      </c>
      <c r="CA76" s="109">
        <v>7</v>
      </c>
      <c r="CB76" s="17">
        <v>0</v>
      </c>
      <c r="CC76" s="105">
        <v>47</v>
      </c>
      <c r="CD76" s="15">
        <v>0</v>
      </c>
      <c r="CE76" s="15">
        <v>0</v>
      </c>
      <c r="CF76" s="15">
        <v>0</v>
      </c>
      <c r="CG76" s="17">
        <v>0</v>
      </c>
      <c r="CH76" s="105">
        <v>2</v>
      </c>
      <c r="CI76" s="15">
        <v>0</v>
      </c>
      <c r="CJ76" s="15">
        <v>0</v>
      </c>
      <c r="CK76" s="15">
        <v>0</v>
      </c>
      <c r="CL76" s="17">
        <v>0</v>
      </c>
      <c r="CM76" s="105">
        <v>13</v>
      </c>
      <c r="CN76" s="15">
        <v>0</v>
      </c>
      <c r="CO76" s="138">
        <v>4</v>
      </c>
      <c r="CP76" s="105">
        <v>19</v>
      </c>
      <c r="CQ76" s="15">
        <v>0</v>
      </c>
      <c r="CR76" s="15">
        <v>0</v>
      </c>
      <c r="CS76" s="17">
        <v>0</v>
      </c>
      <c r="CT76" s="105">
        <v>422</v>
      </c>
      <c r="CU76" s="128">
        <v>10</v>
      </c>
      <c r="CV76" s="109">
        <v>1</v>
      </c>
      <c r="CW76" s="15">
        <v>0</v>
      </c>
      <c r="CX76" s="15">
        <v>0</v>
      </c>
      <c r="CY76" s="17">
        <v>0</v>
      </c>
      <c r="CZ76" s="105">
        <v>23</v>
      </c>
      <c r="DA76" s="15">
        <v>0</v>
      </c>
      <c r="DB76" s="15">
        <v>0</v>
      </c>
      <c r="DC76" s="15">
        <v>0</v>
      </c>
      <c r="DD76" s="17">
        <v>0</v>
      </c>
      <c r="DE76" s="105">
        <v>2</v>
      </c>
      <c r="DF76" s="15">
        <v>0</v>
      </c>
      <c r="DG76" s="15">
        <v>0</v>
      </c>
      <c r="DH76" s="17">
        <v>0</v>
      </c>
      <c r="DI76" s="87">
        <f>DI75+53</f>
        <v>225</v>
      </c>
      <c r="DJ76" s="128">
        <f>DJ75</f>
        <v>3</v>
      </c>
      <c r="DK76" s="15">
        <v>0</v>
      </c>
      <c r="DL76" s="106">
        <v>45</v>
      </c>
      <c r="DM76" s="132">
        <v>3</v>
      </c>
      <c r="DN76" s="133">
        <v>2</v>
      </c>
      <c r="DO76" s="105">
        <v>608</v>
      </c>
      <c r="DP76" s="128">
        <v>9</v>
      </c>
      <c r="DQ76" s="109">
        <v>9</v>
      </c>
      <c r="DR76" s="106">
        <v>141</v>
      </c>
      <c r="DS76" s="130">
        <v>25</v>
      </c>
      <c r="DT76" s="105">
        <v>33</v>
      </c>
      <c r="DU76" s="15">
        <v>0</v>
      </c>
      <c r="DV76" s="15">
        <v>0</v>
      </c>
      <c r="DW76" s="15">
        <v>0</v>
      </c>
      <c r="DX76" s="17">
        <v>0</v>
      </c>
      <c r="DY76" s="105">
        <v>294</v>
      </c>
      <c r="DZ76" s="128">
        <v>1</v>
      </c>
      <c r="EA76" s="15">
        <v>0</v>
      </c>
      <c r="EB76" s="41">
        <v>0</v>
      </c>
      <c r="EC76" s="17">
        <v>0</v>
      </c>
      <c r="ED76" s="102" t="s">
        <v>265</v>
      </c>
      <c r="EE76" s="127" t="s">
        <v>266</v>
      </c>
    </row>
    <row r="77" spans="1:135" ht="63.75">
      <c r="A77" s="97">
        <v>43908</v>
      </c>
      <c r="B77" s="14">
        <f t="shared" ref="B77:D77" si="86">SUM(I77,L77,O77,U77,Z77,AE77,AK77,AP77,AV77,AZ77,BD77,BI77,BN77,BT77,BY77,CC77,CH77,CM77,CP77,CT77,CZ77,DE77,DI77,DO77,DT77,DY77)</f>
        <v>4039</v>
      </c>
      <c r="C77" s="34">
        <f t="shared" si="86"/>
        <v>46</v>
      </c>
      <c r="D77" s="73">
        <f t="shared" si="86"/>
        <v>51</v>
      </c>
      <c r="E77" s="100">
        <f t="shared" si="52"/>
        <v>3942</v>
      </c>
      <c r="F77" s="104">
        <f t="shared" si="57"/>
        <v>285</v>
      </c>
      <c r="G77" s="129">
        <f t="shared" si="70"/>
        <v>38</v>
      </c>
      <c r="H77" s="131">
        <f t="shared" si="73"/>
        <v>19</v>
      </c>
      <c r="I77" s="105">
        <v>5</v>
      </c>
      <c r="J77" s="15">
        <v>0</v>
      </c>
      <c r="K77" s="17">
        <v>0</v>
      </c>
      <c r="L77" s="105">
        <v>2</v>
      </c>
      <c r="M77" s="15">
        <v>0</v>
      </c>
      <c r="N77" s="17">
        <v>0</v>
      </c>
      <c r="O77" s="105">
        <v>101</v>
      </c>
      <c r="P77" s="15">
        <v>0</v>
      </c>
      <c r="Q77" s="109">
        <v>4</v>
      </c>
      <c r="R77" s="136">
        <v>6</v>
      </c>
      <c r="S77" s="15">
        <v>0</v>
      </c>
      <c r="T77" s="17">
        <v>0</v>
      </c>
      <c r="U77" s="105">
        <v>116</v>
      </c>
      <c r="V77" s="128">
        <v>2</v>
      </c>
      <c r="W77" s="109">
        <v>16</v>
      </c>
      <c r="X77" s="106">
        <v>27</v>
      </c>
      <c r="Y77" s="130">
        <v>2</v>
      </c>
      <c r="Z77" s="105">
        <v>182</v>
      </c>
      <c r="AA77" s="128">
        <v>4</v>
      </c>
      <c r="AB77" s="15">
        <v>0</v>
      </c>
      <c r="AC77" s="15">
        <v>0</v>
      </c>
      <c r="AD77" s="17">
        <v>0</v>
      </c>
      <c r="AE77" s="105">
        <v>193</v>
      </c>
      <c r="AF77" s="128">
        <v>1</v>
      </c>
      <c r="AG77" s="15">
        <v>0</v>
      </c>
      <c r="AH77" s="15">
        <v>0</v>
      </c>
      <c r="AI77" s="15">
        <v>0</v>
      </c>
      <c r="AJ77" s="17">
        <v>0</v>
      </c>
      <c r="AK77" s="105">
        <v>86</v>
      </c>
      <c r="AL77" s="15">
        <v>0</v>
      </c>
      <c r="AM77" s="15">
        <v>0</v>
      </c>
      <c r="AN77" s="106">
        <v>11</v>
      </c>
      <c r="AO77" s="130">
        <v>5</v>
      </c>
      <c r="AP77" s="87">
        <f>AP76+172</f>
        <v>783</v>
      </c>
      <c r="AQ77" s="128">
        <f>1+4</f>
        <v>5</v>
      </c>
      <c r="AR77" s="109">
        <v>1</v>
      </c>
      <c r="AS77" s="15">
        <v>0</v>
      </c>
      <c r="AT77" s="134"/>
      <c r="AU77" s="133">
        <v>17</v>
      </c>
      <c r="AV77" s="105">
        <v>5</v>
      </c>
      <c r="AW77" s="15">
        <v>0</v>
      </c>
      <c r="AX77" s="109">
        <v>2</v>
      </c>
      <c r="AY77" s="17">
        <v>0</v>
      </c>
      <c r="AZ77" s="105">
        <v>64</v>
      </c>
      <c r="BA77" s="128">
        <v>1</v>
      </c>
      <c r="BB77" s="15">
        <v>0</v>
      </c>
      <c r="BC77" s="17">
        <v>0</v>
      </c>
      <c r="BD77" s="105">
        <v>32</v>
      </c>
      <c r="BE77" s="15">
        <v>0</v>
      </c>
      <c r="BF77" s="15">
        <v>0</v>
      </c>
      <c r="BG77" s="106">
        <v>11</v>
      </c>
      <c r="BH77" s="17">
        <v>0</v>
      </c>
      <c r="BI77" s="105">
        <v>65</v>
      </c>
      <c r="BJ77" s="15">
        <v>0</v>
      </c>
      <c r="BK77" s="15">
        <v>0</v>
      </c>
      <c r="BL77" s="15">
        <v>0</v>
      </c>
      <c r="BM77" s="17">
        <v>0</v>
      </c>
      <c r="BN77" s="105">
        <f>BN76+32</f>
        <v>146</v>
      </c>
      <c r="BO77" s="128">
        <v>2</v>
      </c>
      <c r="BP77" s="15">
        <v>0</v>
      </c>
      <c r="BQ77" s="106">
        <v>18</v>
      </c>
      <c r="BR77" s="132">
        <v>3</v>
      </c>
      <c r="BS77" s="17">
        <v>0</v>
      </c>
      <c r="BT77" s="105">
        <v>18</v>
      </c>
      <c r="BU77" s="15">
        <v>0</v>
      </c>
      <c r="BV77" s="15">
        <v>0</v>
      </c>
      <c r="BW77" s="15">
        <v>0</v>
      </c>
      <c r="BX77" s="17">
        <v>0</v>
      </c>
      <c r="BY77" s="105">
        <v>8</v>
      </c>
      <c r="BZ77" s="15">
        <v>0</v>
      </c>
      <c r="CA77" s="109">
        <v>7</v>
      </c>
      <c r="CB77" s="17">
        <v>0</v>
      </c>
      <c r="CC77" s="105">
        <v>61</v>
      </c>
      <c r="CD77" s="15">
        <v>0</v>
      </c>
      <c r="CE77" s="15">
        <v>0</v>
      </c>
      <c r="CF77" s="15">
        <v>0</v>
      </c>
      <c r="CG77" s="17">
        <v>0</v>
      </c>
      <c r="CH77" s="105">
        <v>2</v>
      </c>
      <c r="CI77" s="15">
        <v>0</v>
      </c>
      <c r="CJ77" s="15">
        <v>0</v>
      </c>
      <c r="CK77" s="15">
        <v>0</v>
      </c>
      <c r="CL77" s="17">
        <v>0</v>
      </c>
      <c r="CM77" s="105">
        <v>13</v>
      </c>
      <c r="CN77" s="15">
        <v>0</v>
      </c>
      <c r="CO77" s="138">
        <v>4</v>
      </c>
      <c r="CP77" s="105">
        <v>43</v>
      </c>
      <c r="CQ77" s="15">
        <v>0</v>
      </c>
      <c r="CR77" s="15">
        <v>0</v>
      </c>
      <c r="CS77" s="17">
        <v>0</v>
      </c>
      <c r="CT77" s="105">
        <v>511</v>
      </c>
      <c r="CU77" s="128">
        <v>14</v>
      </c>
      <c r="CV77" s="109">
        <v>1</v>
      </c>
      <c r="CW77" s="15">
        <v>0</v>
      </c>
      <c r="CX77" s="15">
        <v>0</v>
      </c>
      <c r="CY77" s="17">
        <v>0</v>
      </c>
      <c r="CZ77" s="105">
        <v>32</v>
      </c>
      <c r="DA77" s="15">
        <v>0</v>
      </c>
      <c r="DB77" s="15">
        <v>0</v>
      </c>
      <c r="DC77" s="15">
        <v>0</v>
      </c>
      <c r="DD77" s="17">
        <v>0</v>
      </c>
      <c r="DE77" s="105">
        <v>2</v>
      </c>
      <c r="DF77" s="15">
        <v>0</v>
      </c>
      <c r="DG77" s="15">
        <v>0</v>
      </c>
      <c r="DH77" s="17">
        <v>0</v>
      </c>
      <c r="DI77" s="87">
        <f>DI76+87</f>
        <v>312</v>
      </c>
      <c r="DJ77" s="128">
        <f>DJ76+1</f>
        <v>4</v>
      </c>
      <c r="DK77" s="15">
        <v>0</v>
      </c>
      <c r="DL77" s="106">
        <v>57</v>
      </c>
      <c r="DM77" s="132">
        <v>3</v>
      </c>
      <c r="DN77" s="133">
        <v>2</v>
      </c>
      <c r="DO77" s="105">
        <v>796</v>
      </c>
      <c r="DP77" s="128">
        <v>12</v>
      </c>
      <c r="DQ77" s="109">
        <v>16</v>
      </c>
      <c r="DR77" s="106">
        <v>154</v>
      </c>
      <c r="DS77" s="130">
        <v>25</v>
      </c>
      <c r="DT77" s="105">
        <v>37</v>
      </c>
      <c r="DU77" s="15">
        <v>0</v>
      </c>
      <c r="DV77" s="15">
        <v>0</v>
      </c>
      <c r="DW77" s="106">
        <v>1</v>
      </c>
      <c r="DX77" s="17">
        <v>0</v>
      </c>
      <c r="DY77" s="105">
        <v>424</v>
      </c>
      <c r="DZ77" s="128">
        <v>1</v>
      </c>
      <c r="EA77" s="15">
        <v>0</v>
      </c>
      <c r="EB77" s="41">
        <v>0</v>
      </c>
      <c r="EC77" s="17">
        <v>0</v>
      </c>
      <c r="ED77" s="102" t="s">
        <v>267</v>
      </c>
      <c r="EE77" s="77" t="s">
        <v>268</v>
      </c>
    </row>
    <row r="78" spans="1:135" ht="76.5">
      <c r="A78" s="97">
        <v>43909</v>
      </c>
      <c r="B78" s="14">
        <f t="shared" ref="B78:D78" si="87">SUM(I78,L78,O78,U78,Z78,AE78,AK78,AP78,AV78,AZ78,BD78,BI78,BN78,BT78,BY78,CC78,CH78,CM78,CP78,CT78,CZ78,DE78,DI78,DO78,DT78,DY78)</f>
        <v>5233</v>
      </c>
      <c r="C78" s="34">
        <f t="shared" si="87"/>
        <v>55</v>
      </c>
      <c r="D78" s="73">
        <f t="shared" si="87"/>
        <v>88</v>
      </c>
      <c r="E78" s="100">
        <f t="shared" si="52"/>
        <v>5090</v>
      </c>
      <c r="F78" s="104">
        <f t="shared" si="57"/>
        <v>314</v>
      </c>
      <c r="G78" s="129">
        <f t="shared" si="70"/>
        <v>47</v>
      </c>
      <c r="H78" s="131">
        <f t="shared" si="73"/>
        <v>26</v>
      </c>
      <c r="I78" s="105">
        <v>5</v>
      </c>
      <c r="J78" s="15">
        <v>0</v>
      </c>
      <c r="K78" s="17">
        <v>0</v>
      </c>
      <c r="L78" s="105">
        <v>2</v>
      </c>
      <c r="M78" s="15">
        <v>0</v>
      </c>
      <c r="N78" s="17">
        <v>0</v>
      </c>
      <c r="O78" s="105">
        <v>118</v>
      </c>
      <c r="P78" s="15">
        <v>0</v>
      </c>
      <c r="Q78" s="109">
        <v>4</v>
      </c>
      <c r="R78" s="106">
        <v>17</v>
      </c>
      <c r="S78" s="132">
        <v>6</v>
      </c>
      <c r="T78" s="133">
        <v>3</v>
      </c>
      <c r="U78" s="105">
        <v>134</v>
      </c>
      <c r="V78" s="128">
        <v>2</v>
      </c>
      <c r="W78" s="109">
        <v>16</v>
      </c>
      <c r="X78" s="106">
        <v>19</v>
      </c>
      <c r="Y78" s="130">
        <v>2</v>
      </c>
      <c r="Z78" s="105">
        <v>222</v>
      </c>
      <c r="AA78" s="128">
        <v>4</v>
      </c>
      <c r="AB78" s="15">
        <v>0</v>
      </c>
      <c r="AC78" s="15">
        <v>0</v>
      </c>
      <c r="AD78" s="17">
        <v>0</v>
      </c>
      <c r="AE78" s="105">
        <v>282</v>
      </c>
      <c r="AF78" s="128">
        <v>1</v>
      </c>
      <c r="AG78" s="15">
        <v>0</v>
      </c>
      <c r="AH78" s="15">
        <v>0</v>
      </c>
      <c r="AI78" s="15">
        <v>0</v>
      </c>
      <c r="AJ78" s="17">
        <v>0</v>
      </c>
      <c r="AK78" s="105">
        <v>111</v>
      </c>
      <c r="AL78" s="128">
        <v>1</v>
      </c>
      <c r="AM78" s="15">
        <v>0</v>
      </c>
      <c r="AN78" s="106">
        <v>12</v>
      </c>
      <c r="AO78" s="130">
        <v>5</v>
      </c>
      <c r="AP78" s="87">
        <f>AP77+223</f>
        <v>1006</v>
      </c>
      <c r="AQ78" s="128">
        <f>1+5</f>
        <v>6</v>
      </c>
      <c r="AR78" s="109">
        <v>1</v>
      </c>
      <c r="AS78" s="15">
        <v>0</v>
      </c>
      <c r="AT78" s="134"/>
      <c r="AU78" s="133">
        <v>18</v>
      </c>
      <c r="AV78" s="105">
        <v>17</v>
      </c>
      <c r="AW78" s="15">
        <v>0</v>
      </c>
      <c r="AX78" s="109">
        <v>3</v>
      </c>
      <c r="AY78" s="17">
        <v>0</v>
      </c>
      <c r="AZ78" s="105">
        <v>64</v>
      </c>
      <c r="BA78" s="128">
        <v>1</v>
      </c>
      <c r="BB78" s="15">
        <v>0</v>
      </c>
      <c r="BC78" s="17">
        <v>0</v>
      </c>
      <c r="BD78" s="105">
        <v>36</v>
      </c>
      <c r="BE78" s="15">
        <v>0</v>
      </c>
      <c r="BF78" s="15">
        <v>0</v>
      </c>
      <c r="BG78" s="106">
        <v>12</v>
      </c>
      <c r="BH78" s="17">
        <v>0</v>
      </c>
      <c r="BI78" s="105">
        <v>65</v>
      </c>
      <c r="BJ78" s="15">
        <v>0</v>
      </c>
      <c r="BK78" s="15">
        <v>0</v>
      </c>
      <c r="BL78" s="15">
        <v>0</v>
      </c>
      <c r="BM78" s="17">
        <v>0</v>
      </c>
      <c r="BN78" s="105">
        <f>BN77+29</f>
        <v>175</v>
      </c>
      <c r="BO78" s="128">
        <v>3</v>
      </c>
      <c r="BP78" s="15">
        <v>0</v>
      </c>
      <c r="BQ78" s="106">
        <v>19</v>
      </c>
      <c r="BR78" s="132">
        <v>3</v>
      </c>
      <c r="BS78" s="17">
        <v>0</v>
      </c>
      <c r="BT78" s="105">
        <v>25</v>
      </c>
      <c r="BU78" s="15">
        <v>0</v>
      </c>
      <c r="BV78" s="15">
        <v>0</v>
      </c>
      <c r="BW78" s="15">
        <v>0</v>
      </c>
      <c r="BX78" s="17">
        <v>0</v>
      </c>
      <c r="BY78" s="105">
        <v>8</v>
      </c>
      <c r="BZ78" s="15">
        <v>0</v>
      </c>
      <c r="CA78" s="109">
        <v>7</v>
      </c>
      <c r="CB78" s="17">
        <v>0</v>
      </c>
      <c r="CC78" s="105">
        <v>85</v>
      </c>
      <c r="CD78" s="15">
        <v>0</v>
      </c>
      <c r="CE78" s="15">
        <v>0</v>
      </c>
      <c r="CF78" s="15">
        <v>0</v>
      </c>
      <c r="CG78" s="17">
        <v>0</v>
      </c>
      <c r="CH78" s="105">
        <v>6</v>
      </c>
      <c r="CI78" s="15">
        <v>0</v>
      </c>
      <c r="CJ78" s="15">
        <v>0</v>
      </c>
      <c r="CK78" s="15">
        <v>0</v>
      </c>
      <c r="CL78" s="17">
        <v>0</v>
      </c>
      <c r="CM78" s="105">
        <v>13</v>
      </c>
      <c r="CN78" s="15">
        <v>0</v>
      </c>
      <c r="CO78" s="138">
        <v>4</v>
      </c>
      <c r="CP78" s="105">
        <v>43</v>
      </c>
      <c r="CQ78" s="15">
        <v>0</v>
      </c>
      <c r="CR78" s="15">
        <v>0</v>
      </c>
      <c r="CS78" s="17">
        <v>0</v>
      </c>
      <c r="CT78" s="105">
        <v>638</v>
      </c>
      <c r="CU78" s="128">
        <v>15</v>
      </c>
      <c r="CV78" s="109">
        <v>1</v>
      </c>
      <c r="CW78" s="15">
        <v>0</v>
      </c>
      <c r="CX78" s="15">
        <v>0</v>
      </c>
      <c r="CY78" s="17">
        <v>0</v>
      </c>
      <c r="CZ78" s="105">
        <v>36</v>
      </c>
      <c r="DA78" s="15">
        <v>0</v>
      </c>
      <c r="DB78" s="15">
        <v>0</v>
      </c>
      <c r="DC78" s="15">
        <v>0</v>
      </c>
      <c r="DD78" s="17">
        <v>0</v>
      </c>
      <c r="DE78" s="105">
        <v>7</v>
      </c>
      <c r="DF78" s="15">
        <v>0</v>
      </c>
      <c r="DG78" s="15">
        <v>0</v>
      </c>
      <c r="DH78" s="17">
        <v>0</v>
      </c>
      <c r="DI78" s="87">
        <f>DI77+37</f>
        <v>349</v>
      </c>
      <c r="DJ78" s="128">
        <f>DJ77+2</f>
        <v>6</v>
      </c>
      <c r="DK78" s="15">
        <v>0</v>
      </c>
      <c r="DL78" s="106">
        <v>63</v>
      </c>
      <c r="DM78" s="132">
        <v>6</v>
      </c>
      <c r="DN78" s="133">
        <v>5</v>
      </c>
      <c r="DO78" s="105">
        <v>1212</v>
      </c>
      <c r="DP78" s="128">
        <v>13</v>
      </c>
      <c r="DQ78" s="109">
        <v>52</v>
      </c>
      <c r="DR78" s="106">
        <v>171</v>
      </c>
      <c r="DS78" s="130">
        <v>25</v>
      </c>
      <c r="DT78" s="105">
        <v>48</v>
      </c>
      <c r="DU78" s="15">
        <v>0</v>
      </c>
      <c r="DV78" s="15">
        <v>0</v>
      </c>
      <c r="DW78" s="106">
        <v>1</v>
      </c>
      <c r="DX78" s="17">
        <v>0</v>
      </c>
      <c r="DY78" s="105">
        <v>526</v>
      </c>
      <c r="DZ78" s="128">
        <v>3</v>
      </c>
      <c r="EA78" s="15">
        <v>0</v>
      </c>
      <c r="EB78" s="41">
        <v>0</v>
      </c>
      <c r="EC78" s="17">
        <v>0</v>
      </c>
      <c r="ED78" s="102" t="s">
        <v>269</v>
      </c>
      <c r="EE78" s="127" t="s">
        <v>270</v>
      </c>
    </row>
    <row r="79" spans="1:135" ht="76.5">
      <c r="A79" s="97">
        <v>43910</v>
      </c>
      <c r="B79" s="14">
        <f t="shared" ref="B79:D79" si="88">SUM(I79,L79,O79,U79,Z79,AE79,AK79,AP79,AV79,AZ79,BD79,BI79,BN79,BT79,BY79,CC79,CH79,CM79,CP79,CT79,CZ79,DE79,DI79,DO79,DT79,DY79)</f>
        <v>6407</v>
      </c>
      <c r="C79" s="34">
        <f t="shared" si="88"/>
        <v>72</v>
      </c>
      <c r="D79" s="73">
        <f t="shared" si="88"/>
        <v>100</v>
      </c>
      <c r="E79" s="100">
        <f t="shared" si="52"/>
        <v>6235</v>
      </c>
      <c r="F79" s="104">
        <f t="shared" si="57"/>
        <v>612</v>
      </c>
      <c r="G79" s="129">
        <f t="shared" si="70"/>
        <v>95</v>
      </c>
      <c r="H79" s="131">
        <f t="shared" si="73"/>
        <v>71</v>
      </c>
      <c r="I79" s="105">
        <v>5</v>
      </c>
      <c r="J79" s="15">
        <v>0</v>
      </c>
      <c r="K79" s="17">
        <v>0</v>
      </c>
      <c r="L79" s="105">
        <v>2</v>
      </c>
      <c r="M79" s="15">
        <v>0</v>
      </c>
      <c r="N79" s="17">
        <v>0</v>
      </c>
      <c r="O79" s="105">
        <v>168</v>
      </c>
      <c r="P79" s="128">
        <v>1</v>
      </c>
      <c r="Q79" s="109">
        <v>4</v>
      </c>
      <c r="R79" s="106">
        <v>25</v>
      </c>
      <c r="S79" s="132">
        <v>4</v>
      </c>
      <c r="T79" s="133">
        <v>2</v>
      </c>
      <c r="U79" s="105">
        <v>184</v>
      </c>
      <c r="V79" s="128">
        <v>3</v>
      </c>
      <c r="W79" s="109">
        <v>18</v>
      </c>
      <c r="X79" s="106">
        <v>27</v>
      </c>
      <c r="Y79" s="130">
        <v>2</v>
      </c>
      <c r="Z79" s="105">
        <v>272</v>
      </c>
      <c r="AA79" s="128">
        <v>4</v>
      </c>
      <c r="AB79" s="15">
        <v>0</v>
      </c>
      <c r="AC79" s="15">
        <v>0</v>
      </c>
      <c r="AD79" s="17">
        <v>0</v>
      </c>
      <c r="AE79" s="105">
        <v>282</v>
      </c>
      <c r="AF79" s="128">
        <v>1</v>
      </c>
      <c r="AG79" s="15">
        <v>0</v>
      </c>
      <c r="AH79" s="15">
        <v>0</v>
      </c>
      <c r="AI79" s="15">
        <v>0</v>
      </c>
      <c r="AJ79" s="17">
        <v>0</v>
      </c>
      <c r="AK79" s="105">
        <v>145</v>
      </c>
      <c r="AL79" s="128">
        <v>1</v>
      </c>
      <c r="AM79" s="15">
        <v>0</v>
      </c>
      <c r="AN79" s="106">
        <v>20</v>
      </c>
      <c r="AO79" s="130">
        <v>6</v>
      </c>
      <c r="AP79" s="87">
        <f>AP78+126</f>
        <v>1132</v>
      </c>
      <c r="AQ79" s="128">
        <f t="shared" ref="AQ79:AQ80" si="89">1+7</f>
        <v>8</v>
      </c>
      <c r="AR79" s="109">
        <v>1</v>
      </c>
      <c r="AS79" s="15">
        <v>0</v>
      </c>
      <c r="AT79" s="134"/>
      <c r="AU79" s="133">
        <v>21</v>
      </c>
      <c r="AV79" s="105">
        <v>17</v>
      </c>
      <c r="AW79" s="15">
        <v>0</v>
      </c>
      <c r="AX79" s="109">
        <v>3</v>
      </c>
      <c r="AY79" s="17">
        <v>0</v>
      </c>
      <c r="AZ79" s="105">
        <v>64</v>
      </c>
      <c r="BA79" s="128">
        <v>1</v>
      </c>
      <c r="BB79" s="15">
        <v>0</v>
      </c>
      <c r="BC79" s="17">
        <v>0</v>
      </c>
      <c r="BD79" s="105">
        <v>44</v>
      </c>
      <c r="BE79" s="15">
        <v>0</v>
      </c>
      <c r="BF79" s="15">
        <v>0</v>
      </c>
      <c r="BG79" s="106">
        <v>14</v>
      </c>
      <c r="BH79" s="130">
        <v>1</v>
      </c>
      <c r="BI79" s="105">
        <v>92</v>
      </c>
      <c r="BJ79" s="15">
        <v>0</v>
      </c>
      <c r="BK79" s="15">
        <v>0</v>
      </c>
      <c r="BL79" s="15">
        <v>0</v>
      </c>
      <c r="BM79" s="17">
        <v>0</v>
      </c>
      <c r="BN79" s="105">
        <f>BN78+14</f>
        <v>189</v>
      </c>
      <c r="BO79" s="128">
        <v>3</v>
      </c>
      <c r="BP79" s="15">
        <v>0</v>
      </c>
      <c r="BQ79" s="106">
        <v>21</v>
      </c>
      <c r="BR79" s="132">
        <v>4</v>
      </c>
      <c r="BS79" s="17">
        <v>0</v>
      </c>
      <c r="BT79" s="105">
        <v>28</v>
      </c>
      <c r="BU79" s="15">
        <v>0</v>
      </c>
      <c r="BV79" s="15">
        <v>0</v>
      </c>
      <c r="BW79" s="15">
        <v>0</v>
      </c>
      <c r="BX79" s="17">
        <v>0</v>
      </c>
      <c r="BY79" s="105">
        <v>8</v>
      </c>
      <c r="BZ79" s="15">
        <v>0</v>
      </c>
      <c r="CA79" s="109">
        <v>7</v>
      </c>
      <c r="CB79" s="17">
        <v>0</v>
      </c>
      <c r="CC79" s="105">
        <v>98</v>
      </c>
      <c r="CD79" s="15">
        <v>0</v>
      </c>
      <c r="CE79" s="15">
        <v>0</v>
      </c>
      <c r="CF79" s="15">
        <v>0</v>
      </c>
      <c r="CG79" s="17">
        <v>0</v>
      </c>
      <c r="CH79" s="105">
        <v>14</v>
      </c>
      <c r="CI79" s="15">
        <v>0</v>
      </c>
      <c r="CJ79" s="15">
        <v>0</v>
      </c>
      <c r="CK79" s="15">
        <v>0</v>
      </c>
      <c r="CL79" s="17">
        <v>0</v>
      </c>
      <c r="CM79" s="105">
        <v>13</v>
      </c>
      <c r="CN79" s="15">
        <v>0</v>
      </c>
      <c r="CO79" s="138">
        <v>4</v>
      </c>
      <c r="CP79" s="105">
        <v>66</v>
      </c>
      <c r="CQ79" s="15">
        <v>0</v>
      </c>
      <c r="CR79" s="15">
        <v>0</v>
      </c>
      <c r="CS79" s="17">
        <v>0</v>
      </c>
      <c r="CT79" s="105">
        <v>834</v>
      </c>
      <c r="CU79" s="128">
        <v>22</v>
      </c>
      <c r="CV79" s="109">
        <v>1</v>
      </c>
      <c r="CW79" s="106">
        <v>246</v>
      </c>
      <c r="CX79" s="132">
        <v>46</v>
      </c>
      <c r="CY79" s="133">
        <v>43</v>
      </c>
      <c r="CZ79" s="105">
        <v>49</v>
      </c>
      <c r="DA79" s="15">
        <v>0</v>
      </c>
      <c r="DB79" s="15">
        <v>0</v>
      </c>
      <c r="DC79" s="15">
        <v>0</v>
      </c>
      <c r="DD79" s="17">
        <v>0</v>
      </c>
      <c r="DE79" s="105">
        <v>7</v>
      </c>
      <c r="DF79" s="15">
        <v>0</v>
      </c>
      <c r="DG79" s="15">
        <v>0</v>
      </c>
      <c r="DH79" s="17">
        <v>0</v>
      </c>
      <c r="DI79" s="87">
        <f>DI78+87</f>
        <v>436</v>
      </c>
      <c r="DJ79" s="128">
        <f>DJ78+1</f>
        <v>7</v>
      </c>
      <c r="DK79" s="15">
        <v>0</v>
      </c>
      <c r="DL79" s="106">
        <v>72</v>
      </c>
      <c r="DM79" s="132">
        <v>7</v>
      </c>
      <c r="DN79" s="133">
        <v>5</v>
      </c>
      <c r="DO79" s="105">
        <v>1432</v>
      </c>
      <c r="DP79" s="128">
        <v>18</v>
      </c>
      <c r="DQ79" s="109">
        <v>62</v>
      </c>
      <c r="DR79" s="106">
        <v>184</v>
      </c>
      <c r="DS79" s="130">
        <v>25</v>
      </c>
      <c r="DT79" s="105">
        <v>53</v>
      </c>
      <c r="DU79" s="15">
        <v>0</v>
      </c>
      <c r="DV79" s="15">
        <v>0</v>
      </c>
      <c r="DW79" s="106">
        <v>3</v>
      </c>
      <c r="DX79" s="17">
        <v>0</v>
      </c>
      <c r="DY79" s="105">
        <v>773</v>
      </c>
      <c r="DZ79" s="128">
        <v>3</v>
      </c>
      <c r="EA79" s="15">
        <v>0</v>
      </c>
      <c r="EB79" s="41">
        <v>0</v>
      </c>
      <c r="EC79" s="17">
        <v>0</v>
      </c>
      <c r="ED79" s="102" t="s">
        <v>271</v>
      </c>
      <c r="EE79" s="127"/>
    </row>
    <row r="80" spans="1:135" ht="76.5">
      <c r="A80" s="97">
        <v>43911</v>
      </c>
      <c r="B80" s="14">
        <f t="shared" ref="B80:B110" si="90">SUM(I80,L80,O80,U80,Z80,AE80,AK80,AP80,AV80,AZ80,BD80,BI80,BN80,BT80,BY80,CC80,CH80,CM80,CP80,CT80,CZ80,DE80,DI80,DO80,DT80,DY80)</f>
        <v>6988</v>
      </c>
      <c r="C80" s="34">
        <v>72</v>
      </c>
      <c r="D80" s="73">
        <f>SUM(K80,N80,Q80,W80,AB80,AG80,AM80,AR80,AX80,BB80,BF80,BK80,BP80,BV80,CA80,CE80,CJ80,CO80,CR80,CV80,DB80,DG80,DK80,DQ80,DV80,EA80)</f>
        <v>111</v>
      </c>
      <c r="E80" s="100">
        <f t="shared" si="52"/>
        <v>6805</v>
      </c>
      <c r="F80" s="104">
        <f t="shared" si="57"/>
        <v>660</v>
      </c>
      <c r="G80" s="129">
        <f t="shared" si="70"/>
        <v>100</v>
      </c>
      <c r="H80" s="131">
        <f t="shared" si="73"/>
        <v>75</v>
      </c>
      <c r="I80" s="105">
        <v>5</v>
      </c>
      <c r="J80" s="128">
        <v>1</v>
      </c>
      <c r="K80" s="17">
        <v>0</v>
      </c>
      <c r="L80" s="105">
        <v>2</v>
      </c>
      <c r="M80" s="15">
        <v>0</v>
      </c>
      <c r="N80" s="17">
        <v>0</v>
      </c>
      <c r="O80" s="105">
        <v>168</v>
      </c>
      <c r="P80" s="128">
        <v>1</v>
      </c>
      <c r="Q80" s="109">
        <v>4</v>
      </c>
      <c r="R80" s="106">
        <v>25</v>
      </c>
      <c r="S80" s="132">
        <v>4</v>
      </c>
      <c r="T80" s="133">
        <v>2</v>
      </c>
      <c r="U80" s="105">
        <v>282</v>
      </c>
      <c r="V80" s="128">
        <v>3</v>
      </c>
      <c r="W80" s="109">
        <v>21</v>
      </c>
      <c r="X80" s="106">
        <v>30</v>
      </c>
      <c r="Y80" s="130">
        <v>4</v>
      </c>
      <c r="Z80" s="105">
        <v>272</v>
      </c>
      <c r="AA80" s="128">
        <v>4</v>
      </c>
      <c r="AB80" s="15">
        <v>0</v>
      </c>
      <c r="AC80" s="15">
        <v>0</v>
      </c>
      <c r="AD80" s="17">
        <v>0</v>
      </c>
      <c r="AE80" s="105">
        <v>282</v>
      </c>
      <c r="AF80" s="128">
        <v>1</v>
      </c>
      <c r="AG80" s="15">
        <v>0</v>
      </c>
      <c r="AH80" s="15">
        <v>0</v>
      </c>
      <c r="AI80" s="15">
        <v>0</v>
      </c>
      <c r="AJ80" s="17">
        <v>0</v>
      </c>
      <c r="AK80" s="105">
        <v>167</v>
      </c>
      <c r="AL80" s="128">
        <v>2</v>
      </c>
      <c r="AM80" s="15">
        <v>0</v>
      </c>
      <c r="AN80" s="106">
        <v>28</v>
      </c>
      <c r="AO80" s="130">
        <v>6</v>
      </c>
      <c r="AP80" s="87">
        <f>AP79+129</f>
        <v>1261</v>
      </c>
      <c r="AQ80" s="128">
        <f t="shared" si="89"/>
        <v>8</v>
      </c>
      <c r="AR80" s="109">
        <v>1</v>
      </c>
      <c r="AS80" s="15">
        <v>0</v>
      </c>
      <c r="AT80" s="134"/>
      <c r="AU80" s="133">
        <v>24</v>
      </c>
      <c r="AV80" s="105">
        <v>17</v>
      </c>
      <c r="AW80" s="15">
        <v>0</v>
      </c>
      <c r="AX80" s="109">
        <v>3</v>
      </c>
      <c r="AY80" s="17">
        <v>0</v>
      </c>
      <c r="AZ80" s="105">
        <v>64</v>
      </c>
      <c r="BA80" s="128">
        <v>1</v>
      </c>
      <c r="BB80" s="15">
        <v>0</v>
      </c>
      <c r="BC80" s="17">
        <v>0</v>
      </c>
      <c r="BD80" s="105">
        <v>54</v>
      </c>
      <c r="BE80" s="15">
        <v>0</v>
      </c>
      <c r="BF80" s="15">
        <v>0</v>
      </c>
      <c r="BG80" s="106">
        <v>13</v>
      </c>
      <c r="BH80" s="130">
        <v>1</v>
      </c>
      <c r="BI80" s="105">
        <v>92</v>
      </c>
      <c r="BJ80" s="128">
        <v>1</v>
      </c>
      <c r="BK80" s="15">
        <v>0</v>
      </c>
      <c r="BL80" s="15">
        <v>0</v>
      </c>
      <c r="BM80" s="17">
        <v>0</v>
      </c>
      <c r="BN80" s="105">
        <f>BN79+11</f>
        <v>200</v>
      </c>
      <c r="BO80" s="128">
        <v>4</v>
      </c>
      <c r="BP80" s="15">
        <v>0</v>
      </c>
      <c r="BQ80" s="106">
        <v>20</v>
      </c>
      <c r="BR80" s="132">
        <v>5</v>
      </c>
      <c r="BS80" s="17">
        <v>0</v>
      </c>
      <c r="BT80" s="105">
        <v>28</v>
      </c>
      <c r="BU80" s="15">
        <v>0</v>
      </c>
      <c r="BV80" s="15">
        <v>0</v>
      </c>
      <c r="BW80" s="15">
        <v>0</v>
      </c>
      <c r="BX80" s="17">
        <v>0</v>
      </c>
      <c r="BY80" s="105">
        <v>8</v>
      </c>
      <c r="BZ80" s="15">
        <v>0</v>
      </c>
      <c r="CA80" s="109">
        <v>7</v>
      </c>
      <c r="CB80" s="17">
        <v>0</v>
      </c>
      <c r="CC80" s="105">
        <v>98</v>
      </c>
      <c r="CD80" s="15">
        <v>0</v>
      </c>
      <c r="CE80" s="15">
        <v>0</v>
      </c>
      <c r="CF80" s="15">
        <v>0</v>
      </c>
      <c r="CG80" s="17">
        <v>0</v>
      </c>
      <c r="CH80" s="105">
        <v>14</v>
      </c>
      <c r="CI80" s="15">
        <v>0</v>
      </c>
      <c r="CJ80" s="15">
        <v>0</v>
      </c>
      <c r="CK80" s="15">
        <v>0</v>
      </c>
      <c r="CL80" s="17">
        <v>0</v>
      </c>
      <c r="CM80" s="105">
        <v>13</v>
      </c>
      <c r="CN80" s="15">
        <v>0</v>
      </c>
      <c r="CO80" s="138">
        <v>4</v>
      </c>
      <c r="CP80" s="105">
        <v>66</v>
      </c>
      <c r="CQ80" s="15">
        <v>0</v>
      </c>
      <c r="CR80" s="15">
        <v>0</v>
      </c>
      <c r="CS80" s="17">
        <v>0</v>
      </c>
      <c r="CT80" s="105">
        <v>834</v>
      </c>
      <c r="CU80" s="128">
        <v>28</v>
      </c>
      <c r="CV80" s="109">
        <v>1</v>
      </c>
      <c r="CW80" s="106">
        <v>246</v>
      </c>
      <c r="CX80" s="132">
        <v>46</v>
      </c>
      <c r="CY80" s="133">
        <v>43</v>
      </c>
      <c r="CZ80" s="105">
        <v>49</v>
      </c>
      <c r="DA80" s="15">
        <v>0</v>
      </c>
      <c r="DB80" s="15">
        <v>0</v>
      </c>
      <c r="DC80" s="15">
        <v>0</v>
      </c>
      <c r="DD80" s="17">
        <v>0</v>
      </c>
      <c r="DE80" s="105">
        <v>12</v>
      </c>
      <c r="DF80" s="15">
        <v>0</v>
      </c>
      <c r="DG80" s="15">
        <v>0</v>
      </c>
      <c r="DH80" s="17">
        <v>0</v>
      </c>
      <c r="DI80" s="87">
        <f>DI79+62</f>
        <v>498</v>
      </c>
      <c r="DJ80" s="128">
        <f>DJ79+3</f>
        <v>10</v>
      </c>
      <c r="DK80" s="15">
        <v>0</v>
      </c>
      <c r="DL80" s="106">
        <v>82</v>
      </c>
      <c r="DM80" s="132">
        <v>9</v>
      </c>
      <c r="DN80" s="133">
        <v>6</v>
      </c>
      <c r="DO80" s="105">
        <v>1676</v>
      </c>
      <c r="DP80" s="128">
        <v>20</v>
      </c>
      <c r="DQ80" s="109">
        <v>70</v>
      </c>
      <c r="DR80" s="106">
        <v>213</v>
      </c>
      <c r="DS80" s="130">
        <v>25</v>
      </c>
      <c r="DT80" s="105">
        <v>53</v>
      </c>
      <c r="DU80" s="15">
        <v>0</v>
      </c>
      <c r="DV80" s="15">
        <v>0</v>
      </c>
      <c r="DW80" s="106">
        <v>3</v>
      </c>
      <c r="DX80" s="17">
        <v>0</v>
      </c>
      <c r="DY80" s="105">
        <v>773</v>
      </c>
      <c r="DZ80" s="128">
        <v>3</v>
      </c>
      <c r="EA80" s="15">
        <v>0</v>
      </c>
      <c r="EB80" s="41">
        <v>0</v>
      </c>
      <c r="EC80" s="17">
        <v>0</v>
      </c>
      <c r="ED80" s="102" t="s">
        <v>274</v>
      </c>
      <c r="EE80" s="127" t="s">
        <v>275</v>
      </c>
    </row>
    <row r="81" spans="1:135" ht="63.75">
      <c r="A81" s="97">
        <v>43912</v>
      </c>
      <c r="B81" s="14">
        <f t="shared" si="90"/>
        <v>8024</v>
      </c>
      <c r="C81" s="34">
        <f t="shared" ref="C81:D81" si="91">SUM(J81,M81,P81,V81,AA81,AF81,AL81,AQ81,AW81,BA81,BE81,BJ81,BO81,BU81,BZ81,CD81,CI81,CN81,CQ81,CU81,DA81,DF81,DJ81,DP81,DU81,DZ81)</f>
        <v>107</v>
      </c>
      <c r="D81" s="73">
        <f t="shared" si="91"/>
        <v>194</v>
      </c>
      <c r="E81" s="100">
        <f t="shared" si="52"/>
        <v>7723</v>
      </c>
      <c r="F81" s="104">
        <f t="shared" si="57"/>
        <v>718</v>
      </c>
      <c r="G81" s="129">
        <f t="shared" si="70"/>
        <v>117</v>
      </c>
      <c r="H81" s="131">
        <f t="shared" si="73"/>
        <v>88</v>
      </c>
      <c r="I81" s="105">
        <v>22</v>
      </c>
      <c r="J81" s="128">
        <v>1</v>
      </c>
      <c r="K81" s="17">
        <v>0</v>
      </c>
      <c r="L81" s="105">
        <v>6</v>
      </c>
      <c r="M81" s="15">
        <v>0</v>
      </c>
      <c r="N81" s="17">
        <v>0</v>
      </c>
      <c r="O81" s="105">
        <v>168</v>
      </c>
      <c r="P81" s="128">
        <v>1</v>
      </c>
      <c r="Q81" s="109">
        <v>4</v>
      </c>
      <c r="R81" s="106">
        <v>25</v>
      </c>
      <c r="S81" s="132">
        <v>4</v>
      </c>
      <c r="T81" s="133">
        <v>2</v>
      </c>
      <c r="U81" s="105">
        <v>289</v>
      </c>
      <c r="V81" s="128">
        <v>3</v>
      </c>
      <c r="W81" s="109">
        <v>21</v>
      </c>
      <c r="X81" s="106">
        <v>40</v>
      </c>
      <c r="Y81" s="130">
        <v>7</v>
      </c>
      <c r="Z81" s="105">
        <v>358</v>
      </c>
      <c r="AA81" s="128">
        <v>5</v>
      </c>
      <c r="AB81" s="109">
        <v>73</v>
      </c>
      <c r="AC81" s="15">
        <v>0</v>
      </c>
      <c r="AD81" s="17">
        <v>0</v>
      </c>
      <c r="AE81" s="105">
        <v>418</v>
      </c>
      <c r="AF81" s="128">
        <v>3</v>
      </c>
      <c r="AG81" s="15">
        <v>0</v>
      </c>
      <c r="AH81" s="15">
        <v>0</v>
      </c>
      <c r="AI81" s="15">
        <v>0</v>
      </c>
      <c r="AJ81" s="17">
        <v>0</v>
      </c>
      <c r="AK81" s="105">
        <v>202</v>
      </c>
      <c r="AL81" s="128">
        <v>3</v>
      </c>
      <c r="AM81" s="15">
        <v>0</v>
      </c>
      <c r="AN81" s="106">
        <v>32</v>
      </c>
      <c r="AO81" s="130">
        <v>8</v>
      </c>
      <c r="AP81" s="87">
        <f>AP80+147</f>
        <v>1408</v>
      </c>
      <c r="AQ81" s="128">
        <f>1+8</f>
        <v>9</v>
      </c>
      <c r="AR81" s="109">
        <v>1</v>
      </c>
      <c r="AS81" s="15">
        <v>0</v>
      </c>
      <c r="AT81" s="134"/>
      <c r="AU81" s="133">
        <v>36</v>
      </c>
      <c r="AV81" s="105">
        <v>31</v>
      </c>
      <c r="AW81" s="15">
        <v>0</v>
      </c>
      <c r="AX81" s="109">
        <v>3</v>
      </c>
      <c r="AY81" s="17">
        <v>0</v>
      </c>
      <c r="AZ81" s="105">
        <v>257</v>
      </c>
      <c r="BA81" s="128">
        <v>5</v>
      </c>
      <c r="BB81" s="15">
        <v>0</v>
      </c>
      <c r="BC81" s="17">
        <v>0</v>
      </c>
      <c r="BD81" s="105">
        <v>61</v>
      </c>
      <c r="BE81" s="15">
        <v>0</v>
      </c>
      <c r="BF81" s="15">
        <v>0</v>
      </c>
      <c r="BG81" s="106">
        <v>18</v>
      </c>
      <c r="BH81" s="130">
        <v>2</v>
      </c>
      <c r="BI81" s="105">
        <v>131</v>
      </c>
      <c r="BJ81" s="128">
        <v>1</v>
      </c>
      <c r="BK81" s="15">
        <v>0</v>
      </c>
      <c r="BL81" s="15">
        <v>0</v>
      </c>
      <c r="BM81" s="17">
        <v>0</v>
      </c>
      <c r="BN81" s="105">
        <f>BN80+16</f>
        <v>216</v>
      </c>
      <c r="BO81" s="128">
        <v>4</v>
      </c>
      <c r="BP81" s="15">
        <v>0</v>
      </c>
      <c r="BQ81" s="106">
        <v>28</v>
      </c>
      <c r="BR81" s="132">
        <v>6</v>
      </c>
      <c r="BS81" s="17">
        <v>0</v>
      </c>
      <c r="BT81" s="105">
        <v>36</v>
      </c>
      <c r="BU81" s="15">
        <v>0</v>
      </c>
      <c r="BV81" s="15">
        <v>0</v>
      </c>
      <c r="BW81" s="15">
        <v>0</v>
      </c>
      <c r="BX81" s="17">
        <v>0</v>
      </c>
      <c r="BY81" s="105">
        <v>19</v>
      </c>
      <c r="BZ81" s="15">
        <v>0</v>
      </c>
      <c r="CA81" s="109">
        <v>7</v>
      </c>
      <c r="CB81" s="17">
        <v>0</v>
      </c>
      <c r="CC81" s="105">
        <v>98</v>
      </c>
      <c r="CD81" s="15">
        <v>0</v>
      </c>
      <c r="CE81" s="15">
        <v>0</v>
      </c>
      <c r="CF81" s="15">
        <v>0</v>
      </c>
      <c r="CG81" s="17">
        <v>0</v>
      </c>
      <c r="CH81" s="105">
        <v>14</v>
      </c>
      <c r="CI81" s="15">
        <v>0</v>
      </c>
      <c r="CJ81" s="15">
        <v>0</v>
      </c>
      <c r="CK81" s="15">
        <v>0</v>
      </c>
      <c r="CL81" s="17">
        <v>0</v>
      </c>
      <c r="CM81" s="105">
        <v>55</v>
      </c>
      <c r="CN81" s="15">
        <v>0</v>
      </c>
      <c r="CO81" s="138">
        <v>4</v>
      </c>
      <c r="CP81" s="105">
        <v>66</v>
      </c>
      <c r="CQ81" s="15">
        <v>0</v>
      </c>
      <c r="CR81" s="15">
        <v>0</v>
      </c>
      <c r="CS81" s="17">
        <v>0</v>
      </c>
      <c r="CT81" s="105">
        <v>939</v>
      </c>
      <c r="CU81" s="128">
        <v>37</v>
      </c>
      <c r="CV81" s="109">
        <v>1</v>
      </c>
      <c r="CW81" s="106">
        <v>246</v>
      </c>
      <c r="CX81" s="132">
        <v>46</v>
      </c>
      <c r="CY81" s="133">
        <v>43</v>
      </c>
      <c r="CZ81" s="105">
        <v>75</v>
      </c>
      <c r="DA81" s="15">
        <v>0</v>
      </c>
      <c r="DB81" s="15">
        <v>0</v>
      </c>
      <c r="DC81" s="15">
        <v>0</v>
      </c>
      <c r="DD81" s="17">
        <v>0</v>
      </c>
      <c r="DE81" s="105">
        <v>12</v>
      </c>
      <c r="DF81" s="15">
        <v>0</v>
      </c>
      <c r="DG81" s="15">
        <v>0</v>
      </c>
      <c r="DH81" s="17">
        <v>0</v>
      </c>
      <c r="DI81" s="87">
        <f>DI80+37</f>
        <v>535</v>
      </c>
      <c r="DJ81" s="128">
        <f>DJ80+1</f>
        <v>11</v>
      </c>
      <c r="DK81" s="15">
        <v>0</v>
      </c>
      <c r="DL81" s="106">
        <v>91</v>
      </c>
      <c r="DM81" s="132">
        <v>12</v>
      </c>
      <c r="DN81" s="133">
        <v>7</v>
      </c>
      <c r="DO81" s="105">
        <v>1782</v>
      </c>
      <c r="DP81" s="128">
        <v>21</v>
      </c>
      <c r="DQ81" s="109">
        <v>75</v>
      </c>
      <c r="DR81" s="106">
        <v>235</v>
      </c>
      <c r="DS81" s="130">
        <v>32</v>
      </c>
      <c r="DT81" s="105">
        <v>53</v>
      </c>
      <c r="DU81" s="15">
        <v>0</v>
      </c>
      <c r="DV81" s="109">
        <v>5</v>
      </c>
      <c r="DW81" s="106">
        <v>3</v>
      </c>
      <c r="DX81" s="17">
        <v>0</v>
      </c>
      <c r="DY81" s="105">
        <v>773</v>
      </c>
      <c r="DZ81" s="128">
        <v>3</v>
      </c>
      <c r="EA81" s="15">
        <v>0</v>
      </c>
      <c r="EB81" s="41">
        <v>0</v>
      </c>
      <c r="EC81" s="17">
        <v>0</v>
      </c>
      <c r="ED81" s="102" t="s">
        <v>276</v>
      </c>
      <c r="EE81" s="127" t="s">
        <v>277</v>
      </c>
    </row>
    <row r="82" spans="1:135" ht="114.75">
      <c r="A82" s="97">
        <v>43913</v>
      </c>
      <c r="B82" s="14">
        <f t="shared" si="90"/>
        <v>9296</v>
      </c>
      <c r="C82" s="34">
        <f t="shared" ref="C82:D82" si="92">SUM(J82,M82,P82,V82,AA82,AF82,AL82,AQ82,AW82,BA82,BE82,BJ82,BO82,BU82,BZ82,CD82,CI82,CN82,CQ82,CU82,DA82,DF82,DJ82,DP82,DU82,DZ82)</f>
        <v>137</v>
      </c>
      <c r="D82" s="73">
        <f t="shared" si="92"/>
        <v>235</v>
      </c>
      <c r="E82" s="100">
        <f t="shared" si="52"/>
        <v>8924</v>
      </c>
      <c r="F82" s="104">
        <f t="shared" si="57"/>
        <v>771</v>
      </c>
      <c r="G82" s="129">
        <f t="shared" si="70"/>
        <v>127</v>
      </c>
      <c r="H82" s="131">
        <f t="shared" si="73"/>
        <v>101</v>
      </c>
      <c r="I82" s="105">
        <v>30</v>
      </c>
      <c r="J82" s="128">
        <v>1</v>
      </c>
      <c r="K82" s="17">
        <v>0</v>
      </c>
      <c r="L82" s="105">
        <v>6</v>
      </c>
      <c r="M82" s="15">
        <v>0</v>
      </c>
      <c r="N82" s="17">
        <v>0</v>
      </c>
      <c r="O82" s="105">
        <v>241</v>
      </c>
      <c r="P82" s="128">
        <v>1</v>
      </c>
      <c r="Q82" s="109">
        <v>4</v>
      </c>
      <c r="R82" s="106">
        <v>10</v>
      </c>
      <c r="S82" s="132">
        <v>3</v>
      </c>
      <c r="T82" s="133">
        <v>2</v>
      </c>
      <c r="U82" s="105">
        <v>302</v>
      </c>
      <c r="V82" s="128">
        <v>3</v>
      </c>
      <c r="W82" s="109">
        <v>35</v>
      </c>
      <c r="X82" s="106">
        <v>51</v>
      </c>
      <c r="Y82" s="130">
        <v>10</v>
      </c>
      <c r="Z82" s="105">
        <v>376</v>
      </c>
      <c r="AA82" s="128">
        <v>5</v>
      </c>
      <c r="AB82" s="109">
        <v>78</v>
      </c>
      <c r="AC82" s="15">
        <v>0</v>
      </c>
      <c r="AD82" s="17">
        <v>0</v>
      </c>
      <c r="AE82" s="105">
        <v>470</v>
      </c>
      <c r="AF82" s="128">
        <v>5</v>
      </c>
      <c r="AG82" s="15">
        <v>0</v>
      </c>
      <c r="AH82" s="15">
        <v>0</v>
      </c>
      <c r="AI82" s="15">
        <v>0</v>
      </c>
      <c r="AJ82" s="17">
        <v>0</v>
      </c>
      <c r="AK82" s="105">
        <v>226</v>
      </c>
      <c r="AL82" s="128">
        <v>4</v>
      </c>
      <c r="AM82" s="15">
        <v>0</v>
      </c>
      <c r="AN82" s="106">
        <v>35</v>
      </c>
      <c r="AO82" s="130">
        <v>7</v>
      </c>
      <c r="AP82" s="87">
        <f>AP81+148</f>
        <v>1556</v>
      </c>
      <c r="AQ82" s="128">
        <f>1+12</f>
        <v>13</v>
      </c>
      <c r="AR82" s="109">
        <v>1</v>
      </c>
      <c r="AS82" s="15">
        <v>0</v>
      </c>
      <c r="AT82" s="134"/>
      <c r="AU82" s="133">
        <v>41</v>
      </c>
      <c r="AV82" s="105">
        <v>31</v>
      </c>
      <c r="AW82" s="15">
        <v>0</v>
      </c>
      <c r="AX82" s="109">
        <v>3</v>
      </c>
      <c r="AY82" s="17">
        <v>0</v>
      </c>
      <c r="AZ82" s="105">
        <v>266</v>
      </c>
      <c r="BA82" s="128">
        <v>6</v>
      </c>
      <c r="BB82" s="15">
        <v>0</v>
      </c>
      <c r="BC82" s="17">
        <v>0</v>
      </c>
      <c r="BD82" s="105">
        <v>69</v>
      </c>
      <c r="BE82" s="15">
        <v>0</v>
      </c>
      <c r="BF82" s="15">
        <v>0</v>
      </c>
      <c r="BG82" s="106">
        <v>18</v>
      </c>
      <c r="BH82" s="130">
        <v>3</v>
      </c>
      <c r="BI82" s="105">
        <v>156</v>
      </c>
      <c r="BJ82" s="128">
        <v>1</v>
      </c>
      <c r="BK82" s="15">
        <v>0</v>
      </c>
      <c r="BL82" s="15">
        <v>0</v>
      </c>
      <c r="BM82" s="17">
        <v>0</v>
      </c>
      <c r="BN82" s="105">
        <f>BN81+31</f>
        <v>247</v>
      </c>
      <c r="BO82" s="128">
        <v>5</v>
      </c>
      <c r="BP82" s="15">
        <v>0</v>
      </c>
      <c r="BQ82" s="106">
        <v>33</v>
      </c>
      <c r="BR82" s="132">
        <v>5</v>
      </c>
      <c r="BS82" s="133">
        <v>6</v>
      </c>
      <c r="BT82" s="105">
        <v>39</v>
      </c>
      <c r="BU82" s="15">
        <v>0</v>
      </c>
      <c r="BV82" s="15">
        <v>0</v>
      </c>
      <c r="BW82" s="15">
        <v>0</v>
      </c>
      <c r="BX82" s="17">
        <v>0</v>
      </c>
      <c r="BY82" s="105">
        <v>25</v>
      </c>
      <c r="BZ82" s="15">
        <v>0</v>
      </c>
      <c r="CA82" s="109">
        <v>7</v>
      </c>
      <c r="CB82" s="17">
        <v>0</v>
      </c>
      <c r="CC82" s="105">
        <v>200</v>
      </c>
      <c r="CD82" s="128">
        <v>1</v>
      </c>
      <c r="CE82" s="15">
        <v>0</v>
      </c>
      <c r="CF82" s="15">
        <v>0</v>
      </c>
      <c r="CG82" s="17">
        <v>0</v>
      </c>
      <c r="CH82" s="105">
        <v>30</v>
      </c>
      <c r="CI82" s="15">
        <v>0</v>
      </c>
      <c r="CJ82" s="15">
        <v>0</v>
      </c>
      <c r="CK82" s="15">
        <v>0</v>
      </c>
      <c r="CL82" s="17">
        <v>0</v>
      </c>
      <c r="CM82" s="105">
        <v>73</v>
      </c>
      <c r="CN82" s="15">
        <v>0</v>
      </c>
      <c r="CO82" s="138">
        <v>4</v>
      </c>
      <c r="CP82" s="105">
        <v>95</v>
      </c>
      <c r="CQ82" s="128">
        <v>1</v>
      </c>
      <c r="CR82" s="15">
        <v>0</v>
      </c>
      <c r="CS82" s="17">
        <v>0</v>
      </c>
      <c r="CT82" s="105">
        <v>1165</v>
      </c>
      <c r="CU82" s="128">
        <v>48</v>
      </c>
      <c r="CV82" s="109">
        <v>1</v>
      </c>
      <c r="CW82" s="106">
        <v>261</v>
      </c>
      <c r="CX82" s="132">
        <v>45</v>
      </c>
      <c r="CY82" s="133">
        <v>43</v>
      </c>
      <c r="CZ82" s="105">
        <v>81</v>
      </c>
      <c r="DA82" s="15">
        <v>0</v>
      </c>
      <c r="DB82" s="15">
        <v>0</v>
      </c>
      <c r="DC82" s="15">
        <v>0</v>
      </c>
      <c r="DD82" s="17">
        <v>0</v>
      </c>
      <c r="DE82" s="105">
        <v>22</v>
      </c>
      <c r="DF82" s="15">
        <v>0</v>
      </c>
      <c r="DG82" s="109">
        <v>1</v>
      </c>
      <c r="DH82" s="17">
        <v>0</v>
      </c>
      <c r="DI82" s="87">
        <f>DI81+93</f>
        <v>628</v>
      </c>
      <c r="DJ82" s="128">
        <f>DJ81+1+1</f>
        <v>13</v>
      </c>
      <c r="DK82" s="15">
        <v>0</v>
      </c>
      <c r="DL82" s="106">
        <v>103</v>
      </c>
      <c r="DM82" s="132">
        <v>13</v>
      </c>
      <c r="DN82" s="133">
        <v>9</v>
      </c>
      <c r="DO82" s="105">
        <v>1822</v>
      </c>
      <c r="DP82" s="128">
        <v>25</v>
      </c>
      <c r="DQ82" s="109">
        <v>91</v>
      </c>
      <c r="DR82" s="106">
        <v>254</v>
      </c>
      <c r="DS82" s="130">
        <v>41</v>
      </c>
      <c r="DT82" s="105">
        <v>72</v>
      </c>
      <c r="DU82" s="15">
        <v>0</v>
      </c>
      <c r="DV82" s="109">
        <v>10</v>
      </c>
      <c r="DW82" s="106">
        <v>6</v>
      </c>
      <c r="DX82" s="17">
        <v>0</v>
      </c>
      <c r="DY82" s="105">
        <v>1068</v>
      </c>
      <c r="DZ82" s="128">
        <v>5</v>
      </c>
      <c r="EA82" s="15">
        <v>0</v>
      </c>
      <c r="EB82" s="41">
        <v>0</v>
      </c>
      <c r="EC82" s="17">
        <v>0</v>
      </c>
      <c r="ED82" s="102" t="s">
        <v>279</v>
      </c>
      <c r="EE82" s="127" t="s">
        <v>280</v>
      </c>
    </row>
    <row r="83" spans="1:135" ht="127.5">
      <c r="A83" s="97">
        <v>43914</v>
      </c>
      <c r="B83" s="14">
        <f t="shared" si="90"/>
        <v>10324</v>
      </c>
      <c r="C83" s="34">
        <f t="shared" ref="C83:D83" si="93">SUM(J83,M83,P83,V83,AA83,AF83,AL83,AQ83,AW83,BA83,BE83,BJ83,BO83,BU83,BZ83,CD83,CI83,CN83,CQ83,CU83,DA83,DF83,DJ83,DP83,DU83,DZ83)</f>
        <v>158</v>
      </c>
      <c r="D83" s="73">
        <f t="shared" si="93"/>
        <v>380</v>
      </c>
      <c r="E83" s="100">
        <f t="shared" si="52"/>
        <v>9786</v>
      </c>
      <c r="F83" s="104">
        <f t="shared" si="57"/>
        <v>877</v>
      </c>
      <c r="G83" s="129">
        <f t="shared" si="70"/>
        <v>133</v>
      </c>
      <c r="H83" s="131">
        <f t="shared" si="73"/>
        <v>109</v>
      </c>
      <c r="I83" s="105">
        <v>33</v>
      </c>
      <c r="J83" s="128">
        <v>2</v>
      </c>
      <c r="K83" s="17">
        <v>0</v>
      </c>
      <c r="L83" s="105">
        <v>8</v>
      </c>
      <c r="M83" s="15">
        <v>0</v>
      </c>
      <c r="N83" s="17">
        <v>0</v>
      </c>
      <c r="O83" s="105">
        <v>266</v>
      </c>
      <c r="P83" s="128">
        <v>2</v>
      </c>
      <c r="Q83" s="109">
        <v>4</v>
      </c>
      <c r="R83" s="106">
        <v>24</v>
      </c>
      <c r="S83" s="132">
        <v>2</v>
      </c>
      <c r="T83" s="133">
        <v>2</v>
      </c>
      <c r="U83" s="105">
        <v>306</v>
      </c>
      <c r="V83" s="128">
        <v>4</v>
      </c>
      <c r="W83" s="109">
        <v>40</v>
      </c>
      <c r="X83" s="106">
        <v>66</v>
      </c>
      <c r="Y83" s="130">
        <v>11</v>
      </c>
      <c r="Z83" s="105">
        <v>414</v>
      </c>
      <c r="AA83" s="128">
        <v>8</v>
      </c>
      <c r="AB83" s="109">
        <v>105</v>
      </c>
      <c r="AC83" s="15">
        <v>0</v>
      </c>
      <c r="AD83" s="17">
        <v>0</v>
      </c>
      <c r="AE83" s="105">
        <v>532</v>
      </c>
      <c r="AF83" s="128">
        <v>6</v>
      </c>
      <c r="AG83" s="15">
        <v>0</v>
      </c>
      <c r="AH83" s="15">
        <v>0</v>
      </c>
      <c r="AI83" s="15">
        <v>0</v>
      </c>
      <c r="AJ83" s="17">
        <v>0</v>
      </c>
      <c r="AK83" s="105">
        <v>255</v>
      </c>
      <c r="AL83" s="128">
        <v>5</v>
      </c>
      <c r="AM83" s="15">
        <v>0</v>
      </c>
      <c r="AN83" s="106">
        <v>35</v>
      </c>
      <c r="AO83" s="130">
        <v>7</v>
      </c>
      <c r="AP83" s="87">
        <f>AP82+103</f>
        <v>1659</v>
      </c>
      <c r="AQ83" s="128">
        <f>1+13</f>
        <v>14</v>
      </c>
      <c r="AR83" s="109">
        <v>103</v>
      </c>
      <c r="AS83" s="15">
        <v>0</v>
      </c>
      <c r="AT83" s="134"/>
      <c r="AU83" s="133">
        <v>41</v>
      </c>
      <c r="AV83" s="105">
        <v>33</v>
      </c>
      <c r="AW83" s="15">
        <v>0</v>
      </c>
      <c r="AX83" s="109">
        <v>3</v>
      </c>
      <c r="AY83" s="17">
        <v>0</v>
      </c>
      <c r="AZ83" s="105">
        <v>276</v>
      </c>
      <c r="BA83" s="128">
        <v>6</v>
      </c>
      <c r="BB83" s="15">
        <v>0</v>
      </c>
      <c r="BC83" s="17">
        <v>0</v>
      </c>
      <c r="BD83" s="105">
        <v>82</v>
      </c>
      <c r="BE83" s="15">
        <v>0</v>
      </c>
      <c r="BF83" s="15">
        <v>0</v>
      </c>
      <c r="BG83" s="106">
        <v>22</v>
      </c>
      <c r="BH83" s="130">
        <v>4</v>
      </c>
      <c r="BI83" s="105">
        <v>205</v>
      </c>
      <c r="BJ83" s="128">
        <v>1</v>
      </c>
      <c r="BK83" s="15">
        <v>0</v>
      </c>
      <c r="BL83" s="15">
        <v>0</v>
      </c>
      <c r="BM83" s="17">
        <v>0</v>
      </c>
      <c r="BN83" s="105">
        <f>BN82+18</f>
        <v>265</v>
      </c>
      <c r="BO83" s="128">
        <v>6</v>
      </c>
      <c r="BP83" s="15">
        <v>0</v>
      </c>
      <c r="BQ83" s="106">
        <v>32</v>
      </c>
      <c r="BR83" s="132">
        <v>2</v>
      </c>
      <c r="BS83" s="133">
        <v>6</v>
      </c>
      <c r="BT83" s="105">
        <v>42</v>
      </c>
      <c r="BU83" s="15">
        <v>0</v>
      </c>
      <c r="BV83" s="15">
        <v>0</v>
      </c>
      <c r="BW83" s="15">
        <v>0</v>
      </c>
      <c r="BX83" s="17">
        <v>0</v>
      </c>
      <c r="BY83" s="105">
        <v>25</v>
      </c>
      <c r="BZ83" s="15">
        <v>0</v>
      </c>
      <c r="CA83" s="109">
        <v>7</v>
      </c>
      <c r="CB83" s="17">
        <v>0</v>
      </c>
      <c r="CC83" s="105">
        <v>203</v>
      </c>
      <c r="CD83" s="128">
        <v>1</v>
      </c>
      <c r="CE83" s="15">
        <v>0</v>
      </c>
      <c r="CF83" s="15">
        <v>0</v>
      </c>
      <c r="CG83" s="17">
        <v>0</v>
      </c>
      <c r="CH83" s="105">
        <v>32</v>
      </c>
      <c r="CI83" s="15">
        <v>0</v>
      </c>
      <c r="CJ83" s="15">
        <v>0</v>
      </c>
      <c r="CK83" s="15">
        <v>0</v>
      </c>
      <c r="CL83" s="17">
        <v>0</v>
      </c>
      <c r="CM83" s="105">
        <v>80</v>
      </c>
      <c r="CN83" s="15">
        <v>0</v>
      </c>
      <c r="CO83" s="138">
        <v>4</v>
      </c>
      <c r="CP83" s="105">
        <v>104</v>
      </c>
      <c r="CQ83" s="128">
        <v>1</v>
      </c>
      <c r="CR83" s="15">
        <v>0</v>
      </c>
      <c r="CS83" s="17">
        <v>0</v>
      </c>
      <c r="CT83" s="105">
        <v>1211</v>
      </c>
      <c r="CU83" s="128">
        <v>53</v>
      </c>
      <c r="CV83" s="109">
        <v>1</v>
      </c>
      <c r="CW83" s="106">
        <v>285</v>
      </c>
      <c r="CX83" s="132">
        <v>50</v>
      </c>
      <c r="CY83" s="133">
        <v>48</v>
      </c>
      <c r="CZ83" s="105">
        <v>87</v>
      </c>
      <c r="DA83" s="128">
        <v>1</v>
      </c>
      <c r="DB83" s="15">
        <v>0</v>
      </c>
      <c r="DC83" s="15">
        <v>0</v>
      </c>
      <c r="DD83" s="17">
        <v>0</v>
      </c>
      <c r="DE83" s="105">
        <v>25</v>
      </c>
      <c r="DF83" s="15">
        <v>0</v>
      </c>
      <c r="DG83" s="109">
        <v>1</v>
      </c>
      <c r="DH83" s="17">
        <v>0</v>
      </c>
      <c r="DI83" s="87">
        <f>DI82+100</f>
        <v>728</v>
      </c>
      <c r="DJ83" s="128">
        <f t="shared" ref="DJ83:DJ84" si="94">DJ82+1</f>
        <v>14</v>
      </c>
      <c r="DK83" s="15">
        <v>0</v>
      </c>
      <c r="DL83" s="106">
        <v>116</v>
      </c>
      <c r="DM83" s="132">
        <v>14</v>
      </c>
      <c r="DN83" s="133">
        <v>12</v>
      </c>
      <c r="DO83" s="105">
        <v>2162</v>
      </c>
      <c r="DP83" s="128">
        <v>29</v>
      </c>
      <c r="DQ83" s="109">
        <v>100</v>
      </c>
      <c r="DR83" s="106">
        <v>288</v>
      </c>
      <c r="DS83" s="130">
        <v>42</v>
      </c>
      <c r="DT83" s="105">
        <v>80</v>
      </c>
      <c r="DU83" s="15">
        <v>0</v>
      </c>
      <c r="DV83" s="109">
        <v>12</v>
      </c>
      <c r="DW83" s="106">
        <v>9</v>
      </c>
      <c r="DX83" s="130">
        <v>1</v>
      </c>
      <c r="DY83" s="105">
        <v>1211</v>
      </c>
      <c r="DZ83" s="128">
        <v>5</v>
      </c>
      <c r="EA83" s="15">
        <v>0</v>
      </c>
      <c r="EB83" s="41">
        <v>0</v>
      </c>
      <c r="EC83" s="17">
        <v>0</v>
      </c>
      <c r="ED83" s="102" t="s">
        <v>281</v>
      </c>
      <c r="EE83" s="127" t="s">
        <v>282</v>
      </c>
    </row>
    <row r="84" spans="1:135" ht="140.25">
      <c r="A84" s="97">
        <v>43915</v>
      </c>
      <c r="B84" s="14">
        <f t="shared" si="90"/>
        <v>11310</v>
      </c>
      <c r="C84" s="34">
        <f t="shared" ref="C84:D84" si="95">SUM(J84,M84,P84,V84,AA84,AF84,AL84,AQ84,AW84,BA84,BE84,BJ84,BO84,BU84,BZ84,CD84,CI84,CN84,CQ84,CU84,DA84,DF84,DJ84,DP84,DU84,DZ84)</f>
        <v>193</v>
      </c>
      <c r="D84" s="73">
        <f t="shared" si="95"/>
        <v>454</v>
      </c>
      <c r="E84" s="100">
        <f t="shared" si="52"/>
        <v>10663</v>
      </c>
      <c r="F84" s="104">
        <f t="shared" si="57"/>
        <v>937</v>
      </c>
      <c r="G84" s="129">
        <f t="shared" si="70"/>
        <v>156</v>
      </c>
      <c r="H84" s="131">
        <f t="shared" si="73"/>
        <v>129</v>
      </c>
      <c r="I84" s="105">
        <v>34</v>
      </c>
      <c r="J84" s="128">
        <v>2</v>
      </c>
      <c r="K84" s="17">
        <v>0</v>
      </c>
      <c r="L84" s="105">
        <v>9</v>
      </c>
      <c r="M84" s="15">
        <v>0</v>
      </c>
      <c r="N84" s="17">
        <v>0</v>
      </c>
      <c r="O84" s="105">
        <v>319</v>
      </c>
      <c r="P84" s="128">
        <v>2</v>
      </c>
      <c r="Q84" s="109">
        <v>4</v>
      </c>
      <c r="R84" s="106">
        <v>16</v>
      </c>
      <c r="S84" s="132">
        <v>5</v>
      </c>
      <c r="T84" s="133">
        <v>5</v>
      </c>
      <c r="U84" s="105">
        <v>341</v>
      </c>
      <c r="V84" s="128">
        <v>5</v>
      </c>
      <c r="W84" s="109">
        <v>46</v>
      </c>
      <c r="X84" s="106">
        <v>68</v>
      </c>
      <c r="Y84" s="130">
        <v>8</v>
      </c>
      <c r="Z84" s="105">
        <v>466</v>
      </c>
      <c r="AA84" s="128">
        <v>12</v>
      </c>
      <c r="AB84" s="109">
        <v>128</v>
      </c>
      <c r="AC84" s="15">
        <v>0</v>
      </c>
      <c r="AD84" s="17">
        <v>0</v>
      </c>
      <c r="AE84" s="105">
        <v>624</v>
      </c>
      <c r="AF84" s="128">
        <v>6</v>
      </c>
      <c r="AG84" s="15">
        <v>0</v>
      </c>
      <c r="AH84" s="15">
        <v>0</v>
      </c>
      <c r="AI84" s="15">
        <v>0</v>
      </c>
      <c r="AJ84" s="17">
        <v>0</v>
      </c>
      <c r="AK84" s="105">
        <v>293</v>
      </c>
      <c r="AL84" s="128">
        <v>6</v>
      </c>
      <c r="AM84" s="15">
        <v>0</v>
      </c>
      <c r="AN84" s="106">
        <v>39</v>
      </c>
      <c r="AO84" s="130">
        <v>7</v>
      </c>
      <c r="AP84" s="87">
        <f>AP83+121</f>
        <v>1780</v>
      </c>
      <c r="AQ84" s="128">
        <f>1+20</f>
        <v>21</v>
      </c>
      <c r="AR84" s="109">
        <v>122</v>
      </c>
      <c r="AS84" s="15">
        <v>0</v>
      </c>
      <c r="AT84" s="134"/>
      <c r="AU84" s="133">
        <v>48</v>
      </c>
      <c r="AV84" s="105">
        <v>40</v>
      </c>
      <c r="AW84" s="15">
        <v>0</v>
      </c>
      <c r="AX84" s="109">
        <v>3</v>
      </c>
      <c r="AY84" s="17">
        <v>0</v>
      </c>
      <c r="AZ84" s="105">
        <v>322</v>
      </c>
      <c r="BA84" s="128">
        <v>6</v>
      </c>
      <c r="BB84" s="15">
        <v>0</v>
      </c>
      <c r="BC84" s="17">
        <v>0</v>
      </c>
      <c r="BD84" s="105">
        <v>92</v>
      </c>
      <c r="BE84" s="15">
        <v>0</v>
      </c>
      <c r="BF84" s="15">
        <v>0</v>
      </c>
      <c r="BG84" s="106">
        <v>23</v>
      </c>
      <c r="BH84" s="130">
        <v>4</v>
      </c>
      <c r="BI84" s="105">
        <v>228</v>
      </c>
      <c r="BJ84" s="128">
        <v>2</v>
      </c>
      <c r="BK84" s="15">
        <v>0</v>
      </c>
      <c r="BL84" s="15">
        <v>0</v>
      </c>
      <c r="BM84" s="17">
        <v>0</v>
      </c>
      <c r="BN84" s="105">
        <f>BN83+15</f>
        <v>280</v>
      </c>
      <c r="BO84" s="128">
        <v>9</v>
      </c>
      <c r="BP84" s="15">
        <v>0</v>
      </c>
      <c r="BQ84" s="106">
        <v>41</v>
      </c>
      <c r="BR84" s="132">
        <v>3</v>
      </c>
      <c r="BS84" s="133">
        <v>7</v>
      </c>
      <c r="BT84" s="105">
        <v>44</v>
      </c>
      <c r="BU84" s="15">
        <v>0</v>
      </c>
      <c r="BV84" s="15">
        <v>0</v>
      </c>
      <c r="BW84" s="15">
        <v>0</v>
      </c>
      <c r="BX84" s="17">
        <v>0</v>
      </c>
      <c r="BY84" s="105">
        <v>27</v>
      </c>
      <c r="BZ84" s="15">
        <v>0</v>
      </c>
      <c r="CA84" s="109">
        <v>7</v>
      </c>
      <c r="CB84" s="17">
        <v>0</v>
      </c>
      <c r="CC84" s="105">
        <v>228</v>
      </c>
      <c r="CD84" s="128">
        <v>1</v>
      </c>
      <c r="CE84" s="15">
        <v>0</v>
      </c>
      <c r="CF84" s="15">
        <v>0</v>
      </c>
      <c r="CG84" s="17">
        <v>0</v>
      </c>
      <c r="CH84" s="105">
        <v>34</v>
      </c>
      <c r="CI84" s="15">
        <v>0</v>
      </c>
      <c r="CJ84" s="15">
        <v>0</v>
      </c>
      <c r="CK84" s="15">
        <v>0</v>
      </c>
      <c r="CL84" s="17">
        <v>0</v>
      </c>
      <c r="CM84" s="105">
        <v>86</v>
      </c>
      <c r="CN84" s="128">
        <v>1</v>
      </c>
      <c r="CO84" s="138">
        <v>10</v>
      </c>
      <c r="CP84" s="105">
        <v>129</v>
      </c>
      <c r="CQ84" s="128">
        <v>1</v>
      </c>
      <c r="CR84" s="15">
        <v>0</v>
      </c>
      <c r="CS84" s="17">
        <v>0</v>
      </c>
      <c r="CT84" s="105">
        <v>1354</v>
      </c>
      <c r="CU84" s="128">
        <v>60</v>
      </c>
      <c r="CV84" s="109">
        <v>1</v>
      </c>
      <c r="CW84" s="106">
        <v>306</v>
      </c>
      <c r="CX84" s="132">
        <v>57</v>
      </c>
      <c r="CY84" s="133">
        <v>55</v>
      </c>
      <c r="CZ84" s="105">
        <v>96</v>
      </c>
      <c r="DA84" s="128">
        <v>1</v>
      </c>
      <c r="DB84" s="15">
        <v>0</v>
      </c>
      <c r="DC84" s="15">
        <v>0</v>
      </c>
      <c r="DD84" s="17">
        <v>0</v>
      </c>
      <c r="DE84" s="105">
        <v>25</v>
      </c>
      <c r="DF84" s="15">
        <v>0</v>
      </c>
      <c r="DG84" s="109">
        <v>1</v>
      </c>
      <c r="DH84" s="17">
        <v>0</v>
      </c>
      <c r="DI84" s="87">
        <f>DI83+66</f>
        <v>794</v>
      </c>
      <c r="DJ84" s="128">
        <f t="shared" si="94"/>
        <v>15</v>
      </c>
      <c r="DK84" s="15">
        <v>0</v>
      </c>
      <c r="DL84" s="106">
        <v>117</v>
      </c>
      <c r="DM84" s="132">
        <v>16</v>
      </c>
      <c r="DN84" s="133">
        <v>14</v>
      </c>
      <c r="DO84" s="105">
        <v>2215</v>
      </c>
      <c r="DP84" s="128">
        <v>36</v>
      </c>
      <c r="DQ84" s="109">
        <v>117</v>
      </c>
      <c r="DR84" s="106">
        <v>317</v>
      </c>
      <c r="DS84" s="130">
        <v>55</v>
      </c>
      <c r="DT84" s="105">
        <v>87</v>
      </c>
      <c r="DU84" s="15">
        <v>0</v>
      </c>
      <c r="DV84" s="109">
        <v>15</v>
      </c>
      <c r="DW84" s="106">
        <v>10</v>
      </c>
      <c r="DX84" s="130">
        <v>1</v>
      </c>
      <c r="DY84" s="105">
        <v>1363</v>
      </c>
      <c r="DZ84" s="128">
        <v>7</v>
      </c>
      <c r="EA84" s="15">
        <v>0</v>
      </c>
      <c r="EB84" s="41">
        <v>0</v>
      </c>
      <c r="EC84" s="17">
        <v>0</v>
      </c>
      <c r="ED84" s="102" t="s">
        <v>284</v>
      </c>
      <c r="EE84" s="127" t="s">
        <v>285</v>
      </c>
    </row>
    <row r="85" spans="1:135" ht="127.5">
      <c r="A85" s="97">
        <v>43916</v>
      </c>
      <c r="B85" s="14">
        <f t="shared" si="90"/>
        <v>12546</v>
      </c>
      <c r="C85" s="34">
        <f t="shared" ref="C85:D85" si="96">SUM(J85,M85,P85,V85,AA85,AF85,AL85,AQ85,AW85,BA85,BE85,BJ85,BO85,BU85,BZ85,CD85,CI85,CN85,CQ85,CU85,DA85,DF85,DJ85,DP85,DU85,DZ85)</f>
        <v>230</v>
      </c>
      <c r="D85" s="73">
        <f t="shared" si="96"/>
        <v>526</v>
      </c>
      <c r="E85" s="100">
        <f t="shared" si="52"/>
        <v>11790</v>
      </c>
      <c r="F85" s="104">
        <f t="shared" si="57"/>
        <v>1042</v>
      </c>
      <c r="G85" s="129">
        <f t="shared" si="70"/>
        <v>175</v>
      </c>
      <c r="H85" s="131">
        <f t="shared" si="73"/>
        <v>137</v>
      </c>
      <c r="I85" s="105">
        <v>42</v>
      </c>
      <c r="J85" s="128">
        <v>2</v>
      </c>
      <c r="K85" s="17">
        <v>0</v>
      </c>
      <c r="L85" s="105">
        <v>11</v>
      </c>
      <c r="M85" s="15">
        <v>0</v>
      </c>
      <c r="N85" s="17">
        <v>0</v>
      </c>
      <c r="O85" s="105">
        <v>349</v>
      </c>
      <c r="P85" s="128">
        <v>2</v>
      </c>
      <c r="Q85" s="109">
        <v>4</v>
      </c>
      <c r="R85" s="106">
        <v>38</v>
      </c>
      <c r="S85" s="132">
        <v>10</v>
      </c>
      <c r="T85" s="133">
        <v>9</v>
      </c>
      <c r="U85" s="105">
        <v>422</v>
      </c>
      <c r="V85" s="128">
        <v>5</v>
      </c>
      <c r="W85" s="109">
        <v>65</v>
      </c>
      <c r="X85" s="106">
        <v>68</v>
      </c>
      <c r="Y85" s="130">
        <v>9</v>
      </c>
      <c r="Z85" s="105">
        <v>505</v>
      </c>
      <c r="AA85" s="128">
        <v>12</v>
      </c>
      <c r="AB85" s="109">
        <v>128</v>
      </c>
      <c r="AC85" s="15">
        <v>0</v>
      </c>
      <c r="AD85" s="17">
        <v>0</v>
      </c>
      <c r="AE85" s="105">
        <v>660</v>
      </c>
      <c r="AF85" s="128">
        <v>7</v>
      </c>
      <c r="AG85" s="15">
        <v>0</v>
      </c>
      <c r="AH85" s="15">
        <v>0</v>
      </c>
      <c r="AI85" s="15">
        <v>0</v>
      </c>
      <c r="AJ85" s="17">
        <v>0</v>
      </c>
      <c r="AK85" s="105">
        <v>309</v>
      </c>
      <c r="AL85" s="128">
        <v>11</v>
      </c>
      <c r="AM85" s="15">
        <v>0</v>
      </c>
      <c r="AN85" s="106">
        <v>44</v>
      </c>
      <c r="AO85" s="130">
        <v>5</v>
      </c>
      <c r="AP85" s="87">
        <f>AP84+227</f>
        <v>2007</v>
      </c>
      <c r="AQ85" s="128">
        <f>1+1+21</f>
        <v>23</v>
      </c>
      <c r="AR85" s="109">
        <v>144</v>
      </c>
      <c r="AS85" s="15">
        <v>0</v>
      </c>
      <c r="AT85" s="134"/>
      <c r="AU85" s="133">
        <v>48</v>
      </c>
      <c r="AV85" s="105">
        <v>43</v>
      </c>
      <c r="AW85" s="15">
        <v>0</v>
      </c>
      <c r="AX85" s="109">
        <v>3</v>
      </c>
      <c r="AY85" s="17">
        <v>0</v>
      </c>
      <c r="AZ85" s="105">
        <v>373</v>
      </c>
      <c r="BA85" s="128">
        <v>9</v>
      </c>
      <c r="BB85" s="15">
        <v>0</v>
      </c>
      <c r="BC85" s="17">
        <v>0</v>
      </c>
      <c r="BD85" s="105">
        <v>100</v>
      </c>
      <c r="BE85" s="15">
        <v>0</v>
      </c>
      <c r="BF85" s="15">
        <v>0</v>
      </c>
      <c r="BG85" s="106">
        <v>22</v>
      </c>
      <c r="BH85" s="130">
        <v>4</v>
      </c>
      <c r="BI85" s="105">
        <v>253</v>
      </c>
      <c r="BJ85" s="128">
        <v>3</v>
      </c>
      <c r="BK85" s="15">
        <v>0</v>
      </c>
      <c r="BL85" s="15">
        <v>0</v>
      </c>
      <c r="BM85" s="17">
        <v>0</v>
      </c>
      <c r="BN85" s="105">
        <f>BN84+19</f>
        <v>299</v>
      </c>
      <c r="BO85" s="128">
        <v>11</v>
      </c>
      <c r="BP85" s="15">
        <v>0</v>
      </c>
      <c r="BQ85" s="106">
        <v>42</v>
      </c>
      <c r="BR85" s="132">
        <v>2</v>
      </c>
      <c r="BS85" s="133">
        <v>7</v>
      </c>
      <c r="BT85" s="105">
        <v>48</v>
      </c>
      <c r="BU85" s="15">
        <v>0</v>
      </c>
      <c r="BV85" s="15">
        <v>0</v>
      </c>
      <c r="BW85" s="15">
        <v>0</v>
      </c>
      <c r="BX85" s="17">
        <v>0</v>
      </c>
      <c r="BY85" s="105">
        <v>30</v>
      </c>
      <c r="BZ85" s="15">
        <v>0</v>
      </c>
      <c r="CA85" s="109">
        <v>7</v>
      </c>
      <c r="CB85" s="17">
        <v>0</v>
      </c>
      <c r="CC85" s="105">
        <v>306</v>
      </c>
      <c r="CD85" s="128">
        <v>2</v>
      </c>
      <c r="CE85" s="15">
        <v>0</v>
      </c>
      <c r="CF85" s="15">
        <v>0</v>
      </c>
      <c r="CG85" s="17">
        <v>0</v>
      </c>
      <c r="CH85" s="105">
        <v>35</v>
      </c>
      <c r="CI85" s="15">
        <v>0</v>
      </c>
      <c r="CJ85" s="15">
        <v>0</v>
      </c>
      <c r="CK85" s="15">
        <v>0</v>
      </c>
      <c r="CL85" s="17">
        <v>0</v>
      </c>
      <c r="CM85" s="105">
        <v>86</v>
      </c>
      <c r="CN85" s="128">
        <v>1</v>
      </c>
      <c r="CO85" s="138">
        <v>10</v>
      </c>
      <c r="CP85" s="105">
        <v>141</v>
      </c>
      <c r="CQ85" s="128">
        <v>1</v>
      </c>
      <c r="CR85" s="15">
        <v>0</v>
      </c>
      <c r="CS85" s="17">
        <v>0</v>
      </c>
      <c r="CT85" s="105">
        <v>1401</v>
      </c>
      <c r="CU85" s="128">
        <v>67</v>
      </c>
      <c r="CV85" s="109">
        <v>1</v>
      </c>
      <c r="CW85" s="106">
        <v>358</v>
      </c>
      <c r="CX85" s="132">
        <v>60</v>
      </c>
      <c r="CY85" s="133">
        <v>56</v>
      </c>
      <c r="CZ85" s="105">
        <v>110</v>
      </c>
      <c r="DA85" s="128">
        <v>1</v>
      </c>
      <c r="DB85" s="15">
        <v>0</v>
      </c>
      <c r="DC85" s="15">
        <v>0</v>
      </c>
      <c r="DD85" s="17">
        <v>0</v>
      </c>
      <c r="DE85" s="105">
        <v>38</v>
      </c>
      <c r="DF85" s="15">
        <v>0</v>
      </c>
      <c r="DG85" s="109">
        <v>1</v>
      </c>
      <c r="DH85" s="17">
        <v>0</v>
      </c>
      <c r="DI85" s="87">
        <f>DI84+81</f>
        <v>875</v>
      </c>
      <c r="DJ85" s="128">
        <f>DJ84+2</f>
        <v>17</v>
      </c>
      <c r="DK85" s="15">
        <v>0</v>
      </c>
      <c r="DL85" s="106">
        <v>127</v>
      </c>
      <c r="DM85" s="132">
        <v>20</v>
      </c>
      <c r="DN85" s="133">
        <v>17</v>
      </c>
      <c r="DO85" s="105">
        <v>2532</v>
      </c>
      <c r="DP85" s="128">
        <v>47</v>
      </c>
      <c r="DQ85" s="109">
        <v>148</v>
      </c>
      <c r="DR85" s="106">
        <v>331</v>
      </c>
      <c r="DS85" s="130">
        <v>60</v>
      </c>
      <c r="DT85" s="105">
        <v>95</v>
      </c>
      <c r="DU85" s="15">
        <v>0</v>
      </c>
      <c r="DV85" s="109">
        <v>15</v>
      </c>
      <c r="DW85" s="106">
        <v>12</v>
      </c>
      <c r="DX85" s="130">
        <v>5</v>
      </c>
      <c r="DY85" s="105">
        <v>1476</v>
      </c>
      <c r="DZ85" s="128">
        <v>9</v>
      </c>
      <c r="EA85" s="15">
        <v>0</v>
      </c>
      <c r="EB85" s="41">
        <v>0</v>
      </c>
      <c r="EC85" s="17">
        <v>0</v>
      </c>
      <c r="ED85" s="102" t="s">
        <v>286</v>
      </c>
      <c r="EE85" s="127" t="s">
        <v>287</v>
      </c>
    </row>
    <row r="86" spans="1:135" ht="127.5">
      <c r="A86" s="97">
        <v>43917</v>
      </c>
      <c r="B86" s="14">
        <f t="shared" si="90"/>
        <v>13818</v>
      </c>
      <c r="C86" s="34">
        <f t="shared" ref="C86:D86" si="97">SUM(J86,M86,P86,V86,AA86,AF86,AL86,AQ86,AW86,BA86,BE86,BJ86,BO86,BU86,BZ86,CD86,CI86,CN86,CQ86,CU86,DA86,DF86,DJ86,DP86,DU86,DZ86)</f>
        <v>262</v>
      </c>
      <c r="D86" s="73">
        <f t="shared" si="97"/>
        <v>662</v>
      </c>
      <c r="E86" s="100">
        <f t="shared" si="52"/>
        <v>12894</v>
      </c>
      <c r="F86" s="104">
        <f t="shared" si="57"/>
        <v>1150</v>
      </c>
      <c r="G86" s="129">
        <f t="shared" si="70"/>
        <v>191</v>
      </c>
      <c r="H86" s="131">
        <f t="shared" si="73"/>
        <v>138</v>
      </c>
      <c r="I86" s="105">
        <v>44</v>
      </c>
      <c r="J86" s="128">
        <v>2</v>
      </c>
      <c r="K86" s="17">
        <v>0</v>
      </c>
      <c r="L86" s="105">
        <v>12</v>
      </c>
      <c r="M86" s="15">
        <v>0</v>
      </c>
      <c r="N86" s="17">
        <v>0</v>
      </c>
      <c r="O86" s="105">
        <v>364</v>
      </c>
      <c r="P86" s="128">
        <v>3</v>
      </c>
      <c r="Q86" s="109">
        <v>4</v>
      </c>
      <c r="R86" s="106">
        <v>50</v>
      </c>
      <c r="S86" s="132">
        <v>12</v>
      </c>
      <c r="T86" s="133">
        <v>10</v>
      </c>
      <c r="U86" s="105">
        <v>466</v>
      </c>
      <c r="V86" s="128">
        <v>5</v>
      </c>
      <c r="W86" s="109">
        <v>76</v>
      </c>
      <c r="X86" s="106">
        <v>79</v>
      </c>
      <c r="Y86" s="130">
        <v>11</v>
      </c>
      <c r="Z86" s="105">
        <v>534</v>
      </c>
      <c r="AA86" s="128">
        <v>13</v>
      </c>
      <c r="AB86" s="109">
        <v>191</v>
      </c>
      <c r="AC86" s="15">
        <v>0</v>
      </c>
      <c r="AD86" s="17">
        <v>0</v>
      </c>
      <c r="AE86" s="105">
        <v>718</v>
      </c>
      <c r="AF86" s="128">
        <v>8</v>
      </c>
      <c r="AG86" s="15">
        <v>0</v>
      </c>
      <c r="AH86" s="15">
        <v>0</v>
      </c>
      <c r="AI86" s="15">
        <v>0</v>
      </c>
      <c r="AJ86" s="17">
        <v>0</v>
      </c>
      <c r="AK86" s="105">
        <v>369</v>
      </c>
      <c r="AL86" s="128">
        <v>15</v>
      </c>
      <c r="AM86" s="15">
        <v>0</v>
      </c>
      <c r="AN86" s="106">
        <v>50</v>
      </c>
      <c r="AO86" s="130">
        <v>8</v>
      </c>
      <c r="AP86" s="87">
        <f>AP85+187</f>
        <v>2194</v>
      </c>
      <c r="AQ86" s="128">
        <f>1+3+26</f>
        <v>30</v>
      </c>
      <c r="AR86" s="109">
        <v>153</v>
      </c>
      <c r="AS86" s="15">
        <v>0</v>
      </c>
      <c r="AT86" s="134"/>
      <c r="AU86" s="133">
        <v>54</v>
      </c>
      <c r="AV86" s="105">
        <v>44</v>
      </c>
      <c r="AW86" s="15">
        <v>0</v>
      </c>
      <c r="AX86" s="109">
        <v>3</v>
      </c>
      <c r="AY86" s="17">
        <v>0</v>
      </c>
      <c r="AZ86" s="105">
        <v>409</v>
      </c>
      <c r="BA86" s="128">
        <v>9</v>
      </c>
      <c r="BB86" s="15">
        <v>0</v>
      </c>
      <c r="BC86" s="17">
        <v>0</v>
      </c>
      <c r="BD86" s="105">
        <v>114</v>
      </c>
      <c r="BE86" s="15">
        <v>0</v>
      </c>
      <c r="BF86" s="15">
        <v>0</v>
      </c>
      <c r="BG86" s="106">
        <v>25</v>
      </c>
      <c r="BH86" s="130">
        <v>6</v>
      </c>
      <c r="BI86" s="105">
        <v>287</v>
      </c>
      <c r="BJ86" s="128">
        <v>3</v>
      </c>
      <c r="BK86" s="15">
        <v>0</v>
      </c>
      <c r="BL86" s="15">
        <v>0</v>
      </c>
      <c r="BM86" s="17">
        <v>0</v>
      </c>
      <c r="BN86" s="105">
        <f>BN85+17</f>
        <v>316</v>
      </c>
      <c r="BO86" s="128">
        <v>12</v>
      </c>
      <c r="BP86" s="15">
        <v>0</v>
      </c>
      <c r="BQ86" s="106">
        <v>45</v>
      </c>
      <c r="BR86" s="132">
        <v>2</v>
      </c>
      <c r="BS86" s="133">
        <v>7</v>
      </c>
      <c r="BT86" s="105">
        <v>54</v>
      </c>
      <c r="BU86" s="15">
        <v>0</v>
      </c>
      <c r="BV86" s="15">
        <v>0</v>
      </c>
      <c r="BW86" s="15">
        <v>0</v>
      </c>
      <c r="BX86" s="17">
        <v>0</v>
      </c>
      <c r="BY86" s="105">
        <v>37</v>
      </c>
      <c r="BZ86" s="15">
        <v>0</v>
      </c>
      <c r="CA86" s="109">
        <v>7</v>
      </c>
      <c r="CB86" s="17">
        <v>0</v>
      </c>
      <c r="CC86" s="105">
        <v>306</v>
      </c>
      <c r="CD86" s="128">
        <v>2</v>
      </c>
      <c r="CE86" s="15">
        <v>0</v>
      </c>
      <c r="CF86" s="15">
        <v>0</v>
      </c>
      <c r="CG86" s="17">
        <v>0</v>
      </c>
      <c r="CH86" s="105">
        <v>36</v>
      </c>
      <c r="CI86" s="15">
        <v>0</v>
      </c>
      <c r="CJ86" s="15">
        <v>0</v>
      </c>
      <c r="CK86" s="15">
        <v>0</v>
      </c>
      <c r="CL86" s="17">
        <v>0</v>
      </c>
      <c r="CM86" s="105">
        <v>119</v>
      </c>
      <c r="CN86" s="128">
        <v>1</v>
      </c>
      <c r="CO86" s="138">
        <v>32</v>
      </c>
      <c r="CP86" s="105">
        <v>157</v>
      </c>
      <c r="CQ86" s="128">
        <v>1</v>
      </c>
      <c r="CR86" s="15">
        <v>0</v>
      </c>
      <c r="CS86" s="17">
        <v>0</v>
      </c>
      <c r="CT86" s="105">
        <v>1688</v>
      </c>
      <c r="CU86" s="128">
        <v>76</v>
      </c>
      <c r="CV86" s="109">
        <v>1</v>
      </c>
      <c r="CW86" s="106">
        <v>386</v>
      </c>
      <c r="CX86" s="132">
        <v>61</v>
      </c>
      <c r="CY86" s="133">
        <v>51</v>
      </c>
      <c r="CZ86" s="105">
        <v>117</v>
      </c>
      <c r="DA86" s="128">
        <v>1</v>
      </c>
      <c r="DB86" s="15">
        <v>0</v>
      </c>
      <c r="DC86" s="15">
        <v>0</v>
      </c>
      <c r="DD86" s="17">
        <v>0</v>
      </c>
      <c r="DE86" s="105">
        <v>40</v>
      </c>
      <c r="DF86" s="15">
        <v>0</v>
      </c>
      <c r="DG86" s="109">
        <v>3</v>
      </c>
      <c r="DH86" s="17">
        <v>0</v>
      </c>
      <c r="DI86" s="87">
        <f>DI85+94</f>
        <v>969</v>
      </c>
      <c r="DJ86" s="128">
        <f t="shared" ref="DJ86:DJ87" si="98">DJ85+2+2</f>
        <v>21</v>
      </c>
      <c r="DK86" s="15">
        <v>0</v>
      </c>
      <c r="DL86" s="106">
        <v>136</v>
      </c>
      <c r="DM86" s="132">
        <v>21</v>
      </c>
      <c r="DN86" s="133">
        <v>16</v>
      </c>
      <c r="DO86" s="105">
        <v>2745</v>
      </c>
      <c r="DP86" s="128">
        <v>48</v>
      </c>
      <c r="DQ86" s="109">
        <v>174</v>
      </c>
      <c r="DR86" s="106">
        <v>367</v>
      </c>
      <c r="DS86" s="130">
        <v>65</v>
      </c>
      <c r="DT86" s="105">
        <v>101</v>
      </c>
      <c r="DU86" s="128">
        <v>1</v>
      </c>
      <c r="DV86" s="109">
        <v>18</v>
      </c>
      <c r="DW86" s="106">
        <v>12</v>
      </c>
      <c r="DX86" s="130">
        <v>5</v>
      </c>
      <c r="DY86" s="105">
        <v>1578</v>
      </c>
      <c r="DZ86" s="128">
        <v>11</v>
      </c>
      <c r="EA86" s="15">
        <v>0</v>
      </c>
      <c r="EB86" s="41">
        <v>0</v>
      </c>
      <c r="EC86" s="17">
        <v>0</v>
      </c>
      <c r="ED86" s="102" t="s">
        <v>290</v>
      </c>
      <c r="EE86" s="127" t="s">
        <v>291</v>
      </c>
    </row>
    <row r="87" spans="1:135" ht="140.25">
      <c r="A87" s="97">
        <v>43918</v>
      </c>
      <c r="B87" s="14">
        <f t="shared" si="90"/>
        <v>14754</v>
      </c>
      <c r="C87" s="34">
        <f t="shared" ref="C87:D87" si="99">SUM(J87,M87,P87,V87,AA87,AF87,AL87,AQ87,AW87,BA87,BE87,BJ87,BO87,BU87,BZ87,CD87,CI87,CN87,CQ87,CU87,DA87,DF87,DJ87,DP87,DU87,DZ87)</f>
        <v>306</v>
      </c>
      <c r="D87" s="73">
        <f t="shared" si="99"/>
        <v>742</v>
      </c>
      <c r="E87" s="100">
        <f t="shared" si="52"/>
        <v>13706</v>
      </c>
      <c r="F87" s="104">
        <f t="shared" si="57"/>
        <v>1183</v>
      </c>
      <c r="G87" s="129">
        <f t="shared" si="70"/>
        <v>209</v>
      </c>
      <c r="H87" s="131">
        <f t="shared" si="73"/>
        <v>151</v>
      </c>
      <c r="I87" s="105">
        <v>45</v>
      </c>
      <c r="J87" s="128">
        <v>2</v>
      </c>
      <c r="K87" s="17">
        <v>0</v>
      </c>
      <c r="L87" s="105">
        <v>13</v>
      </c>
      <c r="M87" s="15">
        <v>0</v>
      </c>
      <c r="N87" s="17">
        <v>0</v>
      </c>
      <c r="O87" s="105">
        <v>364</v>
      </c>
      <c r="P87" s="128">
        <v>3</v>
      </c>
      <c r="Q87" s="109">
        <v>4</v>
      </c>
      <c r="R87" s="106">
        <v>50</v>
      </c>
      <c r="S87" s="132">
        <v>12</v>
      </c>
      <c r="T87" s="133">
        <v>10</v>
      </c>
      <c r="U87" s="105">
        <v>502</v>
      </c>
      <c r="V87" s="128">
        <v>6</v>
      </c>
      <c r="W87" s="109">
        <v>100</v>
      </c>
      <c r="X87" s="106">
        <v>75</v>
      </c>
      <c r="Y87" s="130">
        <v>14</v>
      </c>
      <c r="Z87" s="105">
        <v>573</v>
      </c>
      <c r="AA87" s="128">
        <v>13</v>
      </c>
      <c r="AB87" s="109">
        <v>211</v>
      </c>
      <c r="AC87" s="15">
        <v>0</v>
      </c>
      <c r="AD87" s="17">
        <v>0</v>
      </c>
      <c r="AE87" s="105">
        <v>767</v>
      </c>
      <c r="AF87" s="128">
        <v>9</v>
      </c>
      <c r="AG87" s="15">
        <v>0</v>
      </c>
      <c r="AH87" s="15">
        <v>0</v>
      </c>
      <c r="AI87" s="15">
        <v>0</v>
      </c>
      <c r="AJ87" s="17">
        <v>0</v>
      </c>
      <c r="AK87" s="105">
        <v>421</v>
      </c>
      <c r="AL87" s="128">
        <v>15</v>
      </c>
      <c r="AM87" s="15">
        <v>0</v>
      </c>
      <c r="AN87" s="106">
        <v>67</v>
      </c>
      <c r="AO87" s="130">
        <v>12</v>
      </c>
      <c r="AP87" s="87">
        <f>AP86+199</f>
        <v>2393</v>
      </c>
      <c r="AQ87" s="128">
        <f>1+6+30</f>
        <v>37</v>
      </c>
      <c r="AR87" s="109">
        <v>175</v>
      </c>
      <c r="AS87" s="15">
        <v>0</v>
      </c>
      <c r="AT87" s="134"/>
      <c r="AU87" s="133">
        <v>54</v>
      </c>
      <c r="AV87" s="105">
        <v>47</v>
      </c>
      <c r="AW87" s="128">
        <v>1</v>
      </c>
      <c r="AX87" s="109">
        <v>3</v>
      </c>
      <c r="AY87" s="17">
        <v>0</v>
      </c>
      <c r="AZ87" s="105">
        <v>409</v>
      </c>
      <c r="BA87" s="128">
        <v>9</v>
      </c>
      <c r="BB87" s="15">
        <v>0</v>
      </c>
      <c r="BC87" s="17">
        <v>0</v>
      </c>
      <c r="BD87" s="105">
        <v>119</v>
      </c>
      <c r="BE87" s="15">
        <v>0</v>
      </c>
      <c r="BF87" s="15">
        <v>0</v>
      </c>
      <c r="BG87" s="106">
        <v>27</v>
      </c>
      <c r="BH87" s="130">
        <v>5</v>
      </c>
      <c r="BI87" s="105">
        <v>317</v>
      </c>
      <c r="BJ87" s="128">
        <v>4</v>
      </c>
      <c r="BK87" s="15">
        <v>0</v>
      </c>
      <c r="BL87" s="15">
        <v>0</v>
      </c>
      <c r="BM87" s="17">
        <v>0</v>
      </c>
      <c r="BN87" s="105">
        <f>BN86+21</f>
        <v>337</v>
      </c>
      <c r="BO87" s="128">
        <v>15</v>
      </c>
      <c r="BP87" s="15">
        <v>0</v>
      </c>
      <c r="BQ87" s="106">
        <v>50</v>
      </c>
      <c r="BR87" s="132">
        <v>3</v>
      </c>
      <c r="BS87" s="133">
        <v>8</v>
      </c>
      <c r="BT87" s="105">
        <v>55</v>
      </c>
      <c r="BU87" s="15">
        <v>0</v>
      </c>
      <c r="BV87" s="15">
        <v>0</v>
      </c>
      <c r="BW87" s="15">
        <v>0</v>
      </c>
      <c r="BX87" s="17">
        <v>0</v>
      </c>
      <c r="BY87" s="105">
        <v>37</v>
      </c>
      <c r="BZ87" s="15">
        <v>0</v>
      </c>
      <c r="CA87" s="109">
        <v>7</v>
      </c>
      <c r="CB87" s="17">
        <v>0</v>
      </c>
      <c r="CC87" s="105">
        <v>339</v>
      </c>
      <c r="CD87" s="128">
        <v>5</v>
      </c>
      <c r="CE87" s="15">
        <v>0</v>
      </c>
      <c r="CF87" s="15">
        <v>0</v>
      </c>
      <c r="CG87" s="17">
        <v>0</v>
      </c>
      <c r="CH87" s="105">
        <v>37</v>
      </c>
      <c r="CI87" s="15">
        <v>0</v>
      </c>
      <c r="CJ87" s="15">
        <v>0</v>
      </c>
      <c r="CK87" s="15">
        <v>0</v>
      </c>
      <c r="CL87" s="17">
        <v>0</v>
      </c>
      <c r="CM87" s="105">
        <v>122</v>
      </c>
      <c r="CN87" s="128">
        <v>2</v>
      </c>
      <c r="CO87" s="138">
        <v>33</v>
      </c>
      <c r="CP87" s="105">
        <v>173</v>
      </c>
      <c r="CQ87" s="128">
        <v>1</v>
      </c>
      <c r="CR87" s="15">
        <v>0</v>
      </c>
      <c r="CS87" s="17">
        <v>0</v>
      </c>
      <c r="CT87" s="105">
        <v>1727</v>
      </c>
      <c r="CU87" s="128">
        <v>87</v>
      </c>
      <c r="CV87" s="109">
        <v>1</v>
      </c>
      <c r="CW87" s="106">
        <v>385</v>
      </c>
      <c r="CX87" s="132">
        <v>69</v>
      </c>
      <c r="CY87" s="133">
        <v>60</v>
      </c>
      <c r="CZ87" s="105">
        <v>134</v>
      </c>
      <c r="DA87" s="128">
        <v>1</v>
      </c>
      <c r="DB87" s="15">
        <v>0</v>
      </c>
      <c r="DC87" s="15">
        <v>0</v>
      </c>
      <c r="DD87" s="17">
        <v>0</v>
      </c>
      <c r="DE87" s="105">
        <v>48</v>
      </c>
      <c r="DF87" s="15">
        <v>0</v>
      </c>
      <c r="DG87" s="109">
        <v>3</v>
      </c>
      <c r="DH87" s="17">
        <v>0</v>
      </c>
      <c r="DI87" s="87">
        <f>DI86+49</f>
        <v>1018</v>
      </c>
      <c r="DJ87" s="128">
        <f t="shared" si="98"/>
        <v>25</v>
      </c>
      <c r="DK87" s="15">
        <v>0</v>
      </c>
      <c r="DL87" s="106">
        <v>141</v>
      </c>
      <c r="DM87" s="132">
        <v>22</v>
      </c>
      <c r="DN87" s="133">
        <v>19</v>
      </c>
      <c r="DO87" s="105">
        <v>2936</v>
      </c>
      <c r="DP87" s="128">
        <v>55</v>
      </c>
      <c r="DQ87" s="109">
        <v>187</v>
      </c>
      <c r="DR87" s="106">
        <v>376</v>
      </c>
      <c r="DS87" s="130">
        <v>67</v>
      </c>
      <c r="DT87" s="105">
        <v>101</v>
      </c>
      <c r="DU87" s="128">
        <v>1</v>
      </c>
      <c r="DV87" s="109">
        <v>18</v>
      </c>
      <c r="DW87" s="106">
        <v>12</v>
      </c>
      <c r="DX87" s="130">
        <v>5</v>
      </c>
      <c r="DY87" s="105">
        <v>1720</v>
      </c>
      <c r="DZ87" s="128">
        <v>15</v>
      </c>
      <c r="EA87" s="15">
        <v>0</v>
      </c>
      <c r="EB87" s="41">
        <v>0</v>
      </c>
      <c r="EC87" s="17">
        <v>0</v>
      </c>
      <c r="ED87" s="102" t="s">
        <v>295</v>
      </c>
      <c r="EE87" s="127" t="s">
        <v>296</v>
      </c>
    </row>
    <row r="88" spans="1:135" ht="127.5">
      <c r="A88" s="97">
        <v>43919</v>
      </c>
      <c r="B88" s="14">
        <f t="shared" si="90"/>
        <v>15494</v>
      </c>
      <c r="C88" s="34">
        <f t="shared" ref="C88:D88" si="100">SUM(J88,M88,P88,V88,AA88,AF88,AL88,AQ88,AW88,BA88,BE88,BJ88,BO88,BU88,BZ88,CD88,CI88,CN88,CQ88,CU88,DA88,DF88,DJ88,DP88,DU88,DZ88)</f>
        <v>345</v>
      </c>
      <c r="D88" s="73">
        <f t="shared" si="100"/>
        <v>790</v>
      </c>
      <c r="E88" s="100">
        <f t="shared" si="52"/>
        <v>14359</v>
      </c>
      <c r="F88" s="104">
        <f t="shared" si="57"/>
        <v>1260</v>
      </c>
      <c r="G88" s="129">
        <f t="shared" si="70"/>
        <v>222</v>
      </c>
      <c r="H88" s="131">
        <f t="shared" si="73"/>
        <v>152</v>
      </c>
      <c r="I88" s="105">
        <v>48</v>
      </c>
      <c r="J88" s="128">
        <v>2</v>
      </c>
      <c r="K88" s="17">
        <v>0</v>
      </c>
      <c r="L88" s="105">
        <v>13</v>
      </c>
      <c r="M88" s="15">
        <v>0</v>
      </c>
      <c r="N88" s="17">
        <v>0</v>
      </c>
      <c r="O88" s="105">
        <v>364</v>
      </c>
      <c r="P88" s="128">
        <v>3</v>
      </c>
      <c r="Q88" s="109">
        <v>4</v>
      </c>
      <c r="R88" s="106">
        <v>50</v>
      </c>
      <c r="S88" s="132">
        <v>12</v>
      </c>
      <c r="T88" s="133">
        <v>10</v>
      </c>
      <c r="U88" s="105">
        <v>511</v>
      </c>
      <c r="V88" s="128">
        <v>6</v>
      </c>
      <c r="W88" s="109">
        <v>115</v>
      </c>
      <c r="X88" s="106">
        <v>99</v>
      </c>
      <c r="Y88" s="130">
        <v>15</v>
      </c>
      <c r="Z88" s="105">
        <v>609</v>
      </c>
      <c r="AA88" s="128">
        <v>15</v>
      </c>
      <c r="AB88" s="109">
        <v>228</v>
      </c>
      <c r="AC88" s="15">
        <v>0</v>
      </c>
      <c r="AD88" s="17">
        <v>0</v>
      </c>
      <c r="AE88" s="105">
        <v>798</v>
      </c>
      <c r="AF88" s="128">
        <v>10</v>
      </c>
      <c r="AG88" s="15">
        <v>0</v>
      </c>
      <c r="AH88" s="15">
        <v>0</v>
      </c>
      <c r="AI88" s="15">
        <v>0</v>
      </c>
      <c r="AJ88" s="17">
        <v>0</v>
      </c>
      <c r="AK88" s="105">
        <v>442</v>
      </c>
      <c r="AL88" s="128">
        <v>16</v>
      </c>
      <c r="AM88" s="15">
        <v>0</v>
      </c>
      <c r="AN88" s="106">
        <v>76</v>
      </c>
      <c r="AO88" s="130">
        <v>13</v>
      </c>
      <c r="AP88" s="87">
        <f>AP87+110</f>
        <v>2503</v>
      </c>
      <c r="AQ88" s="128">
        <f>1+7+36</f>
        <v>44</v>
      </c>
      <c r="AR88" s="109">
        <v>175</v>
      </c>
      <c r="AS88" s="15">
        <v>0</v>
      </c>
      <c r="AT88" s="134"/>
      <c r="AU88" s="133">
        <v>55</v>
      </c>
      <c r="AV88" s="105">
        <v>47</v>
      </c>
      <c r="AW88" s="128">
        <v>1</v>
      </c>
      <c r="AX88" s="109">
        <v>3</v>
      </c>
      <c r="AY88" s="17">
        <v>0</v>
      </c>
      <c r="AZ88" s="105">
        <v>409</v>
      </c>
      <c r="BA88" s="128">
        <v>9</v>
      </c>
      <c r="BB88" s="15">
        <v>0</v>
      </c>
      <c r="BC88" s="17">
        <v>0</v>
      </c>
      <c r="BD88" s="105">
        <v>127</v>
      </c>
      <c r="BE88" s="15">
        <v>0</v>
      </c>
      <c r="BF88" s="15">
        <v>0</v>
      </c>
      <c r="BG88" s="106">
        <v>28</v>
      </c>
      <c r="BH88" s="130">
        <v>5</v>
      </c>
      <c r="BI88" s="105">
        <v>339</v>
      </c>
      <c r="BJ88" s="128">
        <v>5</v>
      </c>
      <c r="BK88" s="15">
        <v>0</v>
      </c>
      <c r="BL88" s="15">
        <v>0</v>
      </c>
      <c r="BM88" s="17">
        <v>0</v>
      </c>
      <c r="BN88" s="105">
        <f>BN87+9</f>
        <v>346</v>
      </c>
      <c r="BO88" s="128">
        <v>18</v>
      </c>
      <c r="BP88" s="15">
        <v>0</v>
      </c>
      <c r="BQ88" s="106">
        <v>60</v>
      </c>
      <c r="BR88" s="132">
        <v>10</v>
      </c>
      <c r="BS88" s="133">
        <v>6</v>
      </c>
      <c r="BT88" s="105">
        <v>59</v>
      </c>
      <c r="BU88" s="15">
        <v>0</v>
      </c>
      <c r="BV88" s="15">
        <v>0</v>
      </c>
      <c r="BW88" s="15">
        <v>0</v>
      </c>
      <c r="BX88" s="17">
        <v>0</v>
      </c>
      <c r="BY88" s="105">
        <v>37</v>
      </c>
      <c r="BZ88" s="15">
        <v>0</v>
      </c>
      <c r="CA88" s="109">
        <v>7</v>
      </c>
      <c r="CB88" s="17"/>
      <c r="CC88" s="105">
        <v>365</v>
      </c>
      <c r="CD88" s="128">
        <v>5</v>
      </c>
      <c r="CE88" s="15">
        <v>0</v>
      </c>
      <c r="CF88" s="15">
        <v>0</v>
      </c>
      <c r="CG88" s="17">
        <v>0</v>
      </c>
      <c r="CH88" s="105">
        <v>40</v>
      </c>
      <c r="CI88" s="15">
        <v>0</v>
      </c>
      <c r="CJ88" s="15">
        <v>0</v>
      </c>
      <c r="CK88" s="15">
        <v>0</v>
      </c>
      <c r="CL88" s="17">
        <v>0</v>
      </c>
      <c r="CM88" s="105">
        <v>128</v>
      </c>
      <c r="CN88" s="128">
        <v>2</v>
      </c>
      <c r="CO88" s="138">
        <v>33</v>
      </c>
      <c r="CP88" s="105">
        <v>190</v>
      </c>
      <c r="CQ88" s="128">
        <v>2</v>
      </c>
      <c r="CR88" s="15">
        <v>0</v>
      </c>
      <c r="CS88" s="17">
        <v>0</v>
      </c>
      <c r="CT88" s="105">
        <v>1837</v>
      </c>
      <c r="CU88" s="128">
        <v>93</v>
      </c>
      <c r="CV88" s="109">
        <v>1</v>
      </c>
      <c r="CW88" s="106">
        <v>402</v>
      </c>
      <c r="CX88" s="132">
        <v>69</v>
      </c>
      <c r="CY88" s="133">
        <v>59</v>
      </c>
      <c r="CZ88" s="105">
        <v>138</v>
      </c>
      <c r="DA88" s="128">
        <v>1</v>
      </c>
      <c r="DB88" s="15">
        <v>0</v>
      </c>
      <c r="DC88" s="15">
        <v>0</v>
      </c>
      <c r="DD88" s="17">
        <v>0</v>
      </c>
      <c r="DE88" s="105">
        <v>50</v>
      </c>
      <c r="DF88" s="15">
        <v>0</v>
      </c>
      <c r="DG88" s="109">
        <v>3</v>
      </c>
      <c r="DH88" s="17">
        <v>0</v>
      </c>
      <c r="DI88" s="87">
        <f>DI87+38</f>
        <v>1056</v>
      </c>
      <c r="DJ88" s="128">
        <f>DJ87+2+4</f>
        <v>31</v>
      </c>
      <c r="DK88" s="15">
        <v>0</v>
      </c>
      <c r="DL88" s="106">
        <v>151</v>
      </c>
      <c r="DM88" s="132">
        <v>23</v>
      </c>
      <c r="DN88" s="133">
        <v>22</v>
      </c>
      <c r="DO88" s="105">
        <v>3168</v>
      </c>
      <c r="DP88" s="128">
        <v>66</v>
      </c>
      <c r="DQ88" s="109">
        <v>203</v>
      </c>
      <c r="DR88" s="106">
        <v>381</v>
      </c>
      <c r="DS88" s="130">
        <v>70</v>
      </c>
      <c r="DT88" s="105">
        <v>112</v>
      </c>
      <c r="DU88" s="128">
        <v>1</v>
      </c>
      <c r="DV88" s="109">
        <v>18</v>
      </c>
      <c r="DW88" s="106">
        <v>13</v>
      </c>
      <c r="DX88" s="130">
        <v>5</v>
      </c>
      <c r="DY88" s="105">
        <v>1758</v>
      </c>
      <c r="DZ88" s="128">
        <v>15</v>
      </c>
      <c r="EA88" s="15">
        <v>0</v>
      </c>
      <c r="EB88" s="41">
        <v>0</v>
      </c>
      <c r="EC88" s="17">
        <v>0</v>
      </c>
      <c r="ED88" s="102" t="s">
        <v>300</v>
      </c>
      <c r="EE88" s="127" t="s">
        <v>301</v>
      </c>
    </row>
    <row r="89" spans="1:135" ht="165.75">
      <c r="A89" s="97">
        <v>43920</v>
      </c>
      <c r="B89" s="14">
        <f t="shared" si="90"/>
        <v>16555</v>
      </c>
      <c r="C89" s="34">
        <f t="shared" ref="C89:D89" si="101">SUM(J89,M89,P89,V89,AA89,AF89,AL89,AQ89,AW89,BA89,BE89,BJ89,BO89,BU89,BZ89,CD89,CI89,CN89,CQ89,CU89,DA89,DF89,DJ89,DP89,DU89,DZ89)</f>
        <v>405</v>
      </c>
      <c r="D89" s="73">
        <f t="shared" si="101"/>
        <v>1004</v>
      </c>
      <c r="E89" s="100">
        <f t="shared" si="52"/>
        <v>15146</v>
      </c>
      <c r="F89" s="104">
        <f t="shared" si="57"/>
        <v>1308</v>
      </c>
      <c r="G89" s="129">
        <f t="shared" si="70"/>
        <v>249</v>
      </c>
      <c r="H89" s="131">
        <f t="shared" si="73"/>
        <v>168</v>
      </c>
      <c r="I89" s="105">
        <v>49</v>
      </c>
      <c r="J89" s="128">
        <v>2</v>
      </c>
      <c r="K89" s="17">
        <v>0</v>
      </c>
      <c r="L89" s="105">
        <v>14</v>
      </c>
      <c r="M89" s="15">
        <v>0</v>
      </c>
      <c r="N89" s="17">
        <v>0</v>
      </c>
      <c r="O89" s="105">
        <v>481</v>
      </c>
      <c r="P89" s="128">
        <v>8</v>
      </c>
      <c r="Q89" s="109">
        <v>4</v>
      </c>
      <c r="R89" s="106">
        <v>94</v>
      </c>
      <c r="S89" s="132">
        <v>25</v>
      </c>
      <c r="T89" s="133">
        <v>23</v>
      </c>
      <c r="U89" s="105">
        <v>539</v>
      </c>
      <c r="V89" s="128">
        <v>7</v>
      </c>
      <c r="W89" s="109">
        <v>158</v>
      </c>
      <c r="X89" s="106">
        <v>86</v>
      </c>
      <c r="Y89" s="130">
        <v>17</v>
      </c>
      <c r="Z89" s="105">
        <v>621</v>
      </c>
      <c r="AA89" s="128">
        <v>15</v>
      </c>
      <c r="AB89" s="109">
        <v>263</v>
      </c>
      <c r="AC89" s="15">
        <v>0</v>
      </c>
      <c r="AD89" s="17">
        <v>0</v>
      </c>
      <c r="AE89" s="105">
        <v>826</v>
      </c>
      <c r="AF89" s="128">
        <v>13</v>
      </c>
      <c r="AG89" s="15">
        <v>0</v>
      </c>
      <c r="AH89" s="15">
        <v>0</v>
      </c>
      <c r="AI89" s="15">
        <v>0</v>
      </c>
      <c r="AJ89" s="17">
        <v>0</v>
      </c>
      <c r="AK89" s="105">
        <v>477</v>
      </c>
      <c r="AL89" s="128">
        <v>17</v>
      </c>
      <c r="AM89" s="15">
        <v>0</v>
      </c>
      <c r="AN89" s="106">
        <v>77</v>
      </c>
      <c r="AO89" s="130">
        <v>16</v>
      </c>
      <c r="AP89" s="87">
        <f>AP88+209</f>
        <v>2712</v>
      </c>
      <c r="AQ89" s="128">
        <f>2+9+42</f>
        <v>53</v>
      </c>
      <c r="AR89" s="109">
        <v>216</v>
      </c>
      <c r="AS89" s="15">
        <v>0</v>
      </c>
      <c r="AT89" s="134"/>
      <c r="AU89" s="133">
        <v>54</v>
      </c>
      <c r="AV89" s="105">
        <v>50</v>
      </c>
      <c r="AW89" s="128">
        <v>1</v>
      </c>
      <c r="AX89" s="109">
        <v>3</v>
      </c>
      <c r="AY89" s="17">
        <v>0</v>
      </c>
      <c r="AZ89" s="105">
        <v>497</v>
      </c>
      <c r="BA89" s="128">
        <v>12</v>
      </c>
      <c r="BB89" s="15">
        <v>0</v>
      </c>
      <c r="BC89" s="17">
        <v>0</v>
      </c>
      <c r="BD89" s="105">
        <v>128</v>
      </c>
      <c r="BE89" s="15">
        <v>0</v>
      </c>
      <c r="BF89" s="15">
        <v>0</v>
      </c>
      <c r="BG89" s="106">
        <v>28</v>
      </c>
      <c r="BH89" s="130">
        <v>5</v>
      </c>
      <c r="BI89" s="105">
        <v>351</v>
      </c>
      <c r="BJ89" s="128">
        <v>6</v>
      </c>
      <c r="BK89" s="15">
        <v>0</v>
      </c>
      <c r="BL89" s="15">
        <v>0</v>
      </c>
      <c r="BM89" s="17">
        <v>0</v>
      </c>
      <c r="BN89" s="105">
        <f>BN88+32</f>
        <v>378</v>
      </c>
      <c r="BO89" s="128">
        <v>21</v>
      </c>
      <c r="BP89" s="15">
        <v>0</v>
      </c>
      <c r="BQ89" s="106">
        <v>57</v>
      </c>
      <c r="BR89" s="132">
        <v>6</v>
      </c>
      <c r="BS89" s="133">
        <v>6</v>
      </c>
      <c r="BT89" s="105">
        <v>63</v>
      </c>
      <c r="BU89" s="15">
        <v>0</v>
      </c>
      <c r="BV89" s="15">
        <v>0</v>
      </c>
      <c r="BW89" s="15">
        <v>0</v>
      </c>
      <c r="BX89" s="17">
        <v>0</v>
      </c>
      <c r="BY89" s="105">
        <v>46</v>
      </c>
      <c r="BZ89" s="15">
        <v>0</v>
      </c>
      <c r="CA89" s="109">
        <v>7</v>
      </c>
      <c r="CB89" s="17"/>
      <c r="CC89" s="105">
        <v>389</v>
      </c>
      <c r="CD89" s="128">
        <v>5</v>
      </c>
      <c r="CE89" s="15">
        <v>0</v>
      </c>
      <c r="CF89" s="15">
        <v>0</v>
      </c>
      <c r="CG89" s="17">
        <v>0</v>
      </c>
      <c r="CH89" s="105">
        <v>41</v>
      </c>
      <c r="CI89" s="15">
        <v>0</v>
      </c>
      <c r="CJ89" s="15">
        <v>0</v>
      </c>
      <c r="CK89" s="15">
        <v>0</v>
      </c>
      <c r="CL89" s="17">
        <v>0</v>
      </c>
      <c r="CM89" s="105">
        <v>135</v>
      </c>
      <c r="CN89" s="128">
        <v>2</v>
      </c>
      <c r="CO89" s="138">
        <v>33</v>
      </c>
      <c r="CP89" s="105">
        <v>190</v>
      </c>
      <c r="CQ89" s="128">
        <v>2</v>
      </c>
      <c r="CR89" s="15">
        <v>0</v>
      </c>
      <c r="CS89" s="17">
        <v>0</v>
      </c>
      <c r="CT89" s="105">
        <v>1962</v>
      </c>
      <c r="CU89" s="128">
        <v>105</v>
      </c>
      <c r="CV89" s="109">
        <v>59</v>
      </c>
      <c r="CW89" s="106">
        <v>415</v>
      </c>
      <c r="CX89" s="132">
        <v>75</v>
      </c>
      <c r="CY89" s="133">
        <v>61</v>
      </c>
      <c r="CZ89" s="105">
        <v>148</v>
      </c>
      <c r="DA89" s="128">
        <v>2</v>
      </c>
      <c r="DB89" s="15">
        <v>0</v>
      </c>
      <c r="DC89" s="15">
        <v>0</v>
      </c>
      <c r="DD89" s="17">
        <v>0</v>
      </c>
      <c r="DE89" s="105">
        <v>53</v>
      </c>
      <c r="DF89" s="15">
        <v>0</v>
      </c>
      <c r="DG89" s="109">
        <v>9</v>
      </c>
      <c r="DH89" s="17">
        <v>0</v>
      </c>
      <c r="DI89" s="87">
        <f>DI88+89</f>
        <v>1145</v>
      </c>
      <c r="DJ89" s="128">
        <f>DJ88+2+2</f>
        <v>35</v>
      </c>
      <c r="DK89" s="15">
        <v>0</v>
      </c>
      <c r="DL89" s="106">
        <v>154</v>
      </c>
      <c r="DM89" s="132">
        <v>26</v>
      </c>
      <c r="DN89" s="133">
        <v>24</v>
      </c>
      <c r="DO89" s="105">
        <v>3272</v>
      </c>
      <c r="DP89" s="128">
        <v>77</v>
      </c>
      <c r="DQ89" s="109">
        <v>223</v>
      </c>
      <c r="DR89" s="106">
        <v>383</v>
      </c>
      <c r="DS89" s="130">
        <v>73</v>
      </c>
      <c r="DT89" s="105">
        <v>114</v>
      </c>
      <c r="DU89" s="128">
        <v>1</v>
      </c>
      <c r="DV89" s="109">
        <v>29</v>
      </c>
      <c r="DW89" s="106">
        <v>14</v>
      </c>
      <c r="DX89" s="130">
        <v>6</v>
      </c>
      <c r="DY89" s="105">
        <v>1874</v>
      </c>
      <c r="DZ89" s="128">
        <v>21</v>
      </c>
      <c r="EA89" s="15">
        <v>0</v>
      </c>
      <c r="EB89" s="41">
        <v>0</v>
      </c>
      <c r="EC89" s="17">
        <v>0</v>
      </c>
      <c r="ED89" s="102" t="s">
        <v>302</v>
      </c>
      <c r="EE89" s="127" t="s">
        <v>303</v>
      </c>
    </row>
    <row r="90" spans="1:135" ht="216.75">
      <c r="A90" s="110">
        <v>43921</v>
      </c>
      <c r="B90" s="21">
        <f t="shared" si="90"/>
        <v>17509</v>
      </c>
      <c r="C90" s="78">
        <f t="shared" ref="C90:D90" si="102">SUM(J90,M90,P90,V90,AA90,AF90,AL90,AQ90,AW90,BA90,BE90,BJ90,BO90,BU90,BZ90,CD90,CI90,CN90,CQ90,CU90,DA90,DF90,DJ90,DP90,DU90,DZ90)</f>
        <v>470</v>
      </c>
      <c r="D90" s="79">
        <f t="shared" si="102"/>
        <v>1314</v>
      </c>
      <c r="E90" s="112">
        <f t="shared" si="52"/>
        <v>15725</v>
      </c>
      <c r="F90" s="113">
        <f t="shared" si="57"/>
        <v>1297</v>
      </c>
      <c r="G90" s="164">
        <f t="shared" si="70"/>
        <v>255</v>
      </c>
      <c r="H90" s="165">
        <f t="shared" si="73"/>
        <v>192</v>
      </c>
      <c r="I90" s="116">
        <v>60</v>
      </c>
      <c r="J90" s="166">
        <v>2</v>
      </c>
      <c r="K90" s="24">
        <v>0</v>
      </c>
      <c r="L90" s="116">
        <v>14</v>
      </c>
      <c r="M90" s="22">
        <v>0</v>
      </c>
      <c r="N90" s="24">
        <v>0</v>
      </c>
      <c r="O90" s="116">
        <v>499</v>
      </c>
      <c r="P90" s="166">
        <v>11</v>
      </c>
      <c r="Q90" s="118">
        <v>4</v>
      </c>
      <c r="R90" s="117">
        <v>85</v>
      </c>
      <c r="S90" s="167">
        <v>25</v>
      </c>
      <c r="T90" s="168">
        <v>25</v>
      </c>
      <c r="U90" s="116">
        <v>561</v>
      </c>
      <c r="V90" s="166">
        <v>10</v>
      </c>
      <c r="W90" s="118">
        <v>242</v>
      </c>
      <c r="X90" s="117">
        <v>88</v>
      </c>
      <c r="Y90" s="170">
        <v>18</v>
      </c>
      <c r="Z90" s="116">
        <v>628</v>
      </c>
      <c r="AA90" s="166">
        <v>16</v>
      </c>
      <c r="AB90" s="118">
        <v>292</v>
      </c>
      <c r="AC90" s="22">
        <v>0</v>
      </c>
      <c r="AD90" s="24">
        <v>0</v>
      </c>
      <c r="AE90" s="116">
        <v>856</v>
      </c>
      <c r="AF90" s="166">
        <v>16</v>
      </c>
      <c r="AG90" s="22">
        <v>0</v>
      </c>
      <c r="AH90" s="22">
        <v>0</v>
      </c>
      <c r="AI90" s="22">
        <v>0</v>
      </c>
      <c r="AJ90" s="168">
        <v>18</v>
      </c>
      <c r="AK90" s="116">
        <v>491</v>
      </c>
      <c r="AL90" s="166">
        <v>20</v>
      </c>
      <c r="AM90" s="22">
        <v>0</v>
      </c>
      <c r="AN90" s="117">
        <v>77</v>
      </c>
      <c r="AO90" s="170">
        <v>20</v>
      </c>
      <c r="AP90" s="92">
        <f>AP89+232</f>
        <v>2944</v>
      </c>
      <c r="AQ90" s="166">
        <f>2+10+49</f>
        <v>61</v>
      </c>
      <c r="AR90" s="118">
        <v>241</v>
      </c>
      <c r="AS90" s="22">
        <v>0</v>
      </c>
      <c r="AT90" s="172"/>
      <c r="AU90" s="168">
        <v>49</v>
      </c>
      <c r="AV90" s="116">
        <v>53</v>
      </c>
      <c r="AW90" s="166">
        <v>2</v>
      </c>
      <c r="AX90" s="118">
        <v>3</v>
      </c>
      <c r="AY90" s="24">
        <v>0</v>
      </c>
      <c r="AZ90" s="116">
        <v>513</v>
      </c>
      <c r="BA90" s="166">
        <v>19</v>
      </c>
      <c r="BB90" s="22">
        <v>0</v>
      </c>
      <c r="BC90" s="24">
        <v>0</v>
      </c>
      <c r="BD90" s="116">
        <v>140</v>
      </c>
      <c r="BE90" s="22">
        <v>0</v>
      </c>
      <c r="BF90" s="22">
        <v>0</v>
      </c>
      <c r="BG90" s="117">
        <v>29</v>
      </c>
      <c r="BH90" s="170">
        <v>5</v>
      </c>
      <c r="BI90" s="116">
        <v>375</v>
      </c>
      <c r="BJ90" s="166">
        <v>7</v>
      </c>
      <c r="BK90" s="22">
        <v>0</v>
      </c>
      <c r="BL90" s="22">
        <v>0</v>
      </c>
      <c r="BM90" s="24">
        <v>0</v>
      </c>
      <c r="BN90" s="116">
        <f>BN89+24</f>
        <v>402</v>
      </c>
      <c r="BO90" s="166">
        <v>23</v>
      </c>
      <c r="BP90" s="22">
        <v>0</v>
      </c>
      <c r="BQ90" s="117">
        <v>59</v>
      </c>
      <c r="BR90" s="167">
        <v>6</v>
      </c>
      <c r="BS90" s="168">
        <v>8</v>
      </c>
      <c r="BT90" s="116">
        <v>70</v>
      </c>
      <c r="BU90" s="22">
        <v>0</v>
      </c>
      <c r="BV90" s="22">
        <v>0</v>
      </c>
      <c r="BW90" s="22">
        <v>0</v>
      </c>
      <c r="BX90" s="24">
        <v>0</v>
      </c>
      <c r="BY90" s="116">
        <v>46</v>
      </c>
      <c r="BZ90" s="22">
        <v>0</v>
      </c>
      <c r="CA90" s="118">
        <v>7</v>
      </c>
      <c r="CB90" s="24">
        <v>0</v>
      </c>
      <c r="CC90" s="116">
        <v>414</v>
      </c>
      <c r="CD90" s="166">
        <v>7</v>
      </c>
      <c r="CE90" s="22">
        <v>0</v>
      </c>
      <c r="CF90" s="22">
        <v>0</v>
      </c>
      <c r="CG90" s="24">
        <v>0</v>
      </c>
      <c r="CH90" s="116">
        <v>42</v>
      </c>
      <c r="CI90" s="22">
        <v>0</v>
      </c>
      <c r="CJ90" s="22">
        <v>0</v>
      </c>
      <c r="CK90" s="22">
        <v>0</v>
      </c>
      <c r="CL90" s="24">
        <v>0</v>
      </c>
      <c r="CM90" s="116">
        <v>141</v>
      </c>
      <c r="CN90" s="166">
        <v>4</v>
      </c>
      <c r="CO90" s="169">
        <v>48</v>
      </c>
      <c r="CP90" s="116">
        <v>196</v>
      </c>
      <c r="CQ90" s="166">
        <v>2</v>
      </c>
      <c r="CR90" s="22">
        <v>0</v>
      </c>
      <c r="CS90" s="24">
        <v>0</v>
      </c>
      <c r="CT90" s="116">
        <v>2091</v>
      </c>
      <c r="CU90" s="166">
        <v>120</v>
      </c>
      <c r="CV90" s="118">
        <v>202</v>
      </c>
      <c r="CW90" s="117">
        <v>401</v>
      </c>
      <c r="CX90" s="167">
        <v>74</v>
      </c>
      <c r="CY90" s="168">
        <v>67</v>
      </c>
      <c r="CZ90" s="116">
        <v>154</v>
      </c>
      <c r="DA90" s="166">
        <v>3</v>
      </c>
      <c r="DB90" s="22">
        <v>0</v>
      </c>
      <c r="DC90" s="22">
        <v>0</v>
      </c>
      <c r="DD90" s="24">
        <v>0</v>
      </c>
      <c r="DE90" s="116">
        <v>57</v>
      </c>
      <c r="DF90" s="22">
        <v>0</v>
      </c>
      <c r="DG90" s="118">
        <v>11</v>
      </c>
      <c r="DH90" s="24">
        <v>0</v>
      </c>
      <c r="DI90" s="92">
        <f>DI89+67</f>
        <v>1212</v>
      </c>
      <c r="DJ90" s="166">
        <f>DJ89+2</f>
        <v>37</v>
      </c>
      <c r="DK90" s="22">
        <v>0</v>
      </c>
      <c r="DL90" s="117">
        <v>154</v>
      </c>
      <c r="DM90" s="167">
        <v>25</v>
      </c>
      <c r="DN90" s="168">
        <v>25</v>
      </c>
      <c r="DO90" s="116">
        <v>3465</v>
      </c>
      <c r="DP90" s="166">
        <v>84</v>
      </c>
      <c r="DQ90" s="118">
        <v>225</v>
      </c>
      <c r="DR90" s="117">
        <v>391</v>
      </c>
      <c r="DS90" s="170">
        <v>77</v>
      </c>
      <c r="DT90" s="116">
        <v>125</v>
      </c>
      <c r="DU90" s="166">
        <v>1</v>
      </c>
      <c r="DV90" s="118">
        <v>39</v>
      </c>
      <c r="DW90" s="117">
        <v>13</v>
      </c>
      <c r="DX90" s="170">
        <v>5</v>
      </c>
      <c r="DY90" s="116">
        <v>1960</v>
      </c>
      <c r="DZ90" s="166">
        <v>25</v>
      </c>
      <c r="EA90" s="22">
        <v>0</v>
      </c>
      <c r="EB90" s="61">
        <v>0</v>
      </c>
      <c r="EC90" s="24">
        <v>0</v>
      </c>
      <c r="ED90" s="119" t="s">
        <v>308</v>
      </c>
      <c r="EE90" s="173" t="s">
        <v>309</v>
      </c>
    </row>
    <row r="91" spans="1:135" ht="204">
      <c r="A91" s="97">
        <v>43922</v>
      </c>
      <c r="B91" s="14">
        <f t="shared" si="90"/>
        <v>18582</v>
      </c>
      <c r="C91" s="34">
        <f t="shared" ref="C91:D91" si="103">SUM(J91,M91,P91,V91,AA91,AF91,AL91,AQ91,AW91,BA91,BE91,BJ91,BO91,BU91,BZ91,CD91,CI91,CN91,CQ91,CU91,DA91,DF91,DJ91,DP91,DU91,DZ91)</f>
        <v>525</v>
      </c>
      <c r="D91" s="73">
        <f t="shared" si="103"/>
        <v>1467</v>
      </c>
      <c r="E91" s="100">
        <f t="shared" si="52"/>
        <v>16590</v>
      </c>
      <c r="F91" s="104">
        <f t="shared" si="57"/>
        <v>1583</v>
      </c>
      <c r="G91" s="129">
        <f t="shared" si="70"/>
        <v>276</v>
      </c>
      <c r="H91" s="131">
        <f t="shared" si="73"/>
        <v>266</v>
      </c>
      <c r="I91" s="105">
        <v>61</v>
      </c>
      <c r="J91" s="128">
        <v>3</v>
      </c>
      <c r="K91" s="17">
        <v>0</v>
      </c>
      <c r="L91" s="105">
        <v>14</v>
      </c>
      <c r="M91" s="15">
        <v>0</v>
      </c>
      <c r="N91" s="17">
        <v>0</v>
      </c>
      <c r="O91" s="105">
        <v>549</v>
      </c>
      <c r="P91" s="128">
        <v>11</v>
      </c>
      <c r="Q91" s="109">
        <v>4</v>
      </c>
      <c r="R91" s="106">
        <v>94</v>
      </c>
      <c r="S91" s="132">
        <v>27</v>
      </c>
      <c r="T91" s="133">
        <v>27</v>
      </c>
      <c r="U91" s="105">
        <v>588</v>
      </c>
      <c r="V91" s="128">
        <v>11</v>
      </c>
      <c r="W91" s="109">
        <v>249</v>
      </c>
      <c r="X91" s="106">
        <v>86</v>
      </c>
      <c r="Y91" s="130">
        <v>17</v>
      </c>
      <c r="Z91" s="105">
        <v>691</v>
      </c>
      <c r="AA91" s="128">
        <v>18</v>
      </c>
      <c r="AB91" s="109">
        <v>323</v>
      </c>
      <c r="AC91" s="15">
        <v>0</v>
      </c>
      <c r="AD91" s="17">
        <v>0</v>
      </c>
      <c r="AE91" s="105">
        <v>909</v>
      </c>
      <c r="AF91" s="128">
        <v>20</v>
      </c>
      <c r="AG91" s="15">
        <v>0</v>
      </c>
      <c r="AH91" s="15">
        <v>0</v>
      </c>
      <c r="AI91" s="15">
        <v>0</v>
      </c>
      <c r="AJ91" s="133">
        <v>21</v>
      </c>
      <c r="AK91" s="105">
        <v>525</v>
      </c>
      <c r="AL91" s="128">
        <v>23</v>
      </c>
      <c r="AM91" s="15">
        <v>0</v>
      </c>
      <c r="AN91" s="106">
        <v>81</v>
      </c>
      <c r="AO91" s="130">
        <v>23</v>
      </c>
      <c r="AP91" s="87">
        <f>AP90+159</f>
        <v>3103</v>
      </c>
      <c r="AQ91" s="128">
        <f>2+11+56</f>
        <v>69</v>
      </c>
      <c r="AR91" s="109">
        <v>260</v>
      </c>
      <c r="AS91" s="15">
        <v>0</v>
      </c>
      <c r="AT91" s="134"/>
      <c r="AU91" s="133">
        <v>58</v>
      </c>
      <c r="AV91" s="105">
        <v>56</v>
      </c>
      <c r="AW91" s="128">
        <v>2</v>
      </c>
      <c r="AX91" s="109">
        <v>3</v>
      </c>
      <c r="AY91" s="17">
        <v>0</v>
      </c>
      <c r="AZ91" s="105">
        <v>521</v>
      </c>
      <c r="BA91" s="128">
        <v>21</v>
      </c>
      <c r="BB91" s="15">
        <v>0</v>
      </c>
      <c r="BC91" s="17">
        <v>0</v>
      </c>
      <c r="BD91" s="105">
        <v>145</v>
      </c>
      <c r="BE91" s="15">
        <v>0</v>
      </c>
      <c r="BF91" s="15">
        <v>0</v>
      </c>
      <c r="BG91" s="106">
        <v>29</v>
      </c>
      <c r="BH91" s="130">
        <v>5</v>
      </c>
      <c r="BI91" s="105">
        <v>401</v>
      </c>
      <c r="BJ91" s="128">
        <v>7</v>
      </c>
      <c r="BK91" s="15">
        <v>0</v>
      </c>
      <c r="BL91" s="15">
        <v>0</v>
      </c>
      <c r="BM91" s="17">
        <v>0</v>
      </c>
      <c r="BN91" s="105">
        <f>BN90+18</f>
        <v>420</v>
      </c>
      <c r="BO91" s="128">
        <v>25</v>
      </c>
      <c r="BP91" s="15">
        <v>0</v>
      </c>
      <c r="BQ91" s="106">
        <v>66</v>
      </c>
      <c r="BR91" s="132">
        <v>6</v>
      </c>
      <c r="BS91" s="133">
        <v>8</v>
      </c>
      <c r="BT91" s="105">
        <v>70</v>
      </c>
      <c r="BU91" s="15">
        <v>0</v>
      </c>
      <c r="BV91" s="15">
        <v>0</v>
      </c>
      <c r="BW91" s="15">
        <v>0</v>
      </c>
      <c r="BX91" s="17">
        <v>0</v>
      </c>
      <c r="BY91" s="105">
        <v>48</v>
      </c>
      <c r="BZ91" s="15">
        <v>0</v>
      </c>
      <c r="CA91" s="109">
        <v>7</v>
      </c>
      <c r="CB91" s="17">
        <v>0</v>
      </c>
      <c r="CC91" s="105">
        <v>455</v>
      </c>
      <c r="CD91" s="128">
        <v>8</v>
      </c>
      <c r="CE91" s="109">
        <v>49</v>
      </c>
      <c r="CF91" s="106">
        <v>53</v>
      </c>
      <c r="CG91" s="130">
        <v>11</v>
      </c>
      <c r="CH91" s="105">
        <v>44</v>
      </c>
      <c r="CI91" s="128">
        <v>1</v>
      </c>
      <c r="CJ91" s="15">
        <v>0</v>
      </c>
      <c r="CK91" s="15">
        <v>0</v>
      </c>
      <c r="CL91" s="17">
        <v>0</v>
      </c>
      <c r="CM91" s="105">
        <v>146</v>
      </c>
      <c r="CN91" s="128">
        <v>4</v>
      </c>
      <c r="CO91" s="138">
        <v>65</v>
      </c>
      <c r="CP91" s="105">
        <v>216</v>
      </c>
      <c r="CQ91" s="128">
        <v>3</v>
      </c>
      <c r="CR91" s="15">
        <v>0</v>
      </c>
      <c r="CS91" s="17">
        <v>0</v>
      </c>
      <c r="CT91" s="105">
        <v>2195</v>
      </c>
      <c r="CU91" s="128">
        <v>132</v>
      </c>
      <c r="CV91" s="109">
        <v>229</v>
      </c>
      <c r="CW91" s="106">
        <v>396</v>
      </c>
      <c r="CX91" s="132">
        <v>76</v>
      </c>
      <c r="CY91" s="133">
        <v>72</v>
      </c>
      <c r="CZ91" s="105">
        <v>166</v>
      </c>
      <c r="DA91" s="128">
        <v>4</v>
      </c>
      <c r="DB91" s="15">
        <v>0</v>
      </c>
      <c r="DC91" s="15">
        <v>0</v>
      </c>
      <c r="DD91" s="17">
        <v>0</v>
      </c>
      <c r="DE91" s="105">
        <v>59</v>
      </c>
      <c r="DF91" s="128">
        <v>1</v>
      </c>
      <c r="DG91" s="109">
        <v>13</v>
      </c>
      <c r="DH91" s="174">
        <v>10</v>
      </c>
      <c r="DI91" s="87">
        <f>DI90+70</f>
        <v>1282</v>
      </c>
      <c r="DJ91" s="128">
        <f>DJ90+2+1</f>
        <v>40</v>
      </c>
      <c r="DK91" s="15">
        <v>0</v>
      </c>
      <c r="DL91" s="106">
        <v>150</v>
      </c>
      <c r="DM91" s="132">
        <v>27</v>
      </c>
      <c r="DN91" s="133">
        <v>26</v>
      </c>
      <c r="DO91" s="105">
        <v>3639</v>
      </c>
      <c r="DP91" s="128">
        <v>92</v>
      </c>
      <c r="DQ91" s="109">
        <v>225</v>
      </c>
      <c r="DR91" s="106">
        <v>401</v>
      </c>
      <c r="DS91" s="130">
        <v>79</v>
      </c>
      <c r="DT91" s="105">
        <v>131</v>
      </c>
      <c r="DU91" s="128">
        <v>1</v>
      </c>
      <c r="DV91" s="109">
        <v>40</v>
      </c>
      <c r="DW91" s="106">
        <v>14</v>
      </c>
      <c r="DX91" s="130">
        <v>5</v>
      </c>
      <c r="DY91" s="105">
        <v>2148</v>
      </c>
      <c r="DZ91" s="128">
        <v>29</v>
      </c>
      <c r="EA91" s="15">
        <v>0</v>
      </c>
      <c r="EB91" s="106">
        <v>203</v>
      </c>
      <c r="EC91" s="133">
        <v>54</v>
      </c>
      <c r="ED91" s="102" t="s">
        <v>312</v>
      </c>
      <c r="EE91" s="127" t="s">
        <v>313</v>
      </c>
    </row>
    <row r="92" spans="1:135" ht="140.25">
      <c r="A92" s="97">
        <v>43923</v>
      </c>
      <c r="B92" s="14">
        <f t="shared" si="90"/>
        <v>19611</v>
      </c>
      <c r="C92" s="34">
        <f t="shared" ref="C92:D92" si="104">SUM(J92,M92,P92,V92,AA92,AF92,AL92,AQ92,AW92,BA92,BE92,BJ92,BO92,BU92,BZ92,CD92,CI92,CN92,CQ92,CU92,DA92,DF92,DJ92,DP92,DU92,DZ92)</f>
        <v>585</v>
      </c>
      <c r="D92" s="73">
        <f t="shared" si="104"/>
        <v>1565</v>
      </c>
      <c r="E92" s="100">
        <f t="shared" si="52"/>
        <v>17461</v>
      </c>
      <c r="F92" s="104">
        <f t="shared" si="57"/>
        <v>1530</v>
      </c>
      <c r="G92" s="129">
        <f t="shared" si="70"/>
        <v>353</v>
      </c>
      <c r="H92" s="131">
        <f t="shared" si="73"/>
        <v>262</v>
      </c>
      <c r="I92" s="105">
        <v>64</v>
      </c>
      <c r="J92" s="128">
        <v>3</v>
      </c>
      <c r="K92" s="17">
        <v>0</v>
      </c>
      <c r="L92" s="105">
        <v>20</v>
      </c>
      <c r="M92" s="15">
        <v>0</v>
      </c>
      <c r="N92" s="17">
        <v>0</v>
      </c>
      <c r="O92" s="105">
        <v>592</v>
      </c>
      <c r="P92" s="128">
        <v>12</v>
      </c>
      <c r="Q92" s="109">
        <v>4</v>
      </c>
      <c r="R92" s="106">
        <v>94</v>
      </c>
      <c r="S92" s="132">
        <v>27</v>
      </c>
      <c r="T92" s="133">
        <v>27</v>
      </c>
      <c r="U92" s="105">
        <v>610</v>
      </c>
      <c r="V92" s="128">
        <v>12</v>
      </c>
      <c r="W92" s="109">
        <v>262</v>
      </c>
      <c r="X92" s="106">
        <v>81</v>
      </c>
      <c r="Y92" s="130">
        <v>18</v>
      </c>
      <c r="Z92" s="105">
        <v>718</v>
      </c>
      <c r="AA92" s="128">
        <v>19</v>
      </c>
      <c r="AB92" s="109">
        <v>350</v>
      </c>
      <c r="AC92" s="15">
        <v>0</v>
      </c>
      <c r="AD92" s="17">
        <v>0</v>
      </c>
      <c r="AE92" s="105">
        <v>1003</v>
      </c>
      <c r="AF92" s="128">
        <v>23</v>
      </c>
      <c r="AG92" s="15">
        <v>0</v>
      </c>
      <c r="AH92" s="15">
        <v>0</v>
      </c>
      <c r="AI92" s="15">
        <v>0</v>
      </c>
      <c r="AJ92" s="133">
        <v>20</v>
      </c>
      <c r="AK92" s="105">
        <v>550</v>
      </c>
      <c r="AL92" s="128">
        <v>26</v>
      </c>
      <c r="AM92" s="15">
        <v>0</v>
      </c>
      <c r="AN92" s="106">
        <v>80</v>
      </c>
      <c r="AO92" s="130">
        <v>23</v>
      </c>
      <c r="AP92" s="87">
        <f>AP91+211</f>
        <v>3314</v>
      </c>
      <c r="AQ92" s="128">
        <f>2+12+63</f>
        <v>77</v>
      </c>
      <c r="AR92" s="109">
        <v>283</v>
      </c>
      <c r="AS92" s="15">
        <v>0</v>
      </c>
      <c r="AT92" s="132">
        <v>62</v>
      </c>
      <c r="AU92" s="133">
        <v>54</v>
      </c>
      <c r="AV92" s="105">
        <v>58</v>
      </c>
      <c r="AW92" s="128">
        <v>2</v>
      </c>
      <c r="AX92" s="109">
        <v>3</v>
      </c>
      <c r="AY92" s="17">
        <v>0</v>
      </c>
      <c r="AZ92" s="105">
        <v>569</v>
      </c>
      <c r="BA92" s="128">
        <v>23</v>
      </c>
      <c r="BB92" s="15">
        <v>0</v>
      </c>
      <c r="BC92" s="17">
        <v>0</v>
      </c>
      <c r="BD92" s="105">
        <v>149</v>
      </c>
      <c r="BE92" s="15">
        <v>0</v>
      </c>
      <c r="BF92" s="15">
        <v>0</v>
      </c>
      <c r="BG92" s="106">
        <v>29</v>
      </c>
      <c r="BH92" s="130">
        <v>3</v>
      </c>
      <c r="BI92" s="105">
        <v>422</v>
      </c>
      <c r="BJ92" s="128">
        <v>7</v>
      </c>
      <c r="BK92" s="15">
        <v>0</v>
      </c>
      <c r="BL92" s="106">
        <v>68</v>
      </c>
      <c r="BM92" s="130">
        <v>11</v>
      </c>
      <c r="BN92" s="105">
        <f>BN91+10</f>
        <v>430</v>
      </c>
      <c r="BO92" s="128">
        <v>28</v>
      </c>
      <c r="BP92" s="15">
        <v>0</v>
      </c>
      <c r="BQ92" s="106">
        <v>61</v>
      </c>
      <c r="BR92" s="132">
        <v>2</v>
      </c>
      <c r="BS92" s="133">
        <v>10</v>
      </c>
      <c r="BT92" s="105">
        <v>76</v>
      </c>
      <c r="BU92" s="15">
        <v>0</v>
      </c>
      <c r="BV92" s="15">
        <v>0</v>
      </c>
      <c r="BW92" s="15">
        <v>0</v>
      </c>
      <c r="BX92" s="17">
        <v>0</v>
      </c>
      <c r="BY92" s="105">
        <v>51</v>
      </c>
      <c r="BZ92" s="15">
        <v>0</v>
      </c>
      <c r="CA92" s="109">
        <v>7</v>
      </c>
      <c r="CB92" s="17">
        <v>0</v>
      </c>
      <c r="CC92" s="105">
        <v>455</v>
      </c>
      <c r="CD92" s="128">
        <v>8</v>
      </c>
      <c r="CE92" s="109">
        <v>49</v>
      </c>
      <c r="CF92" s="106">
        <v>53</v>
      </c>
      <c r="CG92" s="130">
        <v>11</v>
      </c>
      <c r="CH92" s="105">
        <v>47</v>
      </c>
      <c r="CI92" s="128">
        <v>1</v>
      </c>
      <c r="CJ92" s="15">
        <v>0</v>
      </c>
      <c r="CK92" s="106">
        <v>15</v>
      </c>
      <c r="CL92" s="130">
        <v>3</v>
      </c>
      <c r="CM92" s="105">
        <v>155</v>
      </c>
      <c r="CN92" s="128">
        <v>4</v>
      </c>
      <c r="CO92" s="138">
        <v>65</v>
      </c>
      <c r="CP92" s="105">
        <v>227</v>
      </c>
      <c r="CQ92" s="128">
        <v>3</v>
      </c>
      <c r="CR92" s="15">
        <v>0</v>
      </c>
      <c r="CS92" s="174">
        <v>14</v>
      </c>
      <c r="CT92" s="105">
        <v>2271</v>
      </c>
      <c r="CU92" s="128">
        <v>141</v>
      </c>
      <c r="CV92" s="109">
        <v>263</v>
      </c>
      <c r="CW92" s="106">
        <v>374</v>
      </c>
      <c r="CX92" s="132">
        <v>75</v>
      </c>
      <c r="CY92" s="133">
        <v>73</v>
      </c>
      <c r="CZ92" s="105">
        <v>179</v>
      </c>
      <c r="DA92" s="128">
        <v>4</v>
      </c>
      <c r="DB92" s="15">
        <v>0</v>
      </c>
      <c r="DC92" s="15">
        <v>0</v>
      </c>
      <c r="DD92" s="17">
        <v>0</v>
      </c>
      <c r="DE92" s="105">
        <v>60</v>
      </c>
      <c r="DF92" s="128">
        <v>1</v>
      </c>
      <c r="DG92" s="109">
        <v>13</v>
      </c>
      <c r="DH92" s="174">
        <v>4</v>
      </c>
      <c r="DI92" s="87">
        <f>DI91+52</f>
        <v>1334</v>
      </c>
      <c r="DJ92" s="128">
        <f>DJ91+4+3</f>
        <v>47</v>
      </c>
      <c r="DK92" s="15">
        <v>0</v>
      </c>
      <c r="DL92" s="106">
        <v>151</v>
      </c>
      <c r="DM92" s="132">
        <v>29</v>
      </c>
      <c r="DN92" s="133">
        <v>25</v>
      </c>
      <c r="DO92" s="105">
        <v>3796</v>
      </c>
      <c r="DP92" s="128">
        <v>107</v>
      </c>
      <c r="DQ92" s="109">
        <v>225</v>
      </c>
      <c r="DR92" s="106">
        <v>391</v>
      </c>
      <c r="DS92" s="130">
        <v>82</v>
      </c>
      <c r="DT92" s="105">
        <v>138</v>
      </c>
      <c r="DU92" s="128">
        <v>1</v>
      </c>
      <c r="DV92" s="109">
        <v>41</v>
      </c>
      <c r="DW92" s="106">
        <v>15</v>
      </c>
      <c r="DX92" s="130">
        <v>7</v>
      </c>
      <c r="DY92" s="105">
        <v>2323</v>
      </c>
      <c r="DZ92" s="128">
        <v>36</v>
      </c>
      <c r="EA92" s="15">
        <v>0</v>
      </c>
      <c r="EB92" s="106">
        <v>100</v>
      </c>
      <c r="EC92" s="133">
        <v>53</v>
      </c>
      <c r="ED92" s="102" t="s">
        <v>317</v>
      </c>
      <c r="EE92" s="127" t="s">
        <v>318</v>
      </c>
    </row>
    <row r="93" spans="1:135" ht="165.75">
      <c r="A93" s="97">
        <v>43924</v>
      </c>
      <c r="B93" s="14">
        <f t="shared" si="90"/>
        <v>20544</v>
      </c>
      <c r="C93" s="34">
        <f t="shared" ref="C93:D93" si="105">SUM(J93,M93,P93,V93,AA93,AF93,AL93,AQ93,AW93,BA93,BE93,BJ93,BO93,BU93,BZ93,CD93,CI93,CN93,CQ93,CU93,DA93,DF93,DJ93,DP93,DU93,DZ93)</f>
        <v>644</v>
      </c>
      <c r="D93" s="73">
        <f t="shared" si="105"/>
        <v>1714</v>
      </c>
      <c r="E93" s="100">
        <f t="shared" si="52"/>
        <v>18186</v>
      </c>
      <c r="F93" s="104">
        <f t="shared" si="57"/>
        <v>1615</v>
      </c>
      <c r="G93" s="129">
        <f t="shared" si="70"/>
        <v>352</v>
      </c>
      <c r="H93" s="131">
        <f t="shared" si="73"/>
        <v>266</v>
      </c>
      <c r="I93" s="105">
        <v>65</v>
      </c>
      <c r="J93" s="128">
        <v>3</v>
      </c>
      <c r="K93" s="17">
        <v>0</v>
      </c>
      <c r="L93" s="105">
        <v>20</v>
      </c>
      <c r="M93" s="15">
        <v>0</v>
      </c>
      <c r="N93" s="17">
        <v>0</v>
      </c>
      <c r="O93" s="105">
        <v>626</v>
      </c>
      <c r="P93" s="128">
        <v>12</v>
      </c>
      <c r="Q93" s="109">
        <v>4</v>
      </c>
      <c r="R93" s="106">
        <v>100</v>
      </c>
      <c r="S93" s="132">
        <v>27</v>
      </c>
      <c r="T93" s="133">
        <v>26</v>
      </c>
      <c r="U93" s="105">
        <v>625</v>
      </c>
      <c r="V93" s="128">
        <v>14</v>
      </c>
      <c r="W93" s="109">
        <v>266</v>
      </c>
      <c r="X93" s="106">
        <v>82</v>
      </c>
      <c r="Y93" s="130">
        <v>18</v>
      </c>
      <c r="Z93" s="105">
        <v>748</v>
      </c>
      <c r="AA93" s="128">
        <v>21</v>
      </c>
      <c r="AB93" s="109">
        <v>397</v>
      </c>
      <c r="AC93" s="15">
        <v>0</v>
      </c>
      <c r="AD93" s="17">
        <v>0</v>
      </c>
      <c r="AE93" s="105">
        <v>1073</v>
      </c>
      <c r="AF93" s="128">
        <v>26</v>
      </c>
      <c r="AG93" s="15">
        <v>0</v>
      </c>
      <c r="AH93" s="15">
        <v>0</v>
      </c>
      <c r="AI93" s="15">
        <v>0</v>
      </c>
      <c r="AJ93" s="133">
        <v>26</v>
      </c>
      <c r="AK93" s="105">
        <v>588</v>
      </c>
      <c r="AL93" s="128">
        <v>31</v>
      </c>
      <c r="AM93" s="109">
        <v>46</v>
      </c>
      <c r="AN93" s="106">
        <v>77</v>
      </c>
      <c r="AO93" s="130">
        <v>21</v>
      </c>
      <c r="AP93" s="87">
        <f>AP92+190</f>
        <v>3504</v>
      </c>
      <c r="AQ93" s="128">
        <f>2+13+66</f>
        <v>81</v>
      </c>
      <c r="AR93" s="109">
        <v>284</v>
      </c>
      <c r="AS93" s="15">
        <v>0</v>
      </c>
      <c r="AT93" s="132">
        <v>65</v>
      </c>
      <c r="AU93" s="133">
        <v>58</v>
      </c>
      <c r="AV93" s="105">
        <v>59</v>
      </c>
      <c r="AW93" s="128">
        <v>2</v>
      </c>
      <c r="AX93" s="109">
        <v>3</v>
      </c>
      <c r="AY93" s="17">
        <v>0</v>
      </c>
      <c r="AZ93" s="105">
        <v>598</v>
      </c>
      <c r="BA93" s="128">
        <v>27</v>
      </c>
      <c r="BB93" s="15">
        <v>0</v>
      </c>
      <c r="BC93" s="17">
        <v>0</v>
      </c>
      <c r="BD93" s="105">
        <v>149</v>
      </c>
      <c r="BE93" s="15">
        <v>0</v>
      </c>
      <c r="BF93" s="15">
        <v>0</v>
      </c>
      <c r="BG93" s="106">
        <v>28</v>
      </c>
      <c r="BH93" s="130">
        <v>3</v>
      </c>
      <c r="BI93" s="105">
        <v>449</v>
      </c>
      <c r="BJ93" s="128">
        <v>7</v>
      </c>
      <c r="BK93" s="15">
        <v>0</v>
      </c>
      <c r="BL93" s="106">
        <v>49</v>
      </c>
      <c r="BM93" s="130">
        <v>12</v>
      </c>
      <c r="BN93" s="105">
        <f>BN92+14</f>
        <v>444</v>
      </c>
      <c r="BO93" s="128">
        <v>29</v>
      </c>
      <c r="BP93" s="15">
        <v>0</v>
      </c>
      <c r="BQ93" s="106">
        <v>61</v>
      </c>
      <c r="BR93" s="132">
        <v>2</v>
      </c>
      <c r="BS93" s="133">
        <v>9</v>
      </c>
      <c r="BT93" s="105">
        <v>79</v>
      </c>
      <c r="BU93" s="15">
        <v>0</v>
      </c>
      <c r="BV93" s="15">
        <v>0</v>
      </c>
      <c r="BW93" s="15">
        <v>0</v>
      </c>
      <c r="BX93" s="17">
        <v>0</v>
      </c>
      <c r="BY93" s="105">
        <v>56</v>
      </c>
      <c r="BZ93" s="15">
        <v>0</v>
      </c>
      <c r="CA93" s="109">
        <v>7</v>
      </c>
      <c r="CB93" s="17">
        <v>0</v>
      </c>
      <c r="CC93" s="105">
        <v>480</v>
      </c>
      <c r="CD93" s="128">
        <v>8</v>
      </c>
      <c r="CE93" s="109">
        <v>50</v>
      </c>
      <c r="CF93" s="106">
        <v>63</v>
      </c>
      <c r="CG93" s="130">
        <v>12</v>
      </c>
      <c r="CH93" s="105">
        <v>47</v>
      </c>
      <c r="CI93" s="128">
        <v>1</v>
      </c>
      <c r="CJ93" s="15">
        <v>0</v>
      </c>
      <c r="CK93" s="106">
        <v>6</v>
      </c>
      <c r="CL93" s="130">
        <v>3</v>
      </c>
      <c r="CM93" s="105">
        <v>164</v>
      </c>
      <c r="CN93" s="128">
        <v>4</v>
      </c>
      <c r="CO93" s="138">
        <v>75</v>
      </c>
      <c r="CP93" s="105">
        <v>237</v>
      </c>
      <c r="CQ93" s="128">
        <v>3</v>
      </c>
      <c r="CR93" s="15">
        <v>0</v>
      </c>
      <c r="CS93" s="174">
        <v>17</v>
      </c>
      <c r="CT93" s="105">
        <v>2377</v>
      </c>
      <c r="CU93" s="128">
        <v>155</v>
      </c>
      <c r="CV93" s="109">
        <v>287</v>
      </c>
      <c r="CW93" s="106">
        <v>370</v>
      </c>
      <c r="CX93" s="132">
        <v>75</v>
      </c>
      <c r="CY93" s="133">
        <v>67</v>
      </c>
      <c r="CZ93" s="105">
        <v>198</v>
      </c>
      <c r="DA93" s="128">
        <v>5</v>
      </c>
      <c r="DB93" s="15">
        <v>0</v>
      </c>
      <c r="DC93" s="15">
        <v>0</v>
      </c>
      <c r="DD93" s="17">
        <v>0</v>
      </c>
      <c r="DE93" s="105">
        <v>62</v>
      </c>
      <c r="DF93" s="128">
        <v>1</v>
      </c>
      <c r="DG93" s="109">
        <v>26</v>
      </c>
      <c r="DH93" s="174">
        <v>6</v>
      </c>
      <c r="DI93" s="87">
        <f>DI92+49</f>
        <v>1383</v>
      </c>
      <c r="DJ93" s="128">
        <f>DJ92+1+3</f>
        <v>51</v>
      </c>
      <c r="DK93" s="15">
        <v>0</v>
      </c>
      <c r="DL93" s="106">
        <v>152</v>
      </c>
      <c r="DM93" s="132">
        <v>27</v>
      </c>
      <c r="DN93" s="133">
        <v>23</v>
      </c>
      <c r="DO93" s="105">
        <v>3915</v>
      </c>
      <c r="DP93" s="128">
        <v>123</v>
      </c>
      <c r="DQ93" s="109">
        <v>225</v>
      </c>
      <c r="DR93" s="106">
        <v>383</v>
      </c>
      <c r="DS93" s="130">
        <v>80</v>
      </c>
      <c r="DT93" s="105">
        <v>146</v>
      </c>
      <c r="DU93" s="128">
        <v>2</v>
      </c>
      <c r="DV93" s="109">
        <v>44</v>
      </c>
      <c r="DW93" s="106">
        <v>14</v>
      </c>
      <c r="DX93" s="130">
        <v>7</v>
      </c>
      <c r="DY93" s="105">
        <v>2452</v>
      </c>
      <c r="DZ93" s="128">
        <v>38</v>
      </c>
      <c r="EA93" s="15">
        <v>0</v>
      </c>
      <c r="EB93" s="106">
        <v>207</v>
      </c>
      <c r="EC93" s="133">
        <v>57</v>
      </c>
      <c r="ED93" s="175" t="s">
        <v>323</v>
      </c>
      <c r="EE93" s="77" t="s">
        <v>324</v>
      </c>
    </row>
    <row r="94" spans="1:135" ht="127.5">
      <c r="A94" s="97">
        <v>43925</v>
      </c>
      <c r="B94" s="14">
        <f t="shared" si="90"/>
        <v>21158</v>
      </c>
      <c r="C94" s="34">
        <f t="shared" ref="C94:D94" si="106">SUM(J94,M94,P94,V94,AA94,AF94,AL94,AQ94,AW94,BA94,BE94,BJ94,BO94,BU94,BZ94,CD94,CI94,CN94,CQ94,CU94,DA94,DF94,DJ94,DP94,DU94,DZ94)</f>
        <v>707</v>
      </c>
      <c r="D94" s="73">
        <f t="shared" si="106"/>
        <v>1865</v>
      </c>
      <c r="E94" s="100">
        <f t="shared" si="52"/>
        <v>18586</v>
      </c>
      <c r="F94" s="104">
        <f t="shared" si="57"/>
        <v>1719</v>
      </c>
      <c r="G94" s="129">
        <f t="shared" si="70"/>
        <v>384</v>
      </c>
      <c r="H94" s="131" t="s">
        <v>325</v>
      </c>
      <c r="I94" s="105">
        <v>66</v>
      </c>
      <c r="J94" s="128">
        <v>3</v>
      </c>
      <c r="K94" s="17">
        <v>0</v>
      </c>
      <c r="L94" s="105">
        <v>21</v>
      </c>
      <c r="M94" s="15">
        <v>0</v>
      </c>
      <c r="N94" s="17">
        <v>0</v>
      </c>
      <c r="O94" s="105">
        <v>626</v>
      </c>
      <c r="P94" s="128">
        <v>12</v>
      </c>
      <c r="Q94" s="109">
        <v>4</v>
      </c>
      <c r="R94" s="106">
        <v>100</v>
      </c>
      <c r="S94" s="132">
        <v>27</v>
      </c>
      <c r="T94" s="133">
        <v>26</v>
      </c>
      <c r="U94" s="105">
        <v>656</v>
      </c>
      <c r="V94" s="128">
        <v>19</v>
      </c>
      <c r="W94" s="109">
        <v>298</v>
      </c>
      <c r="X94" s="106">
        <v>73</v>
      </c>
      <c r="Y94" s="130">
        <v>19</v>
      </c>
      <c r="Z94" s="105">
        <v>771</v>
      </c>
      <c r="AA94" s="128">
        <v>24</v>
      </c>
      <c r="AB94" s="109">
        <v>434</v>
      </c>
      <c r="AC94" s="15"/>
      <c r="AD94" s="17">
        <v>0</v>
      </c>
      <c r="AE94" s="105">
        <v>1106</v>
      </c>
      <c r="AF94" s="128">
        <v>28</v>
      </c>
      <c r="AG94" s="15">
        <v>0</v>
      </c>
      <c r="AH94" s="106">
        <v>113</v>
      </c>
      <c r="AI94" s="132">
        <v>35</v>
      </c>
      <c r="AJ94" s="133">
        <v>28</v>
      </c>
      <c r="AK94" s="105">
        <v>638</v>
      </c>
      <c r="AL94" s="128">
        <v>37</v>
      </c>
      <c r="AM94" s="109">
        <v>49</v>
      </c>
      <c r="AN94" s="106">
        <v>89</v>
      </c>
      <c r="AO94" s="130">
        <v>21</v>
      </c>
      <c r="AP94" s="87">
        <f>AP93+128</f>
        <v>3632</v>
      </c>
      <c r="AQ94" s="128">
        <f>3+19+72</f>
        <v>94</v>
      </c>
      <c r="AR94" s="109">
        <v>305</v>
      </c>
      <c r="AS94" s="15">
        <v>0</v>
      </c>
      <c r="AT94" s="132">
        <v>61</v>
      </c>
      <c r="AU94" s="133">
        <v>51</v>
      </c>
      <c r="AV94" s="105">
        <v>59</v>
      </c>
      <c r="AW94" s="128">
        <v>2</v>
      </c>
      <c r="AX94" s="109">
        <v>3</v>
      </c>
      <c r="AY94" s="17">
        <v>0</v>
      </c>
      <c r="AZ94" s="105">
        <v>598</v>
      </c>
      <c r="BA94" s="128">
        <v>27</v>
      </c>
      <c r="BB94" s="15">
        <v>0</v>
      </c>
      <c r="BC94" s="17">
        <v>0</v>
      </c>
      <c r="BD94" s="105">
        <v>154</v>
      </c>
      <c r="BE94" s="15">
        <v>0</v>
      </c>
      <c r="BF94" s="15">
        <v>0</v>
      </c>
      <c r="BG94" s="106">
        <v>27</v>
      </c>
      <c r="BH94" s="130">
        <v>3</v>
      </c>
      <c r="BI94" s="105">
        <v>469</v>
      </c>
      <c r="BJ94" s="128">
        <v>7</v>
      </c>
      <c r="BK94" s="15">
        <v>0</v>
      </c>
      <c r="BL94" s="106">
        <v>49</v>
      </c>
      <c r="BM94" s="130">
        <v>12</v>
      </c>
      <c r="BN94" s="105">
        <f>BN93+8</f>
        <v>452</v>
      </c>
      <c r="BO94" s="128">
        <v>31</v>
      </c>
      <c r="BP94" s="15">
        <v>0</v>
      </c>
      <c r="BQ94" s="106">
        <v>59</v>
      </c>
      <c r="BR94" s="132">
        <v>1</v>
      </c>
      <c r="BS94" s="133">
        <v>9</v>
      </c>
      <c r="BT94" s="105">
        <v>80</v>
      </c>
      <c r="BU94" s="15">
        <v>0</v>
      </c>
      <c r="BV94" s="15">
        <v>0</v>
      </c>
      <c r="BW94" s="15">
        <v>0</v>
      </c>
      <c r="BX94" s="17">
        <v>0</v>
      </c>
      <c r="BY94" s="105">
        <v>56</v>
      </c>
      <c r="BZ94" s="15">
        <v>0</v>
      </c>
      <c r="CA94" s="109">
        <v>7</v>
      </c>
      <c r="CB94" s="17">
        <v>0</v>
      </c>
      <c r="CC94" s="105">
        <v>504</v>
      </c>
      <c r="CD94" s="128">
        <v>9</v>
      </c>
      <c r="CE94" s="109">
        <v>62</v>
      </c>
      <c r="CF94" s="106">
        <v>66</v>
      </c>
      <c r="CG94" s="130">
        <v>13</v>
      </c>
      <c r="CH94" s="105">
        <v>47</v>
      </c>
      <c r="CI94" s="128">
        <v>1</v>
      </c>
      <c r="CJ94" s="15">
        <v>0</v>
      </c>
      <c r="CK94" s="106">
        <v>9</v>
      </c>
      <c r="CL94" s="130">
        <v>3</v>
      </c>
      <c r="CM94" s="105">
        <v>168</v>
      </c>
      <c r="CN94" s="128">
        <v>5</v>
      </c>
      <c r="CO94" s="138">
        <v>92</v>
      </c>
      <c r="CP94" s="105">
        <v>250</v>
      </c>
      <c r="CQ94" s="128">
        <v>3</v>
      </c>
      <c r="CR94" s="15">
        <v>0</v>
      </c>
      <c r="CS94" s="174">
        <v>17</v>
      </c>
      <c r="CT94" s="105">
        <v>2442</v>
      </c>
      <c r="CU94" s="128">
        <v>165</v>
      </c>
      <c r="CV94" s="109">
        <v>314</v>
      </c>
      <c r="CW94" s="106">
        <v>363</v>
      </c>
      <c r="CX94" s="132">
        <v>72</v>
      </c>
      <c r="CY94" s="133">
        <v>67</v>
      </c>
      <c r="CZ94" s="105">
        <v>208</v>
      </c>
      <c r="DA94" s="128">
        <v>5</v>
      </c>
      <c r="DB94" s="15">
        <v>0</v>
      </c>
      <c r="DC94" s="15">
        <v>0</v>
      </c>
      <c r="DD94" s="17">
        <v>0</v>
      </c>
      <c r="DE94" s="105">
        <v>66</v>
      </c>
      <c r="DF94" s="128">
        <v>1</v>
      </c>
      <c r="DG94" s="109">
        <v>26</v>
      </c>
      <c r="DH94" s="174">
        <v>6</v>
      </c>
      <c r="DI94" s="87">
        <f>DI93+33</f>
        <v>1416</v>
      </c>
      <c r="DJ94" s="128">
        <f>DJ93+2</f>
        <v>53</v>
      </c>
      <c r="DK94" s="15">
        <v>0</v>
      </c>
      <c r="DL94" s="106">
        <v>155</v>
      </c>
      <c r="DM94" s="132">
        <v>28</v>
      </c>
      <c r="DN94" s="133">
        <v>22</v>
      </c>
      <c r="DO94" s="105">
        <v>4035</v>
      </c>
      <c r="DP94" s="128">
        <v>138</v>
      </c>
      <c r="DQ94" s="109">
        <v>225</v>
      </c>
      <c r="DR94" s="106">
        <v>385</v>
      </c>
      <c r="DS94" s="130">
        <v>82</v>
      </c>
      <c r="DT94" s="105">
        <v>146</v>
      </c>
      <c r="DU94" s="128">
        <v>2</v>
      </c>
      <c r="DV94" s="109">
        <v>46</v>
      </c>
      <c r="DW94" s="106">
        <v>14</v>
      </c>
      <c r="DX94" s="130">
        <v>7</v>
      </c>
      <c r="DY94" s="105">
        <v>2492</v>
      </c>
      <c r="DZ94" s="128">
        <v>41</v>
      </c>
      <c r="EA94" s="15">
        <v>0</v>
      </c>
      <c r="EB94" s="106">
        <v>194</v>
      </c>
      <c r="EC94" s="133">
        <v>59</v>
      </c>
      <c r="ED94" s="137" t="s">
        <v>330</v>
      </c>
      <c r="EE94" s="127" t="s">
        <v>331</v>
      </c>
    </row>
    <row r="95" spans="1:135" ht="140.25">
      <c r="A95" s="97">
        <v>43926</v>
      </c>
      <c r="B95" s="14">
        <f t="shared" si="90"/>
        <v>21626</v>
      </c>
      <c r="C95" s="34">
        <f t="shared" ref="C95:D95" si="107">SUM(J95,M95,P95,V95,AA95,AF95,AL95,AQ95,AW95,BA95,BE95,BJ95,BO95,BU95,BZ95,CD95,CI95,CN95,CQ95,CU95,DA95,DF95,DJ95,DP95,DU95,DZ95)</f>
        <v>757</v>
      </c>
      <c r="D95" s="73">
        <f t="shared" si="107"/>
        <v>2025</v>
      </c>
      <c r="E95" s="100">
        <f t="shared" si="52"/>
        <v>18844</v>
      </c>
      <c r="F95" s="104">
        <f t="shared" si="57"/>
        <v>1819</v>
      </c>
      <c r="G95" s="129">
        <f t="shared" si="70"/>
        <v>391</v>
      </c>
      <c r="H95" s="131">
        <f t="shared" ref="H95:H105" si="108">SUM(T95,AJ95,AU95,BS95,CY95,DD95,DN95,EC95,)</f>
        <v>251</v>
      </c>
      <c r="I95" s="105">
        <v>67</v>
      </c>
      <c r="J95" s="128">
        <v>3</v>
      </c>
      <c r="K95" s="17">
        <v>0</v>
      </c>
      <c r="L95" s="105">
        <v>21</v>
      </c>
      <c r="M95" s="15">
        <v>0</v>
      </c>
      <c r="N95" s="17">
        <v>0</v>
      </c>
      <c r="O95" s="105">
        <v>626</v>
      </c>
      <c r="P95" s="128">
        <v>12</v>
      </c>
      <c r="Q95" s="109">
        <v>4</v>
      </c>
      <c r="R95" s="106">
        <v>100</v>
      </c>
      <c r="S95" s="132">
        <v>27</v>
      </c>
      <c r="T95" s="133">
        <v>26</v>
      </c>
      <c r="U95" s="105">
        <v>670</v>
      </c>
      <c r="V95" s="128">
        <v>19</v>
      </c>
      <c r="W95" s="109">
        <v>369</v>
      </c>
      <c r="X95" s="106">
        <v>73</v>
      </c>
      <c r="Y95" s="130">
        <v>19</v>
      </c>
      <c r="Z95" s="105">
        <v>794</v>
      </c>
      <c r="AA95" s="128">
        <v>26</v>
      </c>
      <c r="AB95" s="109">
        <v>460</v>
      </c>
      <c r="AC95" s="106">
        <v>106</v>
      </c>
      <c r="AD95" s="130">
        <v>15</v>
      </c>
      <c r="AE95" s="105">
        <v>1137</v>
      </c>
      <c r="AF95" s="128">
        <v>28</v>
      </c>
      <c r="AG95" s="15">
        <v>0</v>
      </c>
      <c r="AH95" s="106">
        <v>110</v>
      </c>
      <c r="AI95" s="132">
        <v>30</v>
      </c>
      <c r="AJ95" s="133">
        <v>25</v>
      </c>
      <c r="AK95" s="105">
        <v>669</v>
      </c>
      <c r="AL95" s="128">
        <v>40</v>
      </c>
      <c r="AM95" s="109">
        <v>55</v>
      </c>
      <c r="AN95" s="106">
        <v>87</v>
      </c>
      <c r="AO95" s="130">
        <v>20</v>
      </c>
      <c r="AP95" s="87">
        <f>AP94+67</f>
        <v>3699</v>
      </c>
      <c r="AQ95" s="128">
        <f>3+20+78</f>
        <v>101</v>
      </c>
      <c r="AR95" s="109">
        <v>327</v>
      </c>
      <c r="AS95" s="15">
        <v>0</v>
      </c>
      <c r="AT95" s="132">
        <v>56</v>
      </c>
      <c r="AU95" s="133">
        <v>50</v>
      </c>
      <c r="AV95" s="105">
        <v>59</v>
      </c>
      <c r="AW95" s="128">
        <v>2</v>
      </c>
      <c r="AX95" s="109">
        <v>3</v>
      </c>
      <c r="AY95" s="17">
        <v>0</v>
      </c>
      <c r="AZ95" s="105">
        <v>646</v>
      </c>
      <c r="BA95" s="128">
        <v>30</v>
      </c>
      <c r="BB95" s="15">
        <v>0</v>
      </c>
      <c r="BC95" s="17">
        <v>0</v>
      </c>
      <c r="BD95" s="105">
        <v>160</v>
      </c>
      <c r="BE95" s="15">
        <v>0</v>
      </c>
      <c r="BF95" s="15">
        <v>0</v>
      </c>
      <c r="BG95" s="106">
        <v>29</v>
      </c>
      <c r="BH95" s="130">
        <v>4</v>
      </c>
      <c r="BI95" s="105">
        <v>478</v>
      </c>
      <c r="BJ95" s="128">
        <v>9</v>
      </c>
      <c r="BK95" s="15">
        <v>0</v>
      </c>
      <c r="BL95" s="106">
        <v>49</v>
      </c>
      <c r="BM95" s="130">
        <v>12</v>
      </c>
      <c r="BN95" s="105">
        <f>BN94+12</f>
        <v>464</v>
      </c>
      <c r="BO95" s="128">
        <v>31</v>
      </c>
      <c r="BP95" s="15">
        <v>0</v>
      </c>
      <c r="BQ95" s="106">
        <v>58</v>
      </c>
      <c r="BR95" s="132">
        <v>4</v>
      </c>
      <c r="BS95" s="133">
        <v>8</v>
      </c>
      <c r="BT95" s="105">
        <v>80</v>
      </c>
      <c r="BU95" s="15">
        <v>0</v>
      </c>
      <c r="BV95" s="15">
        <v>0</v>
      </c>
      <c r="BW95" s="15">
        <v>0</v>
      </c>
      <c r="BX95" s="17">
        <v>0</v>
      </c>
      <c r="BY95" s="105">
        <v>56</v>
      </c>
      <c r="BZ95" s="15">
        <v>0</v>
      </c>
      <c r="CA95" s="109">
        <v>7</v>
      </c>
      <c r="CB95" s="17">
        <v>0</v>
      </c>
      <c r="CC95" s="105">
        <v>515</v>
      </c>
      <c r="CD95" s="128">
        <v>9</v>
      </c>
      <c r="CE95" s="109">
        <v>70</v>
      </c>
      <c r="CF95" s="106">
        <v>57</v>
      </c>
      <c r="CG95" s="130">
        <v>13</v>
      </c>
      <c r="CH95" s="105">
        <v>49</v>
      </c>
      <c r="CI95" s="128">
        <v>1</v>
      </c>
      <c r="CJ95" s="15">
        <v>0</v>
      </c>
      <c r="CK95" s="106">
        <v>9</v>
      </c>
      <c r="CL95" s="130">
        <v>3</v>
      </c>
      <c r="CM95" s="105">
        <v>170</v>
      </c>
      <c r="CN95" s="128">
        <v>5</v>
      </c>
      <c r="CO95" s="138">
        <v>93</v>
      </c>
      <c r="CP95" s="105">
        <v>258</v>
      </c>
      <c r="CQ95" s="128">
        <v>3</v>
      </c>
      <c r="CR95" s="15">
        <v>0</v>
      </c>
      <c r="CS95" s="174">
        <v>16</v>
      </c>
      <c r="CT95" s="105">
        <v>2508</v>
      </c>
      <c r="CU95" s="128">
        <v>177</v>
      </c>
      <c r="CV95" s="109">
        <v>340</v>
      </c>
      <c r="CW95" s="106">
        <v>362</v>
      </c>
      <c r="CX95" s="132">
        <v>74</v>
      </c>
      <c r="CY95" s="133">
        <v>61</v>
      </c>
      <c r="CZ95" s="105">
        <v>213</v>
      </c>
      <c r="DA95" s="128">
        <v>7</v>
      </c>
      <c r="DB95" s="15">
        <v>0</v>
      </c>
      <c r="DC95" s="15">
        <v>0</v>
      </c>
      <c r="DD95" s="17">
        <v>0</v>
      </c>
      <c r="DE95" s="105">
        <v>67</v>
      </c>
      <c r="DF95" s="128">
        <v>2</v>
      </c>
      <c r="DG95" s="109">
        <v>26</v>
      </c>
      <c r="DH95" s="174">
        <v>5</v>
      </c>
      <c r="DI95" s="87">
        <f>DI94+15</f>
        <v>1431</v>
      </c>
      <c r="DJ95" s="128">
        <f>DJ94+4</f>
        <v>57</v>
      </c>
      <c r="DK95" s="15">
        <v>0</v>
      </c>
      <c r="DL95" s="106">
        <v>154</v>
      </c>
      <c r="DM95" s="132">
        <v>26</v>
      </c>
      <c r="DN95" s="133">
        <v>22</v>
      </c>
      <c r="DO95" s="105">
        <v>4115</v>
      </c>
      <c r="DP95" s="128">
        <v>147</v>
      </c>
      <c r="DQ95" s="109">
        <v>225</v>
      </c>
      <c r="DR95" s="106">
        <v>396</v>
      </c>
      <c r="DS95" s="130">
        <v>80</v>
      </c>
      <c r="DT95" s="105">
        <v>152</v>
      </c>
      <c r="DU95" s="128">
        <v>3</v>
      </c>
      <c r="DV95" s="109">
        <v>46</v>
      </c>
      <c r="DW95" s="106">
        <v>14</v>
      </c>
      <c r="DX95" s="130">
        <v>8</v>
      </c>
      <c r="DY95" s="105">
        <v>2522</v>
      </c>
      <c r="DZ95" s="128">
        <v>45</v>
      </c>
      <c r="EA95" s="15">
        <v>0</v>
      </c>
      <c r="EB95" s="106">
        <v>194</v>
      </c>
      <c r="EC95" s="133">
        <v>59</v>
      </c>
      <c r="ED95" s="137" t="s">
        <v>332</v>
      </c>
      <c r="EE95" s="127" t="s">
        <v>333</v>
      </c>
    </row>
    <row r="96" spans="1:135" ht="165.75">
      <c r="A96" s="97">
        <v>43927</v>
      </c>
      <c r="B96" s="14">
        <f t="shared" si="90"/>
        <v>22249</v>
      </c>
      <c r="C96" s="34">
        <f t="shared" ref="C96:D96" si="109">SUM(J96,M96,P96,V96,AA96,AF96,AL96,AQ96,AW96,BA96,BE96,BJ96,BO96,BU96,BZ96,CD96,CI96,CN96,CQ96,CU96,DA96,DF96,DJ96,DP96,DU96,DZ96)</f>
        <v>811</v>
      </c>
      <c r="D96" s="73">
        <f t="shared" si="109"/>
        <v>2137</v>
      </c>
      <c r="E96" s="100">
        <f t="shared" si="52"/>
        <v>19301</v>
      </c>
      <c r="F96" s="104">
        <f t="shared" si="57"/>
        <v>2311</v>
      </c>
      <c r="G96" s="129">
        <f t="shared" si="70"/>
        <v>381</v>
      </c>
      <c r="H96" s="131">
        <f t="shared" si="108"/>
        <v>268</v>
      </c>
      <c r="I96" s="105">
        <v>67</v>
      </c>
      <c r="J96" s="128">
        <v>3</v>
      </c>
      <c r="K96" s="17">
        <v>0</v>
      </c>
      <c r="L96" s="105">
        <v>21</v>
      </c>
      <c r="M96" s="15">
        <v>0</v>
      </c>
      <c r="N96" s="17">
        <v>0</v>
      </c>
      <c r="O96" s="105">
        <v>727</v>
      </c>
      <c r="P96" s="128">
        <v>13</v>
      </c>
      <c r="Q96" s="109">
        <v>4</v>
      </c>
      <c r="R96" s="106">
        <v>82</v>
      </c>
      <c r="S96" s="132">
        <v>25</v>
      </c>
      <c r="T96" s="133">
        <v>24</v>
      </c>
      <c r="U96" s="105">
        <v>682</v>
      </c>
      <c r="V96" s="128">
        <v>19</v>
      </c>
      <c r="W96" s="109">
        <v>412</v>
      </c>
      <c r="X96" s="106">
        <v>67</v>
      </c>
      <c r="Y96" s="130">
        <v>17</v>
      </c>
      <c r="Z96" s="105">
        <v>803</v>
      </c>
      <c r="AA96" s="128">
        <v>26</v>
      </c>
      <c r="AB96" s="109">
        <v>481</v>
      </c>
      <c r="AC96" s="132">
        <v>99</v>
      </c>
      <c r="AD96" s="130">
        <v>13</v>
      </c>
      <c r="AE96" s="105">
        <v>1173</v>
      </c>
      <c r="AF96" s="128">
        <v>31</v>
      </c>
      <c r="AG96" s="15">
        <v>0</v>
      </c>
      <c r="AH96" s="106">
        <v>117</v>
      </c>
      <c r="AI96" s="132">
        <v>35</v>
      </c>
      <c r="AJ96" s="133">
        <v>30</v>
      </c>
      <c r="AK96" s="105">
        <v>689</v>
      </c>
      <c r="AL96" s="128">
        <v>41</v>
      </c>
      <c r="AM96" s="109">
        <v>56</v>
      </c>
      <c r="AN96" s="106">
        <v>87</v>
      </c>
      <c r="AO96" s="130">
        <v>19</v>
      </c>
      <c r="AP96" s="87">
        <f>AP95+122</f>
        <v>3821</v>
      </c>
      <c r="AQ96" s="128">
        <f>3+22+87</f>
        <v>112</v>
      </c>
      <c r="AR96" s="109">
        <v>345</v>
      </c>
      <c r="AS96" s="106">
        <v>418</v>
      </c>
      <c r="AT96" s="132">
        <v>56</v>
      </c>
      <c r="AU96" s="133">
        <v>50</v>
      </c>
      <c r="AV96" s="105">
        <v>63</v>
      </c>
      <c r="AW96" s="128">
        <v>2</v>
      </c>
      <c r="AX96" s="109">
        <v>3</v>
      </c>
      <c r="AY96" s="17">
        <v>0</v>
      </c>
      <c r="AZ96" s="105">
        <v>657</v>
      </c>
      <c r="BA96" s="128">
        <v>31</v>
      </c>
      <c r="BB96" s="15">
        <v>0</v>
      </c>
      <c r="BC96" s="174">
        <v>52</v>
      </c>
      <c r="BD96" s="105">
        <v>164</v>
      </c>
      <c r="BE96" s="15">
        <v>0</v>
      </c>
      <c r="BF96" s="15">
        <v>0</v>
      </c>
      <c r="BG96" s="106">
        <v>27</v>
      </c>
      <c r="BH96" s="130">
        <v>4</v>
      </c>
      <c r="BI96" s="105">
        <v>497</v>
      </c>
      <c r="BJ96" s="128">
        <v>9</v>
      </c>
      <c r="BK96" s="15">
        <v>0</v>
      </c>
      <c r="BL96" s="106">
        <v>61</v>
      </c>
      <c r="BM96" s="130">
        <v>6</v>
      </c>
      <c r="BN96" s="105">
        <f>BN95+24</f>
        <v>488</v>
      </c>
      <c r="BO96" s="128">
        <v>34</v>
      </c>
      <c r="BP96" s="15">
        <v>0</v>
      </c>
      <c r="BQ96" s="106">
        <v>59</v>
      </c>
      <c r="BR96" s="132">
        <v>2</v>
      </c>
      <c r="BS96" s="133">
        <v>8</v>
      </c>
      <c r="BT96" s="105">
        <v>86</v>
      </c>
      <c r="BU96" s="15">
        <v>0</v>
      </c>
      <c r="BV96" s="15">
        <v>0</v>
      </c>
      <c r="BW96" s="106">
        <v>9</v>
      </c>
      <c r="BX96" s="130">
        <v>2</v>
      </c>
      <c r="BY96" s="105">
        <v>60</v>
      </c>
      <c r="BZ96" s="15">
        <v>0</v>
      </c>
      <c r="CA96" s="109">
        <v>7</v>
      </c>
      <c r="CB96" s="174">
        <v>1</v>
      </c>
      <c r="CC96" s="105">
        <v>532</v>
      </c>
      <c r="CD96" s="128">
        <v>11</v>
      </c>
      <c r="CE96" s="109">
        <v>75</v>
      </c>
      <c r="CF96" s="106">
        <v>58</v>
      </c>
      <c r="CG96" s="130">
        <v>12</v>
      </c>
      <c r="CH96" s="105">
        <v>49</v>
      </c>
      <c r="CI96" s="128">
        <v>1</v>
      </c>
      <c r="CJ96" s="15">
        <v>0</v>
      </c>
      <c r="CK96" s="106">
        <v>9</v>
      </c>
      <c r="CL96" s="130">
        <v>3</v>
      </c>
      <c r="CM96" s="105">
        <v>178</v>
      </c>
      <c r="CN96" s="128">
        <v>6</v>
      </c>
      <c r="CO96" s="138">
        <v>93</v>
      </c>
      <c r="CP96" s="105">
        <v>261</v>
      </c>
      <c r="CQ96" s="128">
        <v>3</v>
      </c>
      <c r="CR96" s="15">
        <v>0</v>
      </c>
      <c r="CS96" s="174">
        <v>26</v>
      </c>
      <c r="CT96" s="105">
        <v>2546</v>
      </c>
      <c r="CU96" s="128">
        <v>189</v>
      </c>
      <c r="CV96" s="109">
        <v>350</v>
      </c>
      <c r="CW96" s="106">
        <v>357</v>
      </c>
      <c r="CX96" s="132">
        <v>72</v>
      </c>
      <c r="CY96" s="133">
        <v>62</v>
      </c>
      <c r="CZ96" s="105">
        <v>219</v>
      </c>
      <c r="DA96" s="128">
        <v>7</v>
      </c>
      <c r="DB96" s="15">
        <v>0</v>
      </c>
      <c r="DC96" s="132">
        <v>34</v>
      </c>
      <c r="DD96" s="133">
        <v>14</v>
      </c>
      <c r="DE96" s="105">
        <v>67</v>
      </c>
      <c r="DF96" s="128">
        <v>2</v>
      </c>
      <c r="DG96" s="109">
        <v>34</v>
      </c>
      <c r="DH96" s="174">
        <v>9</v>
      </c>
      <c r="DI96" s="87">
        <f>DI95+66</f>
        <v>1497</v>
      </c>
      <c r="DJ96" s="128">
        <f>DJ95+1+2</f>
        <v>60</v>
      </c>
      <c r="DK96" s="15">
        <v>0</v>
      </c>
      <c r="DL96" s="106">
        <v>144</v>
      </c>
      <c r="DM96" s="132">
        <v>26</v>
      </c>
      <c r="DN96" s="133">
        <v>22</v>
      </c>
      <c r="DO96" s="105">
        <v>4155</v>
      </c>
      <c r="DP96" s="128">
        <v>160</v>
      </c>
      <c r="DQ96" s="109">
        <v>225</v>
      </c>
      <c r="DR96" s="106">
        <v>382</v>
      </c>
      <c r="DS96" s="130">
        <v>80</v>
      </c>
      <c r="DT96" s="105">
        <v>157</v>
      </c>
      <c r="DU96" s="128">
        <v>3</v>
      </c>
      <c r="DV96" s="109">
        <v>52</v>
      </c>
      <c r="DW96" s="106">
        <v>15</v>
      </c>
      <c r="DX96" s="130">
        <v>9</v>
      </c>
      <c r="DY96" s="105">
        <v>2590</v>
      </c>
      <c r="DZ96" s="128">
        <v>48</v>
      </c>
      <c r="EA96" s="15">
        <v>0</v>
      </c>
      <c r="EB96" s="106">
        <v>198</v>
      </c>
      <c r="EC96" s="133">
        <v>58</v>
      </c>
      <c r="ED96" s="137" t="s">
        <v>336</v>
      </c>
      <c r="EE96" s="77" t="s">
        <v>337</v>
      </c>
    </row>
    <row r="97" spans="1:135" ht="178.5">
      <c r="A97" s="97">
        <v>43928</v>
      </c>
      <c r="B97" s="14">
        <f t="shared" si="90"/>
        <v>22959</v>
      </c>
      <c r="C97" s="34">
        <f t="shared" ref="C97:D97" si="110">SUM(J97,M97,P97,V97,AA97,AF97,AL97,AQ97,AW97,BA97,BE97,BJ97,BO97,BU97,BZ97,CD97,CI97,CN97,CQ97,CU97,DA97,DF97,DJ97,DP97,DU97,DZ97)</f>
        <v>874</v>
      </c>
      <c r="D97" s="73">
        <f t="shared" si="110"/>
        <v>2480</v>
      </c>
      <c r="E97" s="100">
        <f t="shared" si="52"/>
        <v>19605</v>
      </c>
      <c r="F97" s="104">
        <f t="shared" si="57"/>
        <v>2238</v>
      </c>
      <c r="G97" s="129">
        <f t="shared" si="70"/>
        <v>381</v>
      </c>
      <c r="H97" s="131">
        <f t="shared" si="108"/>
        <v>264</v>
      </c>
      <c r="I97" s="105">
        <v>69</v>
      </c>
      <c r="J97" s="128">
        <v>3</v>
      </c>
      <c r="K97" s="17">
        <v>0</v>
      </c>
      <c r="L97" s="105">
        <v>21</v>
      </c>
      <c r="M97" s="15">
        <v>0</v>
      </c>
      <c r="N97" s="17">
        <v>0</v>
      </c>
      <c r="O97" s="105">
        <v>760</v>
      </c>
      <c r="P97" s="128">
        <v>16</v>
      </c>
      <c r="Q97" s="109">
        <v>170</v>
      </c>
      <c r="R97" s="106">
        <v>84</v>
      </c>
      <c r="S97" s="132">
        <v>25</v>
      </c>
      <c r="T97" s="133">
        <v>25</v>
      </c>
      <c r="U97" s="105">
        <v>690</v>
      </c>
      <c r="V97" s="128">
        <v>19</v>
      </c>
      <c r="W97" s="109">
        <v>452</v>
      </c>
      <c r="X97" s="106">
        <v>66</v>
      </c>
      <c r="Y97" s="130">
        <v>18</v>
      </c>
      <c r="Z97" s="105">
        <v>813</v>
      </c>
      <c r="AA97" s="128">
        <v>28</v>
      </c>
      <c r="AB97" s="109">
        <v>508</v>
      </c>
      <c r="AC97" s="132">
        <v>101</v>
      </c>
      <c r="AD97" s="130">
        <v>13</v>
      </c>
      <c r="AE97" s="105">
        <v>1228</v>
      </c>
      <c r="AF97" s="128">
        <v>33</v>
      </c>
      <c r="AG97" s="15">
        <v>0</v>
      </c>
      <c r="AH97" s="106">
        <v>122</v>
      </c>
      <c r="AI97" s="132">
        <v>34</v>
      </c>
      <c r="AJ97" s="133">
        <v>26</v>
      </c>
      <c r="AK97" s="105">
        <v>729</v>
      </c>
      <c r="AL97" s="128">
        <v>44</v>
      </c>
      <c r="AM97" s="109">
        <v>73</v>
      </c>
      <c r="AN97" s="106">
        <v>78</v>
      </c>
      <c r="AO97" s="130">
        <v>22</v>
      </c>
      <c r="AP97" s="87">
        <f>AP96+161</f>
        <v>3982</v>
      </c>
      <c r="AQ97" s="128">
        <f>3+27+93</f>
        <v>123</v>
      </c>
      <c r="AR97" s="109">
        <v>374</v>
      </c>
      <c r="AS97" s="106">
        <v>412</v>
      </c>
      <c r="AT97" s="132">
        <v>51</v>
      </c>
      <c r="AU97" s="133">
        <v>48</v>
      </c>
      <c r="AV97" s="105">
        <v>63</v>
      </c>
      <c r="AW97" s="128">
        <v>2</v>
      </c>
      <c r="AX97" s="109">
        <v>3</v>
      </c>
      <c r="AY97" s="17">
        <v>0</v>
      </c>
      <c r="AZ97" s="105">
        <v>668</v>
      </c>
      <c r="BA97" s="128">
        <v>34</v>
      </c>
      <c r="BB97" s="15">
        <v>0</v>
      </c>
      <c r="BC97" s="174">
        <v>49</v>
      </c>
      <c r="BD97" s="105">
        <v>171</v>
      </c>
      <c r="BE97" s="15">
        <v>0</v>
      </c>
      <c r="BF97" s="15">
        <v>0</v>
      </c>
      <c r="BG97" s="106">
        <v>28</v>
      </c>
      <c r="BH97" s="130">
        <v>4</v>
      </c>
      <c r="BI97" s="105">
        <v>509</v>
      </c>
      <c r="BJ97" s="128">
        <v>9</v>
      </c>
      <c r="BK97" s="15">
        <v>0</v>
      </c>
      <c r="BL97" s="106">
        <v>61</v>
      </c>
      <c r="BM97" s="130">
        <v>6</v>
      </c>
      <c r="BN97" s="105">
        <f>BN96+25</f>
        <v>513</v>
      </c>
      <c r="BO97" s="128">
        <v>36</v>
      </c>
      <c r="BP97" s="15">
        <v>0</v>
      </c>
      <c r="BQ97" s="106">
        <v>64</v>
      </c>
      <c r="BR97" s="132">
        <v>5</v>
      </c>
      <c r="BS97" s="133">
        <v>5</v>
      </c>
      <c r="BT97" s="105">
        <v>87</v>
      </c>
      <c r="BU97" s="15">
        <v>0</v>
      </c>
      <c r="BV97" s="15">
        <v>0</v>
      </c>
      <c r="BW97" s="106">
        <v>10</v>
      </c>
      <c r="BX97" s="130">
        <v>2</v>
      </c>
      <c r="BY97" s="105">
        <v>60</v>
      </c>
      <c r="BZ97" s="15">
        <v>0</v>
      </c>
      <c r="CA97" s="109">
        <v>7</v>
      </c>
      <c r="CB97" s="174">
        <v>2</v>
      </c>
      <c r="CC97" s="105">
        <v>557</v>
      </c>
      <c r="CD97" s="128">
        <v>13</v>
      </c>
      <c r="CE97" s="109">
        <v>79</v>
      </c>
      <c r="CF97" s="106">
        <v>56</v>
      </c>
      <c r="CG97" s="130">
        <v>9</v>
      </c>
      <c r="CH97" s="105">
        <v>50</v>
      </c>
      <c r="CI97" s="128">
        <v>1</v>
      </c>
      <c r="CJ97" s="15">
        <v>0</v>
      </c>
      <c r="CK97" s="106">
        <v>12</v>
      </c>
      <c r="CL97" s="130">
        <v>3</v>
      </c>
      <c r="CM97" s="105">
        <v>185</v>
      </c>
      <c r="CN97" s="128">
        <v>7</v>
      </c>
      <c r="CO97" s="138">
        <v>105</v>
      </c>
      <c r="CP97" s="105">
        <v>264</v>
      </c>
      <c r="CQ97" s="128">
        <v>3</v>
      </c>
      <c r="CR97" s="15">
        <v>0</v>
      </c>
      <c r="CS97" s="174">
        <v>29</v>
      </c>
      <c r="CT97" s="105">
        <v>2599</v>
      </c>
      <c r="CU97" s="128">
        <v>198</v>
      </c>
      <c r="CV97" s="109">
        <v>388</v>
      </c>
      <c r="CW97" s="106">
        <v>335</v>
      </c>
      <c r="CX97" s="132">
        <v>72</v>
      </c>
      <c r="CY97" s="133">
        <v>65</v>
      </c>
      <c r="CZ97" s="105">
        <v>221</v>
      </c>
      <c r="DA97" s="128">
        <v>8</v>
      </c>
      <c r="DB97" s="15">
        <v>0</v>
      </c>
      <c r="DC97" s="132">
        <v>33</v>
      </c>
      <c r="DD97" s="133">
        <v>13</v>
      </c>
      <c r="DE97" s="105">
        <v>68</v>
      </c>
      <c r="DF97" s="128">
        <v>2</v>
      </c>
      <c r="DG97" s="109">
        <v>42</v>
      </c>
      <c r="DH97" s="174">
        <v>7</v>
      </c>
      <c r="DI97" s="87">
        <f>DI96+39</f>
        <v>1536</v>
      </c>
      <c r="DJ97" s="128">
        <f>DJ96+2+6</f>
        <v>68</v>
      </c>
      <c r="DK97" s="15">
        <v>0</v>
      </c>
      <c r="DL97" s="106">
        <v>140</v>
      </c>
      <c r="DM97" s="132">
        <v>25</v>
      </c>
      <c r="DN97" s="133">
        <v>22</v>
      </c>
      <c r="DO97" s="105">
        <v>4235</v>
      </c>
      <c r="DP97" s="128">
        <v>172</v>
      </c>
      <c r="DQ97" s="109">
        <v>225</v>
      </c>
      <c r="DR97" s="106">
        <v>356</v>
      </c>
      <c r="DS97" s="130">
        <v>83</v>
      </c>
      <c r="DT97" s="105">
        <v>162</v>
      </c>
      <c r="DU97" s="128">
        <v>3</v>
      </c>
      <c r="DV97" s="109">
        <v>54</v>
      </c>
      <c r="DW97" s="106">
        <v>12</v>
      </c>
      <c r="DX97" s="130">
        <v>9</v>
      </c>
      <c r="DY97" s="105">
        <v>2719</v>
      </c>
      <c r="DZ97" s="128">
        <v>52</v>
      </c>
      <c r="EA97" s="15">
        <v>0</v>
      </c>
      <c r="EB97" s="106">
        <v>181</v>
      </c>
      <c r="EC97" s="133">
        <v>60</v>
      </c>
      <c r="ED97" s="137" t="s">
        <v>339</v>
      </c>
      <c r="EE97" s="127" t="s">
        <v>340</v>
      </c>
    </row>
    <row r="98" spans="1:135" ht="140.25">
      <c r="A98" s="97">
        <v>43929</v>
      </c>
      <c r="B98" s="14">
        <f t="shared" si="90"/>
        <v>23594</v>
      </c>
      <c r="C98" s="34">
        <f t="shared" ref="C98:D98" si="111">SUM(J98,M98,P98,V98,AA98,AF98,AL98,AQ98,AW98,BA98,BE98,BJ98,BO98,BU98,BZ98,CD98,CI98,CN98,CQ98,CU98,DA98,DF98,DJ98,DP98,DU98,DZ98)</f>
        <v>939</v>
      </c>
      <c r="D98" s="73">
        <f t="shared" si="111"/>
        <v>2806</v>
      </c>
      <c r="E98" s="100">
        <f t="shared" si="52"/>
        <v>19849</v>
      </c>
      <c r="F98" s="104">
        <f t="shared" si="57"/>
        <v>2126</v>
      </c>
      <c r="G98" s="129">
        <f t="shared" si="70"/>
        <v>378</v>
      </c>
      <c r="H98" s="131">
        <f t="shared" si="108"/>
        <v>262</v>
      </c>
      <c r="I98" s="105">
        <v>72</v>
      </c>
      <c r="J98" s="128">
        <v>3</v>
      </c>
      <c r="K98" s="17">
        <v>0</v>
      </c>
      <c r="L98" s="105">
        <v>23</v>
      </c>
      <c r="M98" s="15">
        <v>0</v>
      </c>
      <c r="N98" s="17">
        <v>0</v>
      </c>
      <c r="O98" s="105">
        <v>788</v>
      </c>
      <c r="P98" s="128">
        <v>16</v>
      </c>
      <c r="Q98" s="109">
        <v>220</v>
      </c>
      <c r="R98" s="106">
        <v>56</v>
      </c>
      <c r="S98" s="132">
        <v>23</v>
      </c>
      <c r="T98" s="133">
        <v>23</v>
      </c>
      <c r="U98" s="105">
        <v>694</v>
      </c>
      <c r="V98" s="128">
        <v>21</v>
      </c>
      <c r="W98" s="109">
        <v>461</v>
      </c>
      <c r="X98" s="106">
        <v>65</v>
      </c>
      <c r="Y98" s="130">
        <v>18</v>
      </c>
      <c r="Z98" s="105">
        <v>834</v>
      </c>
      <c r="AA98" s="128">
        <v>31</v>
      </c>
      <c r="AB98" s="109">
        <v>535</v>
      </c>
      <c r="AC98" s="132">
        <v>99</v>
      </c>
      <c r="AD98" s="130">
        <v>14</v>
      </c>
      <c r="AE98" s="105">
        <v>1286</v>
      </c>
      <c r="AF98" s="128">
        <v>37</v>
      </c>
      <c r="AG98" s="15">
        <v>0</v>
      </c>
      <c r="AH98" s="106">
        <v>127</v>
      </c>
      <c r="AI98" s="132">
        <v>35</v>
      </c>
      <c r="AJ98" s="133">
        <v>27</v>
      </c>
      <c r="AK98" s="105">
        <v>756</v>
      </c>
      <c r="AL98" s="128">
        <v>45</v>
      </c>
      <c r="AM98" s="109">
        <v>78</v>
      </c>
      <c r="AN98" s="106">
        <v>80</v>
      </c>
      <c r="AO98" s="130">
        <v>22</v>
      </c>
      <c r="AP98" s="87">
        <f>AP97+133</f>
        <v>4115</v>
      </c>
      <c r="AQ98" s="128">
        <f>3+35+98</f>
        <v>136</v>
      </c>
      <c r="AR98" s="109">
        <v>435</v>
      </c>
      <c r="AS98" s="106">
        <v>402</v>
      </c>
      <c r="AT98" s="132">
        <v>49</v>
      </c>
      <c r="AU98" s="133">
        <v>47</v>
      </c>
      <c r="AV98" s="105">
        <v>64</v>
      </c>
      <c r="AW98" s="128">
        <v>2</v>
      </c>
      <c r="AX98" s="109">
        <v>3</v>
      </c>
      <c r="AY98" s="174">
        <v>2</v>
      </c>
      <c r="AZ98" s="105">
        <v>668</v>
      </c>
      <c r="BA98" s="128">
        <v>34</v>
      </c>
      <c r="BB98" s="15">
        <v>0</v>
      </c>
      <c r="BC98" s="174">
        <v>49</v>
      </c>
      <c r="BD98" s="105">
        <v>174</v>
      </c>
      <c r="BE98" s="128">
        <v>1</v>
      </c>
      <c r="BF98" s="15">
        <v>0</v>
      </c>
      <c r="BG98" s="106">
        <v>31</v>
      </c>
      <c r="BH98" s="130">
        <v>4</v>
      </c>
      <c r="BI98" s="105">
        <v>527</v>
      </c>
      <c r="BJ98" s="128">
        <v>9</v>
      </c>
      <c r="BK98" s="15">
        <v>0</v>
      </c>
      <c r="BL98" s="106">
        <v>57</v>
      </c>
      <c r="BM98" s="130">
        <v>6</v>
      </c>
      <c r="BN98" s="105">
        <f>BN97+5</f>
        <v>518</v>
      </c>
      <c r="BO98" s="128">
        <v>39</v>
      </c>
      <c r="BP98" s="15">
        <v>0</v>
      </c>
      <c r="BQ98" s="106">
        <v>63</v>
      </c>
      <c r="BR98" s="132">
        <v>3</v>
      </c>
      <c r="BS98" s="133">
        <v>7</v>
      </c>
      <c r="BT98" s="105">
        <v>93</v>
      </c>
      <c r="BU98" s="15">
        <v>0</v>
      </c>
      <c r="BV98" s="15">
        <v>0</v>
      </c>
      <c r="BW98" s="106">
        <v>7</v>
      </c>
      <c r="BX98" s="130">
        <v>1</v>
      </c>
      <c r="BY98" s="105">
        <v>61</v>
      </c>
      <c r="BZ98" s="15">
        <v>0</v>
      </c>
      <c r="CA98" s="109">
        <v>7</v>
      </c>
      <c r="CB98" s="174">
        <v>2</v>
      </c>
      <c r="CC98" s="105">
        <v>578</v>
      </c>
      <c r="CD98" s="128">
        <v>15</v>
      </c>
      <c r="CE98" s="109">
        <v>89</v>
      </c>
      <c r="CF98" s="106">
        <v>52</v>
      </c>
      <c r="CG98" s="130">
        <v>12</v>
      </c>
      <c r="CH98" s="105">
        <v>50</v>
      </c>
      <c r="CI98" s="128">
        <v>1</v>
      </c>
      <c r="CJ98" s="15">
        <v>0</v>
      </c>
      <c r="CK98" s="106">
        <v>13</v>
      </c>
      <c r="CL98" s="130">
        <v>2</v>
      </c>
      <c r="CM98" s="105">
        <v>196</v>
      </c>
      <c r="CN98" s="128">
        <v>7</v>
      </c>
      <c r="CO98" s="138">
        <v>107</v>
      </c>
      <c r="CP98" s="105">
        <v>276</v>
      </c>
      <c r="CQ98" s="128">
        <v>3</v>
      </c>
      <c r="CR98" s="15">
        <v>0</v>
      </c>
      <c r="CS98" s="174">
        <v>22</v>
      </c>
      <c r="CT98" s="105">
        <v>2659</v>
      </c>
      <c r="CU98" s="128">
        <v>211</v>
      </c>
      <c r="CV98" s="109">
        <v>420</v>
      </c>
      <c r="CW98" s="106">
        <v>319</v>
      </c>
      <c r="CX98" s="132">
        <v>71</v>
      </c>
      <c r="CY98" s="133">
        <v>64</v>
      </c>
      <c r="CZ98" s="105">
        <v>236</v>
      </c>
      <c r="DA98" s="128">
        <v>8</v>
      </c>
      <c r="DB98" s="15">
        <v>0</v>
      </c>
      <c r="DC98" s="132">
        <v>30</v>
      </c>
      <c r="DD98" s="133">
        <v>15</v>
      </c>
      <c r="DE98" s="105">
        <v>72</v>
      </c>
      <c r="DF98" s="128">
        <v>4</v>
      </c>
      <c r="DG98" s="109">
        <v>42</v>
      </c>
      <c r="DH98" s="174">
        <v>5</v>
      </c>
      <c r="DI98" s="87">
        <f>DI97+34</f>
        <v>1570</v>
      </c>
      <c r="DJ98" s="128">
        <f>DJ97+3</f>
        <v>71</v>
      </c>
      <c r="DK98" s="109">
        <v>130</v>
      </c>
      <c r="DL98" s="106">
        <v>129</v>
      </c>
      <c r="DM98" s="132">
        <v>26</v>
      </c>
      <c r="DN98" s="133">
        <v>23</v>
      </c>
      <c r="DO98" s="105">
        <v>4315</v>
      </c>
      <c r="DP98" s="128">
        <v>185</v>
      </c>
      <c r="DQ98" s="109">
        <v>225</v>
      </c>
      <c r="DR98" s="106">
        <v>334</v>
      </c>
      <c r="DS98" s="130">
        <v>83</v>
      </c>
      <c r="DT98" s="105">
        <v>162</v>
      </c>
      <c r="DU98" s="128">
        <v>3</v>
      </c>
      <c r="DV98" s="109">
        <v>54</v>
      </c>
      <c r="DW98" s="106">
        <v>12</v>
      </c>
      <c r="DX98" s="130">
        <v>9</v>
      </c>
      <c r="DY98" s="105">
        <v>2807</v>
      </c>
      <c r="DZ98" s="128">
        <v>57</v>
      </c>
      <c r="EA98" s="15">
        <v>0</v>
      </c>
      <c r="EB98" s="106">
        <v>170</v>
      </c>
      <c r="EC98" s="133">
        <v>56</v>
      </c>
      <c r="ED98" s="137" t="s">
        <v>342</v>
      </c>
      <c r="EE98" s="127" t="s">
        <v>343</v>
      </c>
    </row>
    <row r="99" spans="1:135" ht="178.5">
      <c r="A99" s="97">
        <v>43930</v>
      </c>
      <c r="B99" s="14">
        <f t="shared" si="90"/>
        <v>24260</v>
      </c>
      <c r="C99" s="34">
        <f t="shared" ref="C99:D99" si="112">SUM(J99,M99,P99,V99,AA99,AF99,AL99,AQ99,AW99,BA99,BE99,BJ99,BO99,BU99,BZ99,CD99,CI99,CN99,CQ99,CU99,DA99,DF99,DJ99,DP99,DU99,DZ99)</f>
        <v>998</v>
      </c>
      <c r="D99" s="73">
        <f t="shared" si="112"/>
        <v>2948</v>
      </c>
      <c r="E99" s="100">
        <f t="shared" si="52"/>
        <v>20314</v>
      </c>
      <c r="F99" s="104">
        <f t="shared" si="57"/>
        <v>2082</v>
      </c>
      <c r="G99" s="129">
        <f t="shared" si="70"/>
        <v>373</v>
      </c>
      <c r="H99" s="131">
        <f t="shared" si="108"/>
        <v>258</v>
      </c>
      <c r="I99" s="105">
        <v>74</v>
      </c>
      <c r="J99" s="128">
        <v>3</v>
      </c>
      <c r="K99" s="17">
        <v>0</v>
      </c>
      <c r="L99" s="105">
        <v>24</v>
      </c>
      <c r="M99" s="15">
        <v>0</v>
      </c>
      <c r="N99" s="17">
        <v>0</v>
      </c>
      <c r="O99" s="105">
        <v>822</v>
      </c>
      <c r="P99" s="128">
        <v>17</v>
      </c>
      <c r="Q99" s="109">
        <v>250</v>
      </c>
      <c r="R99" s="106">
        <v>87</v>
      </c>
      <c r="S99" s="132">
        <v>22</v>
      </c>
      <c r="T99" s="133">
        <v>21</v>
      </c>
      <c r="U99" s="105">
        <v>711</v>
      </c>
      <c r="V99" s="128">
        <v>21</v>
      </c>
      <c r="W99" s="109">
        <v>485</v>
      </c>
      <c r="X99" s="106">
        <v>62</v>
      </c>
      <c r="Y99" s="130">
        <v>18</v>
      </c>
      <c r="Z99" s="105">
        <v>846</v>
      </c>
      <c r="AA99" s="128">
        <v>33</v>
      </c>
      <c r="AB99" s="109">
        <v>572</v>
      </c>
      <c r="AC99" s="132">
        <v>93</v>
      </c>
      <c r="AD99" s="130">
        <v>13</v>
      </c>
      <c r="AE99" s="105">
        <v>1335</v>
      </c>
      <c r="AF99" s="128">
        <v>38</v>
      </c>
      <c r="AG99" s="15">
        <v>0</v>
      </c>
      <c r="AH99" s="106">
        <v>117</v>
      </c>
      <c r="AI99" s="132">
        <v>36</v>
      </c>
      <c r="AJ99" s="133">
        <v>27</v>
      </c>
      <c r="AK99" s="105">
        <v>786</v>
      </c>
      <c r="AL99" s="128">
        <v>46</v>
      </c>
      <c r="AM99" s="109">
        <v>84</v>
      </c>
      <c r="AN99" s="106">
        <v>80</v>
      </c>
      <c r="AO99" s="130">
        <v>20</v>
      </c>
      <c r="AP99" s="87">
        <f>AP98+94</f>
        <v>4209</v>
      </c>
      <c r="AQ99" s="128">
        <f>3+37+105</f>
        <v>145</v>
      </c>
      <c r="AR99" s="109">
        <v>435</v>
      </c>
      <c r="AS99" s="106">
        <v>393</v>
      </c>
      <c r="AT99" s="132">
        <v>47</v>
      </c>
      <c r="AU99" s="133">
        <v>45</v>
      </c>
      <c r="AV99" s="105">
        <v>67</v>
      </c>
      <c r="AW99" s="128">
        <v>2</v>
      </c>
      <c r="AX99" s="109">
        <v>3</v>
      </c>
      <c r="AY99" s="174">
        <v>2</v>
      </c>
      <c r="AZ99" s="105">
        <v>680</v>
      </c>
      <c r="BA99" s="128">
        <v>35</v>
      </c>
      <c r="BB99" s="15">
        <v>0</v>
      </c>
      <c r="BC99" s="174">
        <v>38</v>
      </c>
      <c r="BD99" s="105">
        <v>179</v>
      </c>
      <c r="BE99" s="128">
        <v>1</v>
      </c>
      <c r="BF99" s="15">
        <v>0</v>
      </c>
      <c r="BG99" s="106">
        <v>28</v>
      </c>
      <c r="BH99" s="130">
        <v>5</v>
      </c>
      <c r="BI99" s="105">
        <v>542</v>
      </c>
      <c r="BJ99" s="128">
        <v>9</v>
      </c>
      <c r="BK99" s="15">
        <v>0</v>
      </c>
      <c r="BL99" s="106">
        <v>62</v>
      </c>
      <c r="BM99" s="130">
        <v>6</v>
      </c>
      <c r="BN99" s="105">
        <f>BN98+32</f>
        <v>550</v>
      </c>
      <c r="BO99" s="128">
        <v>40</v>
      </c>
      <c r="BP99" s="15">
        <v>0</v>
      </c>
      <c r="BQ99" s="106">
        <v>58</v>
      </c>
      <c r="BR99" s="132">
        <v>3</v>
      </c>
      <c r="BS99" s="133">
        <v>7</v>
      </c>
      <c r="BT99" s="105">
        <v>96</v>
      </c>
      <c r="BU99" s="15">
        <v>0</v>
      </c>
      <c r="BV99" s="15">
        <v>0</v>
      </c>
      <c r="BW99" s="106">
        <v>8</v>
      </c>
      <c r="BX99" s="130">
        <v>1</v>
      </c>
      <c r="BY99" s="105">
        <v>62</v>
      </c>
      <c r="BZ99" s="15">
        <v>0</v>
      </c>
      <c r="CA99" s="109">
        <v>7</v>
      </c>
      <c r="CB99" s="174">
        <v>1</v>
      </c>
      <c r="CC99" s="105">
        <v>604</v>
      </c>
      <c r="CD99" s="128">
        <v>16</v>
      </c>
      <c r="CE99" s="109">
        <v>92</v>
      </c>
      <c r="CF99" s="106">
        <v>52</v>
      </c>
      <c r="CG99" s="130">
        <v>13</v>
      </c>
      <c r="CH99" s="105">
        <v>52</v>
      </c>
      <c r="CI99" s="128">
        <v>1</v>
      </c>
      <c r="CJ99" s="15">
        <v>0</v>
      </c>
      <c r="CK99" s="106">
        <v>15</v>
      </c>
      <c r="CL99" s="130">
        <v>2</v>
      </c>
      <c r="CM99" s="105">
        <v>213</v>
      </c>
      <c r="CN99" s="128">
        <v>9</v>
      </c>
      <c r="CO99" s="138">
        <v>113</v>
      </c>
      <c r="CP99" s="105">
        <v>282</v>
      </c>
      <c r="CQ99" s="128">
        <v>5</v>
      </c>
      <c r="CR99" s="15">
        <v>0</v>
      </c>
      <c r="CS99" s="174">
        <v>23</v>
      </c>
      <c r="CT99" s="105">
        <v>2714</v>
      </c>
      <c r="CU99" s="128">
        <v>219</v>
      </c>
      <c r="CV99" s="109">
        <v>447</v>
      </c>
      <c r="CW99" s="106">
        <v>301</v>
      </c>
      <c r="CX99" s="132">
        <v>72</v>
      </c>
      <c r="CY99" s="133">
        <v>68</v>
      </c>
      <c r="CZ99" s="105">
        <v>255</v>
      </c>
      <c r="DA99" s="128">
        <v>8</v>
      </c>
      <c r="DB99" s="15">
        <v>0</v>
      </c>
      <c r="DC99" s="132">
        <v>27</v>
      </c>
      <c r="DD99" s="133">
        <v>12</v>
      </c>
      <c r="DE99" s="105">
        <v>72</v>
      </c>
      <c r="DF99" s="128">
        <v>4</v>
      </c>
      <c r="DG99" s="109">
        <v>45</v>
      </c>
      <c r="DH99" s="174">
        <v>4</v>
      </c>
      <c r="DI99" s="87">
        <f>DI98+28</f>
        <v>1598</v>
      </c>
      <c r="DJ99" s="128">
        <f t="shared" ref="DJ99:DJ100" si="113">DJ98+1+5</f>
        <v>77</v>
      </c>
      <c r="DK99" s="109">
        <v>136</v>
      </c>
      <c r="DL99" s="106">
        <v>128</v>
      </c>
      <c r="DM99" s="132">
        <v>26</v>
      </c>
      <c r="DN99" s="133">
        <v>23</v>
      </c>
      <c r="DO99" s="105">
        <v>4424</v>
      </c>
      <c r="DP99" s="128">
        <v>204</v>
      </c>
      <c r="DQ99" s="109">
        <v>225</v>
      </c>
      <c r="DR99" s="106">
        <v>325</v>
      </c>
      <c r="DS99" s="130">
        <v>80</v>
      </c>
      <c r="DT99" s="105">
        <v>165</v>
      </c>
      <c r="DU99" s="128">
        <v>3</v>
      </c>
      <c r="DV99" s="109">
        <v>54</v>
      </c>
      <c r="DW99" s="106">
        <v>13</v>
      </c>
      <c r="DX99" s="130">
        <v>9</v>
      </c>
      <c r="DY99" s="105">
        <v>2898</v>
      </c>
      <c r="DZ99" s="128">
        <v>62</v>
      </c>
      <c r="EA99" s="15">
        <v>0</v>
      </c>
      <c r="EB99" s="106">
        <v>165</v>
      </c>
      <c r="EC99" s="133">
        <v>55</v>
      </c>
      <c r="ED99" s="137" t="s">
        <v>346</v>
      </c>
      <c r="EE99" s="77" t="s">
        <v>347</v>
      </c>
    </row>
    <row r="100" spans="1:135" ht="153">
      <c r="A100" s="97">
        <v>43931</v>
      </c>
      <c r="B100" s="14">
        <f t="shared" si="90"/>
        <v>24755</v>
      </c>
      <c r="C100" s="34">
        <f t="shared" ref="C100:D100" si="114">SUM(J100,M100,P100,V100,AA100,AF100,AL100,AQ100,AW100,BA100,BE100,BJ100,BO100,BU100,BZ100,CD100,CI100,CN100,CQ100,CU100,DA100,DF100,DJ100,DP100,DU100,DZ100)</f>
        <v>1056</v>
      </c>
      <c r="D100" s="73">
        <f t="shared" si="114"/>
        <v>3054</v>
      </c>
      <c r="E100" s="100">
        <f t="shared" si="52"/>
        <v>20645</v>
      </c>
      <c r="F100" s="104">
        <f t="shared" si="57"/>
        <v>2039</v>
      </c>
      <c r="G100" s="129">
        <f t="shared" si="70"/>
        <v>361</v>
      </c>
      <c r="H100" s="131">
        <f t="shared" si="108"/>
        <v>249</v>
      </c>
      <c r="I100" s="105">
        <v>77</v>
      </c>
      <c r="J100" s="128">
        <v>3</v>
      </c>
      <c r="K100" s="17">
        <v>0</v>
      </c>
      <c r="L100" s="105">
        <v>24</v>
      </c>
      <c r="M100" s="15">
        <v>0</v>
      </c>
      <c r="N100" s="17">
        <v>0</v>
      </c>
      <c r="O100" s="105">
        <v>850</v>
      </c>
      <c r="P100" s="128">
        <v>18</v>
      </c>
      <c r="Q100" s="109">
        <v>250</v>
      </c>
      <c r="R100" s="106">
        <v>87</v>
      </c>
      <c r="S100" s="132">
        <v>22</v>
      </c>
      <c r="T100" s="133">
        <v>21</v>
      </c>
      <c r="U100" s="105">
        <v>722</v>
      </c>
      <c r="V100" s="128">
        <v>22</v>
      </c>
      <c r="W100" s="109">
        <v>502</v>
      </c>
      <c r="X100" s="106">
        <v>54</v>
      </c>
      <c r="Y100" s="130">
        <v>17</v>
      </c>
      <c r="Z100" s="105">
        <v>859</v>
      </c>
      <c r="AA100" s="128">
        <v>33</v>
      </c>
      <c r="AB100" s="109">
        <v>593</v>
      </c>
      <c r="AC100" s="132">
        <v>87</v>
      </c>
      <c r="AD100" s="130">
        <v>13</v>
      </c>
      <c r="AE100" s="105">
        <v>1375</v>
      </c>
      <c r="AF100" s="128">
        <v>42</v>
      </c>
      <c r="AG100" s="15">
        <v>0</v>
      </c>
      <c r="AH100" s="106">
        <v>107</v>
      </c>
      <c r="AI100" s="132">
        <v>33</v>
      </c>
      <c r="AJ100" s="133">
        <v>25</v>
      </c>
      <c r="AK100" s="105">
        <v>796</v>
      </c>
      <c r="AL100" s="128">
        <v>49</v>
      </c>
      <c r="AM100" s="109">
        <v>88</v>
      </c>
      <c r="AN100" s="106">
        <v>73</v>
      </c>
      <c r="AO100" s="130">
        <v>19</v>
      </c>
      <c r="AP100" s="87">
        <f>AP99+42</f>
        <v>4251</v>
      </c>
      <c r="AQ100" s="128">
        <f>3+42+109</f>
        <v>154</v>
      </c>
      <c r="AR100" s="109">
        <v>448</v>
      </c>
      <c r="AS100" s="106">
        <v>379</v>
      </c>
      <c r="AT100" s="132">
        <v>47</v>
      </c>
      <c r="AU100" s="133">
        <v>47</v>
      </c>
      <c r="AV100" s="105">
        <v>67</v>
      </c>
      <c r="AW100" s="128">
        <v>2</v>
      </c>
      <c r="AX100" s="109">
        <v>3</v>
      </c>
      <c r="AY100" s="174">
        <v>2</v>
      </c>
      <c r="AZ100" s="105">
        <v>704</v>
      </c>
      <c r="BA100" s="128">
        <v>35</v>
      </c>
      <c r="BB100" s="15">
        <v>0</v>
      </c>
      <c r="BC100" s="174">
        <v>39</v>
      </c>
      <c r="BD100" s="105">
        <v>182</v>
      </c>
      <c r="BE100" s="128">
        <v>3</v>
      </c>
      <c r="BF100" s="15">
        <v>0</v>
      </c>
      <c r="BG100" s="106">
        <v>23</v>
      </c>
      <c r="BH100" s="130">
        <v>5</v>
      </c>
      <c r="BI100" s="105">
        <v>560</v>
      </c>
      <c r="BJ100" s="128">
        <v>9</v>
      </c>
      <c r="BK100" s="15">
        <v>0</v>
      </c>
      <c r="BL100" s="106">
        <v>69</v>
      </c>
      <c r="BM100" s="130">
        <v>6</v>
      </c>
      <c r="BN100" s="105">
        <f>BN99+20</f>
        <v>570</v>
      </c>
      <c r="BO100" s="128">
        <v>40</v>
      </c>
      <c r="BP100" s="15">
        <v>0</v>
      </c>
      <c r="BQ100" s="106">
        <v>63</v>
      </c>
      <c r="BR100" s="132">
        <v>3</v>
      </c>
      <c r="BS100" s="133">
        <v>8</v>
      </c>
      <c r="BT100" s="105">
        <v>100</v>
      </c>
      <c r="BU100" s="15">
        <v>0</v>
      </c>
      <c r="BV100" s="15">
        <v>0</v>
      </c>
      <c r="BW100" s="106">
        <v>8</v>
      </c>
      <c r="BX100" s="130">
        <v>1</v>
      </c>
      <c r="BY100" s="105">
        <v>62</v>
      </c>
      <c r="BZ100" s="15">
        <v>0</v>
      </c>
      <c r="CA100" s="109">
        <v>7</v>
      </c>
      <c r="CB100" s="174">
        <v>1</v>
      </c>
      <c r="CC100" s="105">
        <v>632</v>
      </c>
      <c r="CD100" s="128">
        <v>17</v>
      </c>
      <c r="CE100" s="109">
        <v>93</v>
      </c>
      <c r="CF100" s="106">
        <v>60</v>
      </c>
      <c r="CG100" s="130">
        <v>11</v>
      </c>
      <c r="CH100" s="105">
        <v>53</v>
      </c>
      <c r="CI100" s="128">
        <v>1</v>
      </c>
      <c r="CJ100" s="15">
        <v>0</v>
      </c>
      <c r="CK100" s="106">
        <v>11</v>
      </c>
      <c r="CL100" s="130">
        <v>2</v>
      </c>
      <c r="CM100" s="105">
        <v>215</v>
      </c>
      <c r="CN100" s="128">
        <v>10</v>
      </c>
      <c r="CO100" s="138">
        <v>118</v>
      </c>
      <c r="CP100" s="105">
        <v>294</v>
      </c>
      <c r="CQ100" s="128">
        <v>5</v>
      </c>
      <c r="CR100" s="15">
        <v>0</v>
      </c>
      <c r="CS100" s="174">
        <v>22</v>
      </c>
      <c r="CT100" s="105">
        <v>2776</v>
      </c>
      <c r="CU100" s="128">
        <v>227</v>
      </c>
      <c r="CV100" s="109">
        <v>466</v>
      </c>
      <c r="CW100" s="106">
        <v>297</v>
      </c>
      <c r="CX100" s="132">
        <v>68</v>
      </c>
      <c r="CY100" s="133">
        <v>62</v>
      </c>
      <c r="CZ100" s="105">
        <v>264</v>
      </c>
      <c r="DA100" s="128">
        <v>8</v>
      </c>
      <c r="DB100" s="15">
        <v>0</v>
      </c>
      <c r="DC100" s="132">
        <v>32</v>
      </c>
      <c r="DD100" s="133">
        <v>13</v>
      </c>
      <c r="DE100" s="105">
        <v>74</v>
      </c>
      <c r="DF100" s="128">
        <v>4</v>
      </c>
      <c r="DG100" s="109">
        <v>49</v>
      </c>
      <c r="DH100" s="174">
        <v>4</v>
      </c>
      <c r="DI100" s="87">
        <f>DI99+29</f>
        <v>1627</v>
      </c>
      <c r="DJ100" s="128">
        <f t="shared" si="113"/>
        <v>83</v>
      </c>
      <c r="DK100" s="109">
        <v>136</v>
      </c>
      <c r="DL100" s="106">
        <v>131</v>
      </c>
      <c r="DM100" s="132">
        <v>26</v>
      </c>
      <c r="DN100" s="133">
        <v>23</v>
      </c>
      <c r="DO100" s="105">
        <v>4524</v>
      </c>
      <c r="DP100" s="128">
        <v>224</v>
      </c>
      <c r="DQ100" s="109">
        <v>225</v>
      </c>
      <c r="DR100" s="106">
        <v>323</v>
      </c>
      <c r="DS100" s="130">
        <v>79</v>
      </c>
      <c r="DT100" s="105">
        <v>168</v>
      </c>
      <c r="DU100" s="128">
        <v>3</v>
      </c>
      <c r="DV100" s="109">
        <v>76</v>
      </c>
      <c r="DW100" s="106">
        <v>15</v>
      </c>
      <c r="DX100" s="130">
        <v>9</v>
      </c>
      <c r="DY100" s="105">
        <v>2929</v>
      </c>
      <c r="DZ100" s="128">
        <v>64</v>
      </c>
      <c r="EA100" s="15">
        <v>0</v>
      </c>
      <c r="EB100" s="106">
        <v>152</v>
      </c>
      <c r="EC100" s="133">
        <v>50</v>
      </c>
      <c r="ED100" s="137" t="s">
        <v>349</v>
      </c>
      <c r="EE100" s="127" t="s">
        <v>350</v>
      </c>
    </row>
    <row r="101" spans="1:135" ht="153">
      <c r="A101" s="97">
        <v>43932</v>
      </c>
      <c r="B101" s="14">
        <f t="shared" si="90"/>
        <v>25221</v>
      </c>
      <c r="C101" s="34">
        <f t="shared" ref="C101:D101" si="115">SUM(J101,M101,P101,V101,AA101,AF101,AL101,AQ101,AW101,BA101,BE101,BJ101,BO101,BU101,BZ101,CD101,CI101,CN101,CQ101,CU101,DA101,DF101,DJ101,DP101,DU101,DZ101)</f>
        <v>1085</v>
      </c>
      <c r="D101" s="73">
        <f t="shared" si="115"/>
        <v>3220</v>
      </c>
      <c r="E101" s="100">
        <f t="shared" si="52"/>
        <v>20916</v>
      </c>
      <c r="F101" s="104">
        <f t="shared" si="57"/>
        <v>1951</v>
      </c>
      <c r="G101" s="129">
        <f t="shared" si="70"/>
        <v>363</v>
      </c>
      <c r="H101" s="131">
        <f t="shared" si="108"/>
        <v>245</v>
      </c>
      <c r="I101" s="105">
        <v>77</v>
      </c>
      <c r="J101" s="128">
        <v>3</v>
      </c>
      <c r="K101" s="17">
        <v>0</v>
      </c>
      <c r="L101" s="105">
        <v>24</v>
      </c>
      <c r="M101" s="15">
        <v>0</v>
      </c>
      <c r="N101" s="17">
        <v>0</v>
      </c>
      <c r="O101" s="105">
        <v>878</v>
      </c>
      <c r="P101" s="128">
        <v>18</v>
      </c>
      <c r="Q101" s="109">
        <v>300</v>
      </c>
      <c r="R101" s="106">
        <v>76</v>
      </c>
      <c r="S101" s="132">
        <v>23</v>
      </c>
      <c r="T101" s="133">
        <v>21</v>
      </c>
      <c r="U101" s="105">
        <v>736</v>
      </c>
      <c r="V101" s="128">
        <v>22</v>
      </c>
      <c r="W101" s="109">
        <v>527</v>
      </c>
      <c r="X101" s="106">
        <v>50</v>
      </c>
      <c r="Y101" s="130">
        <v>16</v>
      </c>
      <c r="Z101" s="105">
        <v>866</v>
      </c>
      <c r="AA101" s="128">
        <v>33</v>
      </c>
      <c r="AB101" s="109">
        <v>612</v>
      </c>
      <c r="AC101" s="132">
        <v>87</v>
      </c>
      <c r="AD101" s="130">
        <v>13</v>
      </c>
      <c r="AE101" s="105">
        <v>1419</v>
      </c>
      <c r="AF101" s="128">
        <v>44</v>
      </c>
      <c r="AG101" s="15">
        <v>0</v>
      </c>
      <c r="AH101" s="106">
        <v>99</v>
      </c>
      <c r="AI101" s="132">
        <v>33</v>
      </c>
      <c r="AJ101" s="133">
        <v>26</v>
      </c>
      <c r="AK101" s="105">
        <v>834</v>
      </c>
      <c r="AL101" s="128">
        <v>53</v>
      </c>
      <c r="AM101" s="109">
        <v>93</v>
      </c>
      <c r="AN101" s="106">
        <v>68</v>
      </c>
      <c r="AO101" s="130">
        <v>20</v>
      </c>
      <c r="AP101" s="87">
        <f>AP100+49</f>
        <v>4300</v>
      </c>
      <c r="AQ101" s="128">
        <f>3+45+113</f>
        <v>161</v>
      </c>
      <c r="AR101" s="109">
        <v>463</v>
      </c>
      <c r="AS101" s="106">
        <v>364</v>
      </c>
      <c r="AT101" s="132">
        <v>48</v>
      </c>
      <c r="AU101" s="133">
        <v>44</v>
      </c>
      <c r="AV101" s="105">
        <v>91</v>
      </c>
      <c r="AW101" s="128">
        <v>2</v>
      </c>
      <c r="AX101" s="109">
        <v>3</v>
      </c>
      <c r="AY101" s="174">
        <v>2</v>
      </c>
      <c r="AZ101" s="105">
        <v>715</v>
      </c>
      <c r="BA101" s="128">
        <v>35</v>
      </c>
      <c r="BB101" s="15">
        <v>0</v>
      </c>
      <c r="BC101" s="174">
        <v>35</v>
      </c>
      <c r="BD101" s="105">
        <v>183</v>
      </c>
      <c r="BE101" s="128">
        <v>3</v>
      </c>
      <c r="BF101" s="15">
        <v>0</v>
      </c>
      <c r="BG101" s="106">
        <v>23</v>
      </c>
      <c r="BH101" s="130">
        <v>5</v>
      </c>
      <c r="BI101" s="105">
        <v>568</v>
      </c>
      <c r="BJ101" s="128">
        <v>10</v>
      </c>
      <c r="BK101" s="15">
        <v>0</v>
      </c>
      <c r="BL101" s="106">
        <v>69</v>
      </c>
      <c r="BM101" s="130">
        <v>6</v>
      </c>
      <c r="BN101" s="105">
        <f>BN100+9</f>
        <v>579</v>
      </c>
      <c r="BO101" s="128">
        <v>42</v>
      </c>
      <c r="BP101" s="15">
        <v>0</v>
      </c>
      <c r="BQ101" s="106">
        <v>64</v>
      </c>
      <c r="BR101" s="132">
        <v>2</v>
      </c>
      <c r="BS101" s="133">
        <v>9</v>
      </c>
      <c r="BT101" s="105">
        <v>103</v>
      </c>
      <c r="BU101" s="15">
        <v>0</v>
      </c>
      <c r="BV101" s="15">
        <v>0</v>
      </c>
      <c r="BW101" s="106">
        <v>6</v>
      </c>
      <c r="BX101" s="130">
        <v>1</v>
      </c>
      <c r="BY101" s="105">
        <v>62</v>
      </c>
      <c r="BZ101" s="15">
        <v>0</v>
      </c>
      <c r="CA101" s="109">
        <v>7</v>
      </c>
      <c r="CB101" s="174">
        <v>1</v>
      </c>
      <c r="CC101" s="105">
        <v>641</v>
      </c>
      <c r="CD101" s="128">
        <v>18</v>
      </c>
      <c r="CE101" s="109">
        <v>102</v>
      </c>
      <c r="CF101" s="106">
        <v>60</v>
      </c>
      <c r="CG101" s="130">
        <v>11</v>
      </c>
      <c r="CH101" s="105">
        <v>55</v>
      </c>
      <c r="CI101" s="128">
        <v>1</v>
      </c>
      <c r="CJ101" s="15">
        <v>0</v>
      </c>
      <c r="CK101" s="106">
        <v>11</v>
      </c>
      <c r="CL101" s="130">
        <v>2</v>
      </c>
      <c r="CM101" s="105">
        <v>249</v>
      </c>
      <c r="CN101" s="128">
        <v>10</v>
      </c>
      <c r="CO101" s="138">
        <v>118</v>
      </c>
      <c r="CP101" s="105">
        <v>306</v>
      </c>
      <c r="CQ101" s="128">
        <v>6</v>
      </c>
      <c r="CR101" s="15">
        <v>0</v>
      </c>
      <c r="CS101" s="174">
        <v>22</v>
      </c>
      <c r="CT101" s="105">
        <v>2818</v>
      </c>
      <c r="CU101" s="128">
        <v>229</v>
      </c>
      <c r="CV101" s="109">
        <v>493</v>
      </c>
      <c r="CW101" s="106">
        <v>282</v>
      </c>
      <c r="CX101" s="132">
        <v>68</v>
      </c>
      <c r="CY101" s="133">
        <v>59</v>
      </c>
      <c r="CZ101" s="105">
        <v>274</v>
      </c>
      <c r="DA101" s="128">
        <v>8</v>
      </c>
      <c r="DB101" s="15">
        <v>0</v>
      </c>
      <c r="DC101" s="132">
        <v>32</v>
      </c>
      <c r="DD101" s="133">
        <v>14</v>
      </c>
      <c r="DE101" s="105">
        <v>75</v>
      </c>
      <c r="DF101" s="128">
        <v>4</v>
      </c>
      <c r="DG101" s="109">
        <v>50</v>
      </c>
      <c r="DH101" s="174">
        <v>8</v>
      </c>
      <c r="DI101" s="87">
        <f>DI100+26</f>
        <v>1653</v>
      </c>
      <c r="DJ101" s="128">
        <f>DJ100+2</f>
        <v>85</v>
      </c>
      <c r="DK101" s="109">
        <v>148</v>
      </c>
      <c r="DL101" s="106">
        <v>124</v>
      </c>
      <c r="DM101" s="132">
        <v>26</v>
      </c>
      <c r="DN101" s="133">
        <v>22</v>
      </c>
      <c r="DO101" s="105">
        <v>4560</v>
      </c>
      <c r="DP101" s="128">
        <v>228</v>
      </c>
      <c r="DQ101" s="109">
        <v>225</v>
      </c>
      <c r="DR101" s="106">
        <v>305</v>
      </c>
      <c r="DS101" s="130">
        <v>80</v>
      </c>
      <c r="DT101" s="105">
        <v>168</v>
      </c>
      <c r="DU101" s="128">
        <v>4</v>
      </c>
      <c r="DV101" s="109">
        <v>79</v>
      </c>
      <c r="DW101" s="106">
        <v>14</v>
      </c>
      <c r="DX101" s="130">
        <v>9</v>
      </c>
      <c r="DY101" s="105">
        <v>2987</v>
      </c>
      <c r="DZ101" s="128">
        <v>66</v>
      </c>
      <c r="EA101" s="15">
        <v>0</v>
      </c>
      <c r="EB101" s="106">
        <v>149</v>
      </c>
      <c r="EC101" s="133">
        <v>50</v>
      </c>
      <c r="ED101" s="137" t="s">
        <v>358</v>
      </c>
      <c r="EE101" s="127"/>
    </row>
    <row r="102" spans="1:135" ht="165.75">
      <c r="A102" s="97">
        <v>43933</v>
      </c>
      <c r="B102" s="14">
        <f t="shared" si="90"/>
        <v>25558</v>
      </c>
      <c r="C102" s="34">
        <f t="shared" ref="C102:D102" si="116">SUM(J102,M102,P102,V102,AA102,AF102,AL102,AQ102,AW102,BA102,BE102,BJ102,BO102,BU102,BZ102,CD102,CI102,CN102,CQ102,CU102,DA102,DF102,DJ102,DP102,DU102,DZ102)</f>
        <v>1139</v>
      </c>
      <c r="D102" s="73">
        <f t="shared" si="116"/>
        <v>3322</v>
      </c>
      <c r="E102" s="100">
        <f t="shared" si="52"/>
        <v>21097</v>
      </c>
      <c r="F102" s="104">
        <f t="shared" si="57"/>
        <v>1920</v>
      </c>
      <c r="G102" s="129">
        <f t="shared" si="70"/>
        <v>346</v>
      </c>
      <c r="H102" s="131">
        <f t="shared" si="108"/>
        <v>233</v>
      </c>
      <c r="I102" s="105">
        <v>77</v>
      </c>
      <c r="J102" s="128">
        <v>3</v>
      </c>
      <c r="K102" s="17">
        <v>0</v>
      </c>
      <c r="L102" s="105">
        <v>24</v>
      </c>
      <c r="M102" s="15">
        <v>0</v>
      </c>
      <c r="N102" s="17">
        <v>0</v>
      </c>
      <c r="O102" s="105">
        <v>899</v>
      </c>
      <c r="P102" s="128">
        <v>18</v>
      </c>
      <c r="Q102" s="109">
        <v>300</v>
      </c>
      <c r="R102" s="106">
        <v>76</v>
      </c>
      <c r="S102" s="132">
        <v>23</v>
      </c>
      <c r="T102" s="133">
        <v>21</v>
      </c>
      <c r="U102" s="105">
        <v>740</v>
      </c>
      <c r="V102" s="128">
        <v>23</v>
      </c>
      <c r="W102" s="109">
        <v>554</v>
      </c>
      <c r="X102" s="106">
        <v>48</v>
      </c>
      <c r="Y102" s="130">
        <v>17</v>
      </c>
      <c r="Z102" s="105">
        <v>882</v>
      </c>
      <c r="AA102" s="128">
        <v>33</v>
      </c>
      <c r="AB102" s="109">
        <v>629</v>
      </c>
      <c r="AC102" s="132">
        <v>86</v>
      </c>
      <c r="AD102" s="130">
        <v>12</v>
      </c>
      <c r="AE102" s="105">
        <v>1441</v>
      </c>
      <c r="AF102" s="128">
        <v>49</v>
      </c>
      <c r="AG102" s="15">
        <v>0</v>
      </c>
      <c r="AH102" s="106">
        <v>95</v>
      </c>
      <c r="AI102" s="132">
        <v>33</v>
      </c>
      <c r="AJ102" s="133">
        <v>22</v>
      </c>
      <c r="AK102" s="105">
        <v>846</v>
      </c>
      <c r="AL102" s="128">
        <v>54</v>
      </c>
      <c r="AM102" s="109">
        <v>97</v>
      </c>
      <c r="AN102" s="106">
        <v>65</v>
      </c>
      <c r="AO102" s="130">
        <v>19</v>
      </c>
      <c r="AP102" s="87">
        <f>AP101+22</f>
        <v>4322</v>
      </c>
      <c r="AQ102" s="128">
        <f>3+48+116</f>
        <v>167</v>
      </c>
      <c r="AR102" s="109">
        <v>479</v>
      </c>
      <c r="AS102" s="106">
        <v>363</v>
      </c>
      <c r="AT102" s="132">
        <v>47</v>
      </c>
      <c r="AU102" s="133">
        <v>43</v>
      </c>
      <c r="AV102" s="105">
        <v>91</v>
      </c>
      <c r="AW102" s="128">
        <v>2</v>
      </c>
      <c r="AX102" s="109">
        <v>3</v>
      </c>
      <c r="AY102" s="174">
        <v>2</v>
      </c>
      <c r="AZ102" s="105">
        <v>732</v>
      </c>
      <c r="BA102" s="128">
        <v>35</v>
      </c>
      <c r="BB102" s="15">
        <v>0</v>
      </c>
      <c r="BC102" s="174">
        <v>35</v>
      </c>
      <c r="BD102" s="105">
        <v>183</v>
      </c>
      <c r="BE102" s="128">
        <v>3</v>
      </c>
      <c r="BF102" s="15">
        <v>0</v>
      </c>
      <c r="BG102" s="106">
        <v>23</v>
      </c>
      <c r="BH102" s="130">
        <v>5</v>
      </c>
      <c r="BI102" s="105">
        <v>576</v>
      </c>
      <c r="BJ102" s="128">
        <v>10</v>
      </c>
      <c r="BK102" s="15">
        <v>0</v>
      </c>
      <c r="BL102" s="106">
        <v>60</v>
      </c>
      <c r="BM102" s="130">
        <v>5</v>
      </c>
      <c r="BN102" s="105">
        <f>BN101+10</f>
        <v>589</v>
      </c>
      <c r="BO102" s="128">
        <v>47</v>
      </c>
      <c r="BP102" s="15">
        <v>0</v>
      </c>
      <c r="BQ102" s="106">
        <v>67</v>
      </c>
      <c r="BR102" s="132">
        <v>0</v>
      </c>
      <c r="BS102" s="133">
        <v>10</v>
      </c>
      <c r="BT102" s="105">
        <v>104</v>
      </c>
      <c r="BU102" s="15">
        <v>0</v>
      </c>
      <c r="BV102" s="15">
        <v>0</v>
      </c>
      <c r="BW102" s="106">
        <v>4</v>
      </c>
      <c r="BX102" s="130">
        <v>2</v>
      </c>
      <c r="BY102" s="105">
        <v>62</v>
      </c>
      <c r="BZ102" s="15">
        <v>0</v>
      </c>
      <c r="CA102" s="109">
        <v>7</v>
      </c>
      <c r="CB102" s="174">
        <v>1</v>
      </c>
      <c r="CC102" s="105">
        <v>649</v>
      </c>
      <c r="CD102" s="128">
        <v>21</v>
      </c>
      <c r="CE102" s="109">
        <v>109</v>
      </c>
      <c r="CF102" s="106">
        <v>58</v>
      </c>
      <c r="CG102" s="130">
        <v>9</v>
      </c>
      <c r="CH102" s="105">
        <v>57</v>
      </c>
      <c r="CI102" s="128">
        <v>1</v>
      </c>
      <c r="CJ102" s="15">
        <v>0</v>
      </c>
      <c r="CK102" s="106">
        <v>14</v>
      </c>
      <c r="CL102" s="130">
        <v>2</v>
      </c>
      <c r="CM102" s="105">
        <v>251</v>
      </c>
      <c r="CN102" s="128">
        <v>11</v>
      </c>
      <c r="CO102" s="138">
        <v>119</v>
      </c>
      <c r="CP102" s="105">
        <v>315</v>
      </c>
      <c r="CQ102" s="128">
        <v>7</v>
      </c>
      <c r="CR102" s="15">
        <v>0</v>
      </c>
      <c r="CS102" s="174">
        <v>23</v>
      </c>
      <c r="CT102" s="105">
        <v>2869</v>
      </c>
      <c r="CU102" s="128">
        <v>244</v>
      </c>
      <c r="CV102" s="109">
        <v>511</v>
      </c>
      <c r="CW102" s="106">
        <v>269</v>
      </c>
      <c r="CX102" s="132">
        <v>63</v>
      </c>
      <c r="CY102" s="133">
        <v>56</v>
      </c>
      <c r="CZ102" s="105">
        <v>285</v>
      </c>
      <c r="DA102" s="128">
        <v>8</v>
      </c>
      <c r="DB102" s="15">
        <v>0</v>
      </c>
      <c r="DC102" s="132">
        <v>32</v>
      </c>
      <c r="DD102" s="133">
        <v>14</v>
      </c>
      <c r="DE102" s="105">
        <v>77</v>
      </c>
      <c r="DF102" s="128">
        <v>4</v>
      </c>
      <c r="DG102" s="109">
        <v>52</v>
      </c>
      <c r="DH102" s="174">
        <v>5</v>
      </c>
      <c r="DI102" s="87">
        <f>DI101+13</f>
        <v>1666</v>
      </c>
      <c r="DJ102" s="128">
        <f>DJ101+1+5</f>
        <v>91</v>
      </c>
      <c r="DK102" s="109">
        <v>157</v>
      </c>
      <c r="DL102" s="106">
        <v>119</v>
      </c>
      <c r="DM102" s="132">
        <v>23</v>
      </c>
      <c r="DN102" s="133">
        <v>18</v>
      </c>
      <c r="DO102" s="105">
        <v>4649</v>
      </c>
      <c r="DP102" s="128">
        <v>233</v>
      </c>
      <c r="DQ102" s="109">
        <v>225</v>
      </c>
      <c r="DR102" s="106">
        <v>308</v>
      </c>
      <c r="DS102" s="130">
        <v>77</v>
      </c>
      <c r="DT102" s="105">
        <v>168</v>
      </c>
      <c r="DU102" s="128">
        <v>5</v>
      </c>
      <c r="DV102" s="109">
        <v>80</v>
      </c>
      <c r="DW102" s="106">
        <v>14</v>
      </c>
      <c r="DX102" s="130">
        <v>9</v>
      </c>
      <c r="DY102" s="105">
        <v>3004</v>
      </c>
      <c r="DZ102" s="128">
        <v>70</v>
      </c>
      <c r="EA102" s="15">
        <v>0</v>
      </c>
      <c r="EB102" s="106">
        <v>153</v>
      </c>
      <c r="EC102" s="133">
        <v>49</v>
      </c>
      <c r="ED102" s="137" t="s">
        <v>359</v>
      </c>
      <c r="EE102" s="77" t="s">
        <v>360</v>
      </c>
    </row>
    <row r="103" spans="1:135" ht="165.75">
      <c r="A103" s="97">
        <v>43934</v>
      </c>
      <c r="B103" s="14">
        <f t="shared" si="90"/>
        <v>25797</v>
      </c>
      <c r="C103" s="34">
        <f t="shared" ref="C103:D103" si="117">SUM(J103,M103,P103,V103,AA103,AF103,AL103,AQ103,AW103,BA103,BE103,BJ103,BO103,BU103,BZ103,CD103,CI103,CN103,CQ103,CU103,DA103,DF103,DJ103,DP103,DU103,DZ103)</f>
        <v>1168</v>
      </c>
      <c r="D103" s="73">
        <f t="shared" si="117"/>
        <v>3402</v>
      </c>
      <c r="E103" s="100">
        <f t="shared" si="52"/>
        <v>21227</v>
      </c>
      <c r="F103" s="104">
        <f t="shared" si="57"/>
        <v>1911</v>
      </c>
      <c r="G103" s="129">
        <f t="shared" si="70"/>
        <v>343</v>
      </c>
      <c r="H103" s="131">
        <f t="shared" si="108"/>
        <v>234</v>
      </c>
      <c r="I103" s="105">
        <v>78</v>
      </c>
      <c r="J103" s="128">
        <v>3</v>
      </c>
      <c r="K103" s="17">
        <v>0</v>
      </c>
      <c r="L103" s="105">
        <v>24</v>
      </c>
      <c r="M103" s="15">
        <v>0</v>
      </c>
      <c r="N103" s="17">
        <v>0</v>
      </c>
      <c r="O103" s="105">
        <v>906</v>
      </c>
      <c r="P103" s="128">
        <v>19</v>
      </c>
      <c r="Q103" s="109">
        <v>300</v>
      </c>
      <c r="R103" s="106">
        <v>76</v>
      </c>
      <c r="S103" s="132">
        <v>23</v>
      </c>
      <c r="T103" s="133">
        <v>21</v>
      </c>
      <c r="U103" s="105">
        <v>749</v>
      </c>
      <c r="V103" s="128">
        <v>24</v>
      </c>
      <c r="W103" s="109">
        <v>570</v>
      </c>
      <c r="X103" s="106">
        <v>48</v>
      </c>
      <c r="Y103" s="130">
        <v>16</v>
      </c>
      <c r="Z103" s="105">
        <v>893</v>
      </c>
      <c r="AA103" s="128">
        <v>34</v>
      </c>
      <c r="AB103" s="109">
        <v>653</v>
      </c>
      <c r="AC103" s="132">
        <v>86</v>
      </c>
      <c r="AD103" s="130">
        <v>12</v>
      </c>
      <c r="AE103" s="105">
        <v>1456</v>
      </c>
      <c r="AF103" s="128">
        <v>49</v>
      </c>
      <c r="AG103" s="15">
        <v>0</v>
      </c>
      <c r="AH103" s="106">
        <v>92</v>
      </c>
      <c r="AI103" s="132">
        <v>32</v>
      </c>
      <c r="AJ103" s="133">
        <v>21</v>
      </c>
      <c r="AK103" s="105">
        <v>859</v>
      </c>
      <c r="AL103" s="128">
        <v>55</v>
      </c>
      <c r="AM103" s="109">
        <v>97</v>
      </c>
      <c r="AN103" s="106">
        <v>68</v>
      </c>
      <c r="AO103" s="130">
        <v>17</v>
      </c>
      <c r="AP103" s="87">
        <f>AP102+50</f>
        <v>4372</v>
      </c>
      <c r="AQ103" s="128">
        <f>3+50+117</f>
        <v>170</v>
      </c>
      <c r="AR103" s="109">
        <v>490</v>
      </c>
      <c r="AS103" s="106">
        <v>364</v>
      </c>
      <c r="AT103" s="132">
        <v>47</v>
      </c>
      <c r="AU103" s="133">
        <v>42</v>
      </c>
      <c r="AV103" s="105">
        <v>92</v>
      </c>
      <c r="AW103" s="128">
        <v>2</v>
      </c>
      <c r="AX103" s="109">
        <v>3</v>
      </c>
      <c r="AY103" s="174">
        <v>2</v>
      </c>
      <c r="AZ103" s="105">
        <v>732</v>
      </c>
      <c r="BA103" s="128">
        <v>35</v>
      </c>
      <c r="BB103" s="15">
        <v>0</v>
      </c>
      <c r="BC103" s="174">
        <v>35</v>
      </c>
      <c r="BD103" s="105">
        <v>184</v>
      </c>
      <c r="BE103" s="128">
        <v>3</v>
      </c>
      <c r="BF103" s="15">
        <v>0</v>
      </c>
      <c r="BG103" s="106">
        <v>26</v>
      </c>
      <c r="BH103" s="130">
        <v>5</v>
      </c>
      <c r="BI103" s="105">
        <v>580</v>
      </c>
      <c r="BJ103" s="128">
        <v>10</v>
      </c>
      <c r="BK103" s="15">
        <v>0</v>
      </c>
      <c r="BL103" s="106">
        <v>40</v>
      </c>
      <c r="BM103" s="130">
        <v>5</v>
      </c>
      <c r="BN103" s="105">
        <f>BN102+6</f>
        <v>595</v>
      </c>
      <c r="BO103" s="128">
        <v>48</v>
      </c>
      <c r="BP103" s="15">
        <v>0</v>
      </c>
      <c r="BQ103" s="106">
        <v>67</v>
      </c>
      <c r="BR103" s="132">
        <v>0</v>
      </c>
      <c r="BS103" s="133">
        <v>10</v>
      </c>
      <c r="BT103" s="105">
        <v>104</v>
      </c>
      <c r="BU103" s="128">
        <v>1</v>
      </c>
      <c r="BV103" s="15">
        <v>0</v>
      </c>
      <c r="BW103" s="106">
        <v>6</v>
      </c>
      <c r="BX103" s="130">
        <v>2</v>
      </c>
      <c r="BY103" s="105">
        <v>62</v>
      </c>
      <c r="BZ103" s="15">
        <v>0</v>
      </c>
      <c r="CA103" s="109">
        <v>7</v>
      </c>
      <c r="CB103" s="174">
        <v>1</v>
      </c>
      <c r="CC103" s="105">
        <v>657</v>
      </c>
      <c r="CD103" s="128">
        <v>21</v>
      </c>
      <c r="CE103" s="109">
        <v>119</v>
      </c>
      <c r="CF103" s="106">
        <v>48</v>
      </c>
      <c r="CG103" s="130">
        <v>10</v>
      </c>
      <c r="CH103" s="105">
        <v>57</v>
      </c>
      <c r="CI103" s="128">
        <v>1</v>
      </c>
      <c r="CJ103" s="15">
        <v>0</v>
      </c>
      <c r="CK103" s="106">
        <v>14</v>
      </c>
      <c r="CL103" s="130">
        <v>2</v>
      </c>
      <c r="CM103" s="105">
        <v>251</v>
      </c>
      <c r="CN103" s="128">
        <v>12</v>
      </c>
      <c r="CO103" s="138">
        <v>128</v>
      </c>
      <c r="CP103" s="105">
        <v>321</v>
      </c>
      <c r="CQ103" s="128">
        <v>7</v>
      </c>
      <c r="CR103" s="15">
        <v>0</v>
      </c>
      <c r="CS103" s="174">
        <v>23</v>
      </c>
      <c r="CT103" s="105">
        <v>2900</v>
      </c>
      <c r="CU103" s="128">
        <v>251</v>
      </c>
      <c r="CV103" s="109">
        <v>517</v>
      </c>
      <c r="CW103" s="106">
        <v>274</v>
      </c>
      <c r="CX103" s="132">
        <v>63</v>
      </c>
      <c r="CY103" s="133">
        <v>55</v>
      </c>
      <c r="CZ103" s="105">
        <v>292</v>
      </c>
      <c r="DA103" s="128">
        <v>8</v>
      </c>
      <c r="DB103" s="15">
        <v>0</v>
      </c>
      <c r="DC103" s="132">
        <v>32</v>
      </c>
      <c r="DD103" s="133">
        <v>17</v>
      </c>
      <c r="DE103" s="105">
        <v>78</v>
      </c>
      <c r="DF103" s="128">
        <v>4</v>
      </c>
      <c r="DG103" s="109">
        <v>52</v>
      </c>
      <c r="DH103" s="174">
        <v>4</v>
      </c>
      <c r="DI103" s="87">
        <f>DI102+14</f>
        <v>1680</v>
      </c>
      <c r="DJ103" s="128">
        <f>DJ102+2</f>
        <v>93</v>
      </c>
      <c r="DK103" s="109">
        <v>157</v>
      </c>
      <c r="DL103" s="106">
        <v>120</v>
      </c>
      <c r="DM103" s="132">
        <v>25</v>
      </c>
      <c r="DN103" s="133">
        <v>18</v>
      </c>
      <c r="DO103" s="105">
        <v>4684</v>
      </c>
      <c r="DP103" s="128">
        <v>237</v>
      </c>
      <c r="DQ103" s="109">
        <v>225</v>
      </c>
      <c r="DR103" s="106">
        <v>317</v>
      </c>
      <c r="DS103" s="130">
        <v>75</v>
      </c>
      <c r="DT103" s="105">
        <v>170</v>
      </c>
      <c r="DU103" s="128">
        <v>5</v>
      </c>
      <c r="DV103" s="109">
        <v>84</v>
      </c>
      <c r="DW103" s="106">
        <v>14</v>
      </c>
      <c r="DX103" s="130">
        <v>9</v>
      </c>
      <c r="DY103" s="105">
        <v>3021</v>
      </c>
      <c r="DZ103" s="128">
        <v>76</v>
      </c>
      <c r="EA103" s="15">
        <v>0</v>
      </c>
      <c r="EB103" s="106">
        <v>154</v>
      </c>
      <c r="EC103" s="133">
        <v>50</v>
      </c>
      <c r="ED103" s="137" t="s">
        <v>364</v>
      </c>
      <c r="EE103" s="127" t="s">
        <v>365</v>
      </c>
    </row>
    <row r="104" spans="1:135" ht="165.75">
      <c r="A104" s="97">
        <v>43935</v>
      </c>
      <c r="B104" s="14">
        <f t="shared" si="90"/>
        <v>26111</v>
      </c>
      <c r="C104" s="34">
        <f t="shared" ref="C104:D104" si="118">SUM(J104,M104,P104,V104,AA104,AF104,AL104,AQ104,AW104,BA104,BE104,BJ104,BO104,BU104,BZ104,CD104,CI104,CN104,CQ104,CU104,DA104,DF104,DJ104,DP104,DU104,DZ104)</f>
        <v>1212</v>
      </c>
      <c r="D104" s="73">
        <f t="shared" si="118"/>
        <v>3464</v>
      </c>
      <c r="E104" s="100">
        <f t="shared" si="52"/>
        <v>21435</v>
      </c>
      <c r="F104" s="104">
        <f t="shared" si="57"/>
        <v>1869</v>
      </c>
      <c r="G104" s="129">
        <f t="shared" si="70"/>
        <v>327</v>
      </c>
      <c r="H104" s="131">
        <f t="shared" si="108"/>
        <v>232</v>
      </c>
      <c r="I104" s="105">
        <v>79</v>
      </c>
      <c r="J104" s="128">
        <v>3</v>
      </c>
      <c r="K104" s="17">
        <v>0</v>
      </c>
      <c r="L104" s="105">
        <v>24</v>
      </c>
      <c r="M104" s="15">
        <v>0</v>
      </c>
      <c r="N104" s="17">
        <v>0</v>
      </c>
      <c r="O104" s="105">
        <v>912</v>
      </c>
      <c r="P104" s="128">
        <v>19</v>
      </c>
      <c r="Q104" s="109">
        <v>300</v>
      </c>
      <c r="R104" s="106">
        <v>78</v>
      </c>
      <c r="S104" s="132">
        <v>22</v>
      </c>
      <c r="T104" s="133">
        <v>22</v>
      </c>
      <c r="U104" s="105">
        <v>755</v>
      </c>
      <c r="V104" s="128">
        <v>25</v>
      </c>
      <c r="W104" s="109">
        <v>597</v>
      </c>
      <c r="X104" s="106">
        <v>48</v>
      </c>
      <c r="Y104" s="130">
        <v>14</v>
      </c>
      <c r="Z104" s="105">
        <v>899</v>
      </c>
      <c r="AA104" s="128">
        <v>34</v>
      </c>
      <c r="AB104" s="109">
        <v>663</v>
      </c>
      <c r="AC104" s="132">
        <v>86</v>
      </c>
      <c r="AD104" s="130">
        <v>9</v>
      </c>
      <c r="AE104" s="105">
        <v>1470</v>
      </c>
      <c r="AF104" s="128">
        <v>49</v>
      </c>
      <c r="AG104" s="15">
        <v>0</v>
      </c>
      <c r="AH104" s="106">
        <v>85</v>
      </c>
      <c r="AI104" s="132">
        <v>31</v>
      </c>
      <c r="AJ104" s="133">
        <v>21</v>
      </c>
      <c r="AK104" s="105">
        <v>879</v>
      </c>
      <c r="AL104" s="128">
        <v>57</v>
      </c>
      <c r="AM104" s="109">
        <v>98</v>
      </c>
      <c r="AN104" s="106">
        <v>68</v>
      </c>
      <c r="AO104" s="130">
        <v>14</v>
      </c>
      <c r="AP104" s="87">
        <f>AP103+52</f>
        <v>4424</v>
      </c>
      <c r="AQ104" s="128">
        <f>3+52+119</f>
        <v>174</v>
      </c>
      <c r="AR104" s="109">
        <v>490</v>
      </c>
      <c r="AS104" s="106">
        <v>365</v>
      </c>
      <c r="AT104" s="132">
        <v>46</v>
      </c>
      <c r="AU104" s="133">
        <v>41</v>
      </c>
      <c r="AV104" s="105">
        <v>105</v>
      </c>
      <c r="AW104" s="128">
        <v>2</v>
      </c>
      <c r="AX104" s="109">
        <v>3</v>
      </c>
      <c r="AY104" s="174">
        <v>2</v>
      </c>
      <c r="AZ104" s="105">
        <v>740</v>
      </c>
      <c r="BA104" s="128">
        <v>37</v>
      </c>
      <c r="BB104" s="15">
        <v>0</v>
      </c>
      <c r="BC104" s="174">
        <v>34</v>
      </c>
      <c r="BD104" s="105">
        <v>185</v>
      </c>
      <c r="BE104" s="128">
        <v>3</v>
      </c>
      <c r="BF104" s="15">
        <v>0</v>
      </c>
      <c r="BG104" s="106">
        <v>23</v>
      </c>
      <c r="BH104" s="130">
        <v>5</v>
      </c>
      <c r="BI104" s="105">
        <v>589</v>
      </c>
      <c r="BJ104" s="128">
        <v>11</v>
      </c>
      <c r="BK104" s="15">
        <v>0</v>
      </c>
      <c r="BL104" s="106">
        <v>47</v>
      </c>
      <c r="BM104" s="130">
        <v>4</v>
      </c>
      <c r="BN104" s="105">
        <f>BN103+11</f>
        <v>606</v>
      </c>
      <c r="BO104" s="128">
        <v>51</v>
      </c>
      <c r="BP104" s="15">
        <v>0</v>
      </c>
      <c r="BQ104" s="106">
        <v>60</v>
      </c>
      <c r="BR104" s="132">
        <v>1</v>
      </c>
      <c r="BS104" s="133">
        <v>10</v>
      </c>
      <c r="BT104" s="105">
        <v>105</v>
      </c>
      <c r="BU104" s="128">
        <v>1</v>
      </c>
      <c r="BV104" s="15">
        <v>0</v>
      </c>
      <c r="BW104" s="106">
        <v>7</v>
      </c>
      <c r="BX104" s="130">
        <v>2</v>
      </c>
      <c r="BY104" s="105">
        <v>64</v>
      </c>
      <c r="BZ104" s="15">
        <v>0</v>
      </c>
      <c r="CA104" s="109">
        <v>7</v>
      </c>
      <c r="CB104" s="174">
        <v>0</v>
      </c>
      <c r="CC104" s="105">
        <v>664</v>
      </c>
      <c r="CD104" s="128">
        <v>21</v>
      </c>
      <c r="CE104" s="109">
        <v>120</v>
      </c>
      <c r="CF104" s="106">
        <v>50</v>
      </c>
      <c r="CG104" s="130">
        <v>9</v>
      </c>
      <c r="CH104" s="105">
        <v>57</v>
      </c>
      <c r="CI104" s="128">
        <v>1</v>
      </c>
      <c r="CJ104" s="15">
        <v>0</v>
      </c>
      <c r="CK104" s="106">
        <v>8</v>
      </c>
      <c r="CL104" s="130">
        <v>2</v>
      </c>
      <c r="CM104" s="105">
        <v>258</v>
      </c>
      <c r="CN104" s="128">
        <v>13</v>
      </c>
      <c r="CO104" s="138">
        <v>128</v>
      </c>
      <c r="CP104" s="105">
        <v>325</v>
      </c>
      <c r="CQ104" s="128">
        <v>8</v>
      </c>
      <c r="CR104" s="15">
        <v>0</v>
      </c>
      <c r="CS104" s="174">
        <v>22</v>
      </c>
      <c r="CT104" s="105">
        <v>2912</v>
      </c>
      <c r="CU104" s="128">
        <v>258</v>
      </c>
      <c r="CV104" s="109">
        <v>524</v>
      </c>
      <c r="CW104" s="106">
        <v>274</v>
      </c>
      <c r="CX104" s="132">
        <v>63</v>
      </c>
      <c r="CY104" s="133">
        <v>54</v>
      </c>
      <c r="CZ104" s="105">
        <v>296</v>
      </c>
      <c r="DA104" s="128">
        <v>10</v>
      </c>
      <c r="DB104" s="15">
        <v>0</v>
      </c>
      <c r="DC104" s="132">
        <v>35</v>
      </c>
      <c r="DD104" s="133">
        <v>16</v>
      </c>
      <c r="DE104" s="105">
        <v>78</v>
      </c>
      <c r="DF104" s="128">
        <v>4</v>
      </c>
      <c r="DG104" s="109">
        <v>56</v>
      </c>
      <c r="DH104" s="174">
        <v>3</v>
      </c>
      <c r="DI104" s="87">
        <f>DI103+26</f>
        <v>1706</v>
      </c>
      <c r="DJ104" s="128">
        <f>DJ103+1</f>
        <v>94</v>
      </c>
      <c r="DK104" s="109">
        <v>165</v>
      </c>
      <c r="DL104" s="106">
        <v>115</v>
      </c>
      <c r="DM104" s="132">
        <v>23</v>
      </c>
      <c r="DN104" s="133">
        <v>16</v>
      </c>
      <c r="DO104" s="105">
        <v>4741</v>
      </c>
      <c r="DP104" s="128">
        <v>254</v>
      </c>
      <c r="DQ104" s="109">
        <v>225</v>
      </c>
      <c r="DR104" s="106">
        <v>297</v>
      </c>
      <c r="DS104" s="130">
        <v>73</v>
      </c>
      <c r="DT104" s="105">
        <v>171</v>
      </c>
      <c r="DU104" s="128">
        <v>5</v>
      </c>
      <c r="DV104" s="109">
        <v>88</v>
      </c>
      <c r="DW104" s="106">
        <v>13</v>
      </c>
      <c r="DX104" s="130">
        <v>9</v>
      </c>
      <c r="DY104" s="105">
        <v>3067</v>
      </c>
      <c r="DZ104" s="128">
        <v>78</v>
      </c>
      <c r="EA104" s="15">
        <v>0</v>
      </c>
      <c r="EB104" s="106">
        <v>149</v>
      </c>
      <c r="EC104" s="133">
        <v>52</v>
      </c>
      <c r="ED104" s="137" t="s">
        <v>368</v>
      </c>
      <c r="EE104" s="77" t="s">
        <v>369</v>
      </c>
    </row>
    <row r="105" spans="1:135" ht="178.5">
      <c r="A105" s="97">
        <v>43936</v>
      </c>
      <c r="B105" s="14">
        <f t="shared" si="90"/>
        <v>26434</v>
      </c>
      <c r="C105" s="34">
        <f t="shared" ref="C105:D105" si="119">SUM(J105,M105,P105,V105,AA105,AF105,AL105,AQ105,AW105,BA105,BE105,BJ105,BO105,BU105,BZ105,CD105,CI105,CN105,CQ105,CU105,DA105,DF105,DJ105,DP105,DU105,DZ105)</f>
        <v>1262</v>
      </c>
      <c r="D105" s="73">
        <f t="shared" si="119"/>
        <v>3728</v>
      </c>
      <c r="E105" s="100">
        <f t="shared" si="52"/>
        <v>21444</v>
      </c>
      <c r="F105" s="104">
        <f t="shared" si="57"/>
        <v>1750</v>
      </c>
      <c r="G105" s="129">
        <f t="shared" si="70"/>
        <v>306</v>
      </c>
      <c r="H105" s="131">
        <f t="shared" si="108"/>
        <v>215</v>
      </c>
      <c r="I105" s="105">
        <v>79</v>
      </c>
      <c r="J105" s="128">
        <v>3</v>
      </c>
      <c r="K105" s="17">
        <v>0</v>
      </c>
      <c r="L105" s="105">
        <v>24</v>
      </c>
      <c r="M105" s="15">
        <v>0</v>
      </c>
      <c r="N105" s="17">
        <v>0</v>
      </c>
      <c r="O105" s="105">
        <v>929</v>
      </c>
      <c r="P105" s="128">
        <v>22</v>
      </c>
      <c r="Q105" s="109">
        <v>450</v>
      </c>
      <c r="R105" s="106">
        <v>69</v>
      </c>
      <c r="S105" s="132">
        <v>20</v>
      </c>
      <c r="T105" s="133">
        <v>20</v>
      </c>
      <c r="U105" s="105">
        <v>768</v>
      </c>
      <c r="V105" s="128">
        <v>25</v>
      </c>
      <c r="W105" s="109">
        <v>610</v>
      </c>
      <c r="X105" s="106">
        <v>45</v>
      </c>
      <c r="Y105" s="130">
        <v>9</v>
      </c>
      <c r="Z105" s="105">
        <v>909</v>
      </c>
      <c r="AA105" s="128">
        <v>36</v>
      </c>
      <c r="AB105" s="109">
        <v>682</v>
      </c>
      <c r="AC105" s="132">
        <v>80</v>
      </c>
      <c r="AD105" s="130">
        <v>7</v>
      </c>
      <c r="AE105" s="105">
        <v>1489</v>
      </c>
      <c r="AF105" s="128">
        <v>53</v>
      </c>
      <c r="AG105" s="15">
        <v>0</v>
      </c>
      <c r="AH105" s="106">
        <v>82</v>
      </c>
      <c r="AI105" s="132">
        <v>30</v>
      </c>
      <c r="AJ105" s="133">
        <v>18</v>
      </c>
      <c r="AK105" s="105">
        <v>890</v>
      </c>
      <c r="AL105" s="128">
        <v>63</v>
      </c>
      <c r="AM105" s="109">
        <v>105</v>
      </c>
      <c r="AN105" s="106">
        <v>61</v>
      </c>
      <c r="AO105" s="130">
        <v>16</v>
      </c>
      <c r="AP105" s="87">
        <f>AP104+65</f>
        <v>4489</v>
      </c>
      <c r="AQ105" s="128">
        <f>4+53+121</f>
        <v>178</v>
      </c>
      <c r="AR105" s="109">
        <v>502</v>
      </c>
      <c r="AS105" s="106">
        <v>352</v>
      </c>
      <c r="AT105" s="132">
        <v>41</v>
      </c>
      <c r="AU105" s="133">
        <v>37</v>
      </c>
      <c r="AV105" s="105">
        <v>105</v>
      </c>
      <c r="AW105" s="128">
        <v>2</v>
      </c>
      <c r="AX105" s="109">
        <v>3</v>
      </c>
      <c r="AY105" s="174">
        <v>2</v>
      </c>
      <c r="AZ105" s="105">
        <v>746</v>
      </c>
      <c r="BA105" s="128">
        <v>38</v>
      </c>
      <c r="BB105" s="15">
        <v>0</v>
      </c>
      <c r="BC105" s="174">
        <v>36</v>
      </c>
      <c r="BD105" s="105">
        <v>188</v>
      </c>
      <c r="BE105" s="128">
        <v>3</v>
      </c>
      <c r="BF105" s="15">
        <v>0</v>
      </c>
      <c r="BG105" s="106">
        <v>17</v>
      </c>
      <c r="BH105" s="130">
        <v>5</v>
      </c>
      <c r="BI105" s="105">
        <v>596</v>
      </c>
      <c r="BJ105" s="128">
        <v>12</v>
      </c>
      <c r="BK105" s="15">
        <v>0</v>
      </c>
      <c r="BL105" s="106">
        <v>46</v>
      </c>
      <c r="BM105" s="130">
        <v>4</v>
      </c>
      <c r="BN105" s="105">
        <f>BN104+12</f>
        <v>618</v>
      </c>
      <c r="BO105" s="128">
        <v>52</v>
      </c>
      <c r="BP105" s="15">
        <v>0</v>
      </c>
      <c r="BQ105" s="106">
        <v>54</v>
      </c>
      <c r="BR105" s="132">
        <v>2</v>
      </c>
      <c r="BS105" s="133">
        <v>10</v>
      </c>
      <c r="BT105" s="105">
        <v>106</v>
      </c>
      <c r="BU105" s="128">
        <v>2</v>
      </c>
      <c r="BV105" s="15">
        <v>0</v>
      </c>
      <c r="BW105" s="106">
        <v>7</v>
      </c>
      <c r="BX105" s="130">
        <v>2</v>
      </c>
      <c r="BY105" s="105">
        <v>64</v>
      </c>
      <c r="BZ105" s="15">
        <v>0</v>
      </c>
      <c r="CA105" s="109">
        <v>7</v>
      </c>
      <c r="CB105" s="174">
        <v>0</v>
      </c>
      <c r="CC105" s="105">
        <v>676</v>
      </c>
      <c r="CD105" s="128">
        <v>23</v>
      </c>
      <c r="CE105" s="109">
        <v>123</v>
      </c>
      <c r="CF105" s="106">
        <v>38</v>
      </c>
      <c r="CG105" s="130">
        <v>9</v>
      </c>
      <c r="CH105" s="105">
        <v>59</v>
      </c>
      <c r="CI105" s="128">
        <v>1</v>
      </c>
      <c r="CJ105" s="15">
        <v>0</v>
      </c>
      <c r="CK105" s="106">
        <v>9</v>
      </c>
      <c r="CL105" s="130">
        <v>2</v>
      </c>
      <c r="CM105" s="105">
        <v>261</v>
      </c>
      <c r="CN105" s="128">
        <v>13</v>
      </c>
      <c r="CO105" s="138">
        <v>144</v>
      </c>
      <c r="CP105" s="105">
        <v>329</v>
      </c>
      <c r="CQ105" s="128">
        <v>8</v>
      </c>
      <c r="CR105" s="15">
        <v>0</v>
      </c>
      <c r="CS105" s="174">
        <v>22</v>
      </c>
      <c r="CT105" s="105">
        <v>2927</v>
      </c>
      <c r="CU105" s="128">
        <v>263</v>
      </c>
      <c r="CV105" s="109">
        <v>548</v>
      </c>
      <c r="CW105" s="106">
        <v>265</v>
      </c>
      <c r="CX105" s="132">
        <v>60</v>
      </c>
      <c r="CY105" s="133">
        <v>50</v>
      </c>
      <c r="CZ105" s="105">
        <v>302</v>
      </c>
      <c r="DA105" s="128">
        <v>11</v>
      </c>
      <c r="DB105" s="15">
        <v>0</v>
      </c>
      <c r="DC105" s="132">
        <v>28</v>
      </c>
      <c r="DD105" s="133">
        <v>14</v>
      </c>
      <c r="DE105" s="105">
        <v>78</v>
      </c>
      <c r="DF105" s="128">
        <v>4</v>
      </c>
      <c r="DG105" s="109">
        <v>62</v>
      </c>
      <c r="DH105" s="174">
        <v>3</v>
      </c>
      <c r="DI105" s="87">
        <f t="shared" ref="DI105:DI107" si="120">DI104+17</f>
        <v>1723</v>
      </c>
      <c r="DJ105" s="128">
        <f>DJ104</f>
        <v>94</v>
      </c>
      <c r="DK105" s="109">
        <v>175</v>
      </c>
      <c r="DL105" s="106">
        <v>106</v>
      </c>
      <c r="DM105" s="132">
        <v>22</v>
      </c>
      <c r="DN105" s="133">
        <v>16</v>
      </c>
      <c r="DO105" s="105">
        <v>4794</v>
      </c>
      <c r="DP105" s="128">
        <v>266</v>
      </c>
      <c r="DQ105" s="109">
        <v>225</v>
      </c>
      <c r="DR105" s="106">
        <v>279</v>
      </c>
      <c r="DS105" s="130">
        <v>68</v>
      </c>
      <c r="DT105" s="105">
        <v>171</v>
      </c>
      <c r="DU105" s="128">
        <v>5</v>
      </c>
      <c r="DV105" s="109">
        <v>92</v>
      </c>
      <c r="DW105" s="106">
        <v>13</v>
      </c>
      <c r="DX105" s="130">
        <v>9</v>
      </c>
      <c r="DY105" s="105">
        <v>3114</v>
      </c>
      <c r="DZ105" s="128">
        <v>85</v>
      </c>
      <c r="EA105" s="15">
        <v>0</v>
      </c>
      <c r="EB105" s="106">
        <v>136</v>
      </c>
      <c r="EC105" s="133">
        <v>50</v>
      </c>
      <c r="ED105" s="137" t="s">
        <v>370</v>
      </c>
      <c r="EE105" s="127" t="s">
        <v>371</v>
      </c>
    </row>
    <row r="106" spans="1:135" ht="204">
      <c r="A106" s="97">
        <v>43937</v>
      </c>
      <c r="B106" s="14">
        <f t="shared" si="90"/>
        <v>26749</v>
      </c>
      <c r="C106" s="34">
        <f t="shared" ref="C106:D106" si="121">SUM(J106,M106,P106,V106,AA106,AF106,AL106,AQ106,AW106,BA106,BE106,BJ106,BO106,BU106,BZ106,CD106,CI106,CN106,CQ106,CU106,DA106,DF106,DJ106,DP106,DU106,DZ106)</f>
        <v>1307</v>
      </c>
      <c r="D106" s="73">
        <f t="shared" si="121"/>
        <v>3888</v>
      </c>
      <c r="E106" s="100">
        <f t="shared" si="52"/>
        <v>21554</v>
      </c>
      <c r="F106" s="104">
        <f t="shared" si="57"/>
        <v>1684</v>
      </c>
      <c r="G106" s="129">
        <f t="shared" si="70"/>
        <v>286</v>
      </c>
      <c r="H106" s="131">
        <f t="shared" ref="H106:H109" si="122">SUM(T106,AJ106,AU106,BS106,CY106,DD106,DN106,EC106,)</f>
        <v>202</v>
      </c>
      <c r="I106" s="105">
        <v>79</v>
      </c>
      <c r="J106" s="128">
        <v>3</v>
      </c>
      <c r="K106" s="17">
        <v>0</v>
      </c>
      <c r="L106" s="105">
        <v>24</v>
      </c>
      <c r="M106" s="15">
        <v>0</v>
      </c>
      <c r="N106" s="17">
        <v>0</v>
      </c>
      <c r="O106" s="105">
        <v>943</v>
      </c>
      <c r="P106" s="128">
        <v>23</v>
      </c>
      <c r="Q106" s="109">
        <v>500</v>
      </c>
      <c r="R106" s="106">
        <v>61</v>
      </c>
      <c r="S106" s="132">
        <v>20</v>
      </c>
      <c r="T106" s="133">
        <v>20</v>
      </c>
      <c r="U106" s="105">
        <v>781</v>
      </c>
      <c r="V106" s="128">
        <v>25</v>
      </c>
      <c r="W106" s="109">
        <v>623</v>
      </c>
      <c r="X106" s="106">
        <v>46</v>
      </c>
      <c r="Y106" s="130">
        <v>8</v>
      </c>
      <c r="Z106" s="105">
        <v>917</v>
      </c>
      <c r="AA106" s="128">
        <v>37</v>
      </c>
      <c r="AB106" s="109">
        <v>711</v>
      </c>
      <c r="AC106" s="132">
        <v>76</v>
      </c>
      <c r="AD106" s="130">
        <v>6</v>
      </c>
      <c r="AE106" s="105">
        <v>1515</v>
      </c>
      <c r="AF106" s="128">
        <v>55</v>
      </c>
      <c r="AG106" s="15">
        <v>0</v>
      </c>
      <c r="AH106" s="106">
        <v>70</v>
      </c>
      <c r="AI106" s="132">
        <v>26</v>
      </c>
      <c r="AJ106" s="133">
        <v>12</v>
      </c>
      <c r="AK106" s="105">
        <v>907</v>
      </c>
      <c r="AL106" s="128">
        <v>65</v>
      </c>
      <c r="AM106" s="109">
        <v>105</v>
      </c>
      <c r="AN106" s="106">
        <v>60</v>
      </c>
      <c r="AO106" s="130">
        <v>15</v>
      </c>
      <c r="AP106" s="87">
        <f>AP105+64</f>
        <v>4553</v>
      </c>
      <c r="AQ106" s="128">
        <f>4+54+126</f>
        <v>184</v>
      </c>
      <c r="AR106" s="109">
        <v>520</v>
      </c>
      <c r="AS106" s="106">
        <v>350</v>
      </c>
      <c r="AT106" s="132">
        <v>38</v>
      </c>
      <c r="AU106" s="133">
        <v>33</v>
      </c>
      <c r="AV106" s="105">
        <v>106</v>
      </c>
      <c r="AW106" s="128">
        <v>3</v>
      </c>
      <c r="AX106" s="109">
        <v>3</v>
      </c>
      <c r="AY106" s="174">
        <v>4</v>
      </c>
      <c r="AZ106" s="105">
        <v>746</v>
      </c>
      <c r="BA106" s="128">
        <v>38</v>
      </c>
      <c r="BB106" s="15">
        <v>0</v>
      </c>
      <c r="BC106" s="174">
        <v>36</v>
      </c>
      <c r="BD106" s="105">
        <v>189</v>
      </c>
      <c r="BE106" s="128">
        <v>3</v>
      </c>
      <c r="BF106" s="15">
        <v>0</v>
      </c>
      <c r="BG106" s="106">
        <v>17</v>
      </c>
      <c r="BH106" s="130">
        <v>5</v>
      </c>
      <c r="BI106" s="105">
        <v>599</v>
      </c>
      <c r="BJ106" s="128">
        <v>13</v>
      </c>
      <c r="BK106" s="15">
        <v>0</v>
      </c>
      <c r="BL106" s="106">
        <v>40</v>
      </c>
      <c r="BM106" s="130">
        <v>3</v>
      </c>
      <c r="BN106" s="105">
        <f>BN105+8</f>
        <v>626</v>
      </c>
      <c r="BO106" s="128">
        <v>53</v>
      </c>
      <c r="BP106" s="15">
        <v>0</v>
      </c>
      <c r="BQ106" s="106">
        <v>52</v>
      </c>
      <c r="BR106" s="132">
        <v>2</v>
      </c>
      <c r="BS106" s="133">
        <v>9</v>
      </c>
      <c r="BT106" s="105">
        <v>106</v>
      </c>
      <c r="BU106" s="128">
        <v>2</v>
      </c>
      <c r="BV106" s="15">
        <v>0</v>
      </c>
      <c r="BW106" s="106">
        <v>5</v>
      </c>
      <c r="BX106" s="130">
        <v>2</v>
      </c>
      <c r="BY106" s="105">
        <v>65</v>
      </c>
      <c r="BZ106" s="15">
        <v>0</v>
      </c>
      <c r="CA106" s="109">
        <v>7</v>
      </c>
      <c r="CB106" s="174">
        <v>0</v>
      </c>
      <c r="CC106" s="105">
        <v>680</v>
      </c>
      <c r="CD106" s="128">
        <v>25</v>
      </c>
      <c r="CE106" s="109">
        <v>138</v>
      </c>
      <c r="CF106" s="106">
        <v>49</v>
      </c>
      <c r="CG106" s="130">
        <v>7</v>
      </c>
      <c r="CH106" s="105">
        <v>60</v>
      </c>
      <c r="CI106" s="128">
        <v>1</v>
      </c>
      <c r="CJ106" s="15">
        <v>0</v>
      </c>
      <c r="CK106" s="106">
        <v>8</v>
      </c>
      <c r="CL106" s="130">
        <v>2</v>
      </c>
      <c r="CM106" s="105">
        <v>265</v>
      </c>
      <c r="CN106" s="128">
        <v>14</v>
      </c>
      <c r="CO106" s="138">
        <v>154</v>
      </c>
      <c r="CP106" s="105">
        <v>343</v>
      </c>
      <c r="CQ106" s="128">
        <v>8</v>
      </c>
      <c r="CR106" s="15">
        <v>0</v>
      </c>
      <c r="CS106" s="174">
        <v>22</v>
      </c>
      <c r="CT106" s="105">
        <v>2953</v>
      </c>
      <c r="CU106" s="128">
        <v>269</v>
      </c>
      <c r="CV106" s="109">
        <v>568</v>
      </c>
      <c r="CW106" s="106">
        <v>249</v>
      </c>
      <c r="CX106" s="132">
        <v>59</v>
      </c>
      <c r="CY106" s="133">
        <v>49</v>
      </c>
      <c r="CZ106" s="105">
        <v>308</v>
      </c>
      <c r="DA106" s="128">
        <v>11</v>
      </c>
      <c r="DB106" s="15">
        <v>0</v>
      </c>
      <c r="DC106" s="132">
        <v>28</v>
      </c>
      <c r="DD106" s="133">
        <v>14</v>
      </c>
      <c r="DE106" s="105">
        <v>78</v>
      </c>
      <c r="DF106" s="128">
        <v>5</v>
      </c>
      <c r="DG106" s="109">
        <v>62</v>
      </c>
      <c r="DH106" s="174">
        <v>2</v>
      </c>
      <c r="DI106" s="87">
        <f t="shared" si="120"/>
        <v>1740</v>
      </c>
      <c r="DJ106" s="128">
        <f>DJ105+1</f>
        <v>95</v>
      </c>
      <c r="DK106" s="109">
        <v>178</v>
      </c>
      <c r="DL106" s="106">
        <v>109</v>
      </c>
      <c r="DM106" s="132">
        <v>21</v>
      </c>
      <c r="DN106" s="133">
        <v>14</v>
      </c>
      <c r="DO106" s="105">
        <v>4844</v>
      </c>
      <c r="DP106" s="128">
        <v>279</v>
      </c>
      <c r="DQ106" s="109">
        <v>225</v>
      </c>
      <c r="DR106" s="106">
        <v>256</v>
      </c>
      <c r="DS106" s="130">
        <v>65</v>
      </c>
      <c r="DT106" s="105">
        <v>171</v>
      </c>
      <c r="DU106" s="128">
        <v>6</v>
      </c>
      <c r="DV106" s="109">
        <v>94</v>
      </c>
      <c r="DW106" s="106">
        <v>9</v>
      </c>
      <c r="DX106" s="130">
        <v>7</v>
      </c>
      <c r="DY106" s="105">
        <v>3151</v>
      </c>
      <c r="DZ106" s="128">
        <v>90</v>
      </c>
      <c r="EA106" s="15">
        <v>0</v>
      </c>
      <c r="EB106" s="106">
        <v>135</v>
      </c>
      <c r="EC106" s="133">
        <v>51</v>
      </c>
      <c r="ED106" s="137" t="s">
        <v>374</v>
      </c>
      <c r="EE106" s="127" t="s">
        <v>375</v>
      </c>
    </row>
    <row r="107" spans="1:135" ht="178.5">
      <c r="A107" s="97">
        <v>43938</v>
      </c>
      <c r="B107" s="14">
        <f t="shared" si="90"/>
        <v>27061</v>
      </c>
      <c r="C107" s="34">
        <f t="shared" ref="C107:D107" si="123">SUM(J107,M107,P107,V107,AA107,AF107,AL107,AQ107,AW107,BA107,BE107,BJ107,BO107,BU107,BZ107,CD107,CI107,CN107,CQ107,CU107,DA107,DF107,DJ107,DP107,DU107,DZ107)</f>
        <v>1354</v>
      </c>
      <c r="D107" s="73">
        <f t="shared" si="123"/>
        <v>3996</v>
      </c>
      <c r="E107" s="100">
        <f t="shared" si="52"/>
        <v>21711</v>
      </c>
      <c r="F107" s="104">
        <f t="shared" si="57"/>
        <v>1593</v>
      </c>
      <c r="G107" s="129">
        <f t="shared" si="70"/>
        <v>277</v>
      </c>
      <c r="H107" s="131">
        <f t="shared" si="122"/>
        <v>190</v>
      </c>
      <c r="I107" s="105">
        <v>82</v>
      </c>
      <c r="J107" s="128">
        <v>3</v>
      </c>
      <c r="K107" s="17">
        <v>0</v>
      </c>
      <c r="L107" s="105">
        <v>24</v>
      </c>
      <c r="M107" s="15">
        <v>0</v>
      </c>
      <c r="N107" s="17">
        <v>0</v>
      </c>
      <c r="O107" s="105">
        <v>960</v>
      </c>
      <c r="P107" s="128">
        <v>24</v>
      </c>
      <c r="Q107" s="109">
        <v>540</v>
      </c>
      <c r="R107" s="106">
        <v>58</v>
      </c>
      <c r="S107" s="132">
        <v>20</v>
      </c>
      <c r="T107" s="133">
        <v>20</v>
      </c>
      <c r="U107" s="87">
        <f t="shared" ref="U107:U108" si="124">137+W107+V107</f>
        <v>794</v>
      </c>
      <c r="V107" s="128">
        <v>25</v>
      </c>
      <c r="W107" s="109">
        <v>632</v>
      </c>
      <c r="X107" s="106">
        <v>40</v>
      </c>
      <c r="Y107" s="130">
        <v>8</v>
      </c>
      <c r="Z107" s="105">
        <v>923</v>
      </c>
      <c r="AA107" s="128">
        <v>37</v>
      </c>
      <c r="AB107" s="109">
        <v>720</v>
      </c>
      <c r="AC107" s="132">
        <v>68</v>
      </c>
      <c r="AD107" s="130">
        <v>7</v>
      </c>
      <c r="AE107" s="105">
        <v>1553</v>
      </c>
      <c r="AF107" s="128">
        <v>67</v>
      </c>
      <c r="AG107" s="15">
        <v>0</v>
      </c>
      <c r="AH107" s="106">
        <v>69</v>
      </c>
      <c r="AI107" s="132">
        <v>25</v>
      </c>
      <c r="AJ107" s="133">
        <v>13</v>
      </c>
      <c r="AK107" s="105">
        <v>930</v>
      </c>
      <c r="AL107" s="128">
        <v>67</v>
      </c>
      <c r="AM107" s="109">
        <v>106</v>
      </c>
      <c r="AN107" s="106">
        <v>66</v>
      </c>
      <c r="AO107" s="130">
        <v>13</v>
      </c>
      <c r="AP107" s="87">
        <f>AP106+60</f>
        <v>4613</v>
      </c>
      <c r="AQ107" s="128">
        <f>4+57+129</f>
        <v>190</v>
      </c>
      <c r="AR107" s="109">
        <v>532</v>
      </c>
      <c r="AS107" s="106">
        <v>329</v>
      </c>
      <c r="AT107" s="132">
        <v>39</v>
      </c>
      <c r="AU107" s="133">
        <v>33</v>
      </c>
      <c r="AV107" s="105">
        <v>108</v>
      </c>
      <c r="AW107" s="128">
        <v>3</v>
      </c>
      <c r="AX107" s="109">
        <v>3</v>
      </c>
      <c r="AY107" s="174">
        <v>4</v>
      </c>
      <c r="AZ107" s="105">
        <v>752</v>
      </c>
      <c r="BA107" s="128">
        <v>39</v>
      </c>
      <c r="BB107" s="15">
        <v>0</v>
      </c>
      <c r="BC107" s="174">
        <v>37</v>
      </c>
      <c r="BD107" s="105">
        <v>190</v>
      </c>
      <c r="BE107" s="128">
        <v>3</v>
      </c>
      <c r="BF107" s="15">
        <v>0</v>
      </c>
      <c r="BG107" s="106">
        <v>17</v>
      </c>
      <c r="BH107" s="130">
        <v>5</v>
      </c>
      <c r="BI107" s="105">
        <v>607</v>
      </c>
      <c r="BJ107" s="128">
        <v>14</v>
      </c>
      <c r="BK107" s="15">
        <v>0</v>
      </c>
      <c r="BL107" s="106">
        <v>40</v>
      </c>
      <c r="BM107" s="130">
        <v>3</v>
      </c>
      <c r="BN107" s="105">
        <f>BN106+10</f>
        <v>636</v>
      </c>
      <c r="BO107" s="128">
        <v>53</v>
      </c>
      <c r="BP107" s="15">
        <v>0</v>
      </c>
      <c r="BQ107" s="106">
        <v>44</v>
      </c>
      <c r="BR107" s="132">
        <v>2</v>
      </c>
      <c r="BS107" s="133">
        <v>8</v>
      </c>
      <c r="BT107" s="105">
        <v>107</v>
      </c>
      <c r="BU107" s="128">
        <v>3</v>
      </c>
      <c r="BV107" s="15">
        <v>0</v>
      </c>
      <c r="BW107" s="106">
        <v>4</v>
      </c>
      <c r="BX107" s="130">
        <v>2</v>
      </c>
      <c r="BY107" s="105">
        <v>66</v>
      </c>
      <c r="BZ107" s="15">
        <v>0</v>
      </c>
      <c r="CA107" s="109">
        <v>7</v>
      </c>
      <c r="CB107" s="174">
        <v>0</v>
      </c>
      <c r="CC107" s="105">
        <v>683</v>
      </c>
      <c r="CD107" s="128">
        <v>27</v>
      </c>
      <c r="CE107" s="109">
        <v>144</v>
      </c>
      <c r="CF107" s="106">
        <v>32</v>
      </c>
      <c r="CG107" s="130">
        <v>9</v>
      </c>
      <c r="CH107" s="105">
        <v>60</v>
      </c>
      <c r="CI107" s="128">
        <v>1</v>
      </c>
      <c r="CJ107" s="15">
        <v>0</v>
      </c>
      <c r="CK107" s="106">
        <v>6</v>
      </c>
      <c r="CL107" s="130">
        <v>2</v>
      </c>
      <c r="CM107" s="105">
        <v>266</v>
      </c>
      <c r="CN107" s="128">
        <v>14</v>
      </c>
      <c r="CO107" s="138">
        <v>161</v>
      </c>
      <c r="CP107" s="105">
        <v>350</v>
      </c>
      <c r="CQ107" s="128">
        <v>9</v>
      </c>
      <c r="CR107" s="15">
        <v>0</v>
      </c>
      <c r="CS107" s="174">
        <v>20</v>
      </c>
      <c r="CT107" s="105">
        <v>2977</v>
      </c>
      <c r="CU107" s="128">
        <v>270</v>
      </c>
      <c r="CV107" s="109">
        <v>580</v>
      </c>
      <c r="CW107" s="106">
        <v>254</v>
      </c>
      <c r="CX107" s="132">
        <v>57</v>
      </c>
      <c r="CY107" s="133">
        <v>44</v>
      </c>
      <c r="CZ107" s="105">
        <v>321</v>
      </c>
      <c r="DA107" s="128">
        <v>12</v>
      </c>
      <c r="DB107" s="15">
        <v>0</v>
      </c>
      <c r="DC107" s="132">
        <v>25</v>
      </c>
      <c r="DD107" s="133">
        <v>13</v>
      </c>
      <c r="DE107" s="105">
        <v>78</v>
      </c>
      <c r="DF107" s="128">
        <v>5</v>
      </c>
      <c r="DG107" s="109">
        <v>66</v>
      </c>
      <c r="DH107" s="174">
        <v>2</v>
      </c>
      <c r="DI107" s="87">
        <f t="shared" si="120"/>
        <v>1757</v>
      </c>
      <c r="DJ107" s="128">
        <f>DJ106+2+2</f>
        <v>99</v>
      </c>
      <c r="DK107" s="109">
        <v>184</v>
      </c>
      <c r="DL107" s="106">
        <v>103</v>
      </c>
      <c r="DM107" s="132">
        <v>20</v>
      </c>
      <c r="DN107" s="133">
        <v>14</v>
      </c>
      <c r="DO107" s="105">
        <v>4880</v>
      </c>
      <c r="DP107" s="128">
        <v>291</v>
      </c>
      <c r="DQ107" s="109">
        <v>225</v>
      </c>
      <c r="DR107" s="106">
        <v>244</v>
      </c>
      <c r="DS107" s="130">
        <v>59</v>
      </c>
      <c r="DT107" s="105">
        <v>172</v>
      </c>
      <c r="DU107" s="128">
        <v>6</v>
      </c>
      <c r="DV107" s="109">
        <v>96</v>
      </c>
      <c r="DW107" s="106">
        <v>8</v>
      </c>
      <c r="DX107" s="130">
        <v>6</v>
      </c>
      <c r="DY107" s="105">
        <v>3172</v>
      </c>
      <c r="DZ107" s="128">
        <v>92</v>
      </c>
      <c r="EA107" s="15">
        <v>0</v>
      </c>
      <c r="EB107" s="106">
        <v>123</v>
      </c>
      <c r="EC107" s="133">
        <v>45</v>
      </c>
      <c r="ED107" s="137" t="s">
        <v>378</v>
      </c>
      <c r="EE107" s="77" t="s">
        <v>379</v>
      </c>
    </row>
    <row r="108" spans="1:135" ht="165.75">
      <c r="A108" s="97">
        <v>43939</v>
      </c>
      <c r="B108" s="14">
        <f t="shared" si="90"/>
        <v>27390</v>
      </c>
      <c r="C108" s="34">
        <f t="shared" ref="C108:D108" si="125">SUM(J108,M108,P108,V108,AA108,AF108,AL108,AQ108,AW108,BA108,BE108,BJ108,BO108,BU108,BZ108,CD108,CI108,CN108,CQ108,CU108,DA108,DF108,DJ108,DP108,DU108,DZ108)</f>
        <v>1387</v>
      </c>
      <c r="D108" s="73">
        <f t="shared" si="125"/>
        <v>4111</v>
      </c>
      <c r="E108" s="100">
        <f t="shared" si="52"/>
        <v>21892</v>
      </c>
      <c r="F108" s="104">
        <f t="shared" si="57"/>
        <v>1561</v>
      </c>
      <c r="G108" s="129">
        <f t="shared" si="70"/>
        <v>267</v>
      </c>
      <c r="H108" s="131">
        <f t="shared" si="122"/>
        <v>186</v>
      </c>
      <c r="I108" s="105">
        <v>82</v>
      </c>
      <c r="J108" s="128">
        <v>3</v>
      </c>
      <c r="K108" s="17">
        <v>0</v>
      </c>
      <c r="L108" s="105">
        <v>24</v>
      </c>
      <c r="M108" s="15">
        <v>0</v>
      </c>
      <c r="N108" s="17">
        <v>0</v>
      </c>
      <c r="O108" s="105">
        <v>987</v>
      </c>
      <c r="P108" s="128">
        <v>25</v>
      </c>
      <c r="Q108" s="109">
        <v>540</v>
      </c>
      <c r="R108" s="106">
        <v>58</v>
      </c>
      <c r="S108" s="132">
        <v>20</v>
      </c>
      <c r="T108" s="133">
        <v>20</v>
      </c>
      <c r="U108" s="87">
        <f t="shared" si="124"/>
        <v>798</v>
      </c>
      <c r="V108" s="128">
        <v>25</v>
      </c>
      <c r="W108" s="109">
        <v>636</v>
      </c>
      <c r="X108" s="106">
        <v>44</v>
      </c>
      <c r="Y108" s="130">
        <v>7</v>
      </c>
      <c r="Z108" s="105">
        <v>929</v>
      </c>
      <c r="AA108" s="128">
        <v>40</v>
      </c>
      <c r="AB108" s="109">
        <v>753</v>
      </c>
      <c r="AC108" s="132">
        <v>68</v>
      </c>
      <c r="AD108" s="130">
        <v>7</v>
      </c>
      <c r="AE108" s="105">
        <v>1586</v>
      </c>
      <c r="AF108" s="128">
        <v>69</v>
      </c>
      <c r="AG108" s="15">
        <v>0</v>
      </c>
      <c r="AH108" s="106">
        <v>71</v>
      </c>
      <c r="AI108" s="132">
        <v>22</v>
      </c>
      <c r="AJ108" s="133">
        <v>12</v>
      </c>
      <c r="AK108" s="105">
        <v>956</v>
      </c>
      <c r="AL108" s="128">
        <v>69</v>
      </c>
      <c r="AM108" s="109">
        <v>109</v>
      </c>
      <c r="AN108" s="106">
        <v>67</v>
      </c>
      <c r="AO108" s="130">
        <v>11</v>
      </c>
      <c r="AP108" s="87">
        <f>AP107+48</f>
        <v>4661</v>
      </c>
      <c r="AQ108" s="128">
        <f>4+57+132</f>
        <v>193</v>
      </c>
      <c r="AR108" s="109">
        <v>553</v>
      </c>
      <c r="AS108" s="106">
        <v>315</v>
      </c>
      <c r="AT108" s="132">
        <v>34</v>
      </c>
      <c r="AU108" s="133">
        <v>33</v>
      </c>
      <c r="AV108" s="105">
        <v>108</v>
      </c>
      <c r="AW108" s="128">
        <v>3</v>
      </c>
      <c r="AX108" s="109">
        <v>3</v>
      </c>
      <c r="AY108" s="174">
        <v>4</v>
      </c>
      <c r="AZ108" s="105">
        <v>752</v>
      </c>
      <c r="BA108" s="128">
        <v>39</v>
      </c>
      <c r="BB108" s="15">
        <v>0</v>
      </c>
      <c r="BC108" s="174">
        <v>37</v>
      </c>
      <c r="BD108" s="105">
        <v>192</v>
      </c>
      <c r="BE108" s="128">
        <v>3</v>
      </c>
      <c r="BF108" s="15">
        <v>0</v>
      </c>
      <c r="BG108" s="106">
        <v>18</v>
      </c>
      <c r="BH108" s="130">
        <v>5</v>
      </c>
      <c r="BI108" s="105">
        <v>623</v>
      </c>
      <c r="BJ108" s="128">
        <v>15</v>
      </c>
      <c r="BK108" s="15">
        <v>0</v>
      </c>
      <c r="BL108" s="106">
        <v>26</v>
      </c>
      <c r="BM108" s="130">
        <v>4</v>
      </c>
      <c r="BN108" s="105">
        <f>BN107+2</f>
        <v>638</v>
      </c>
      <c r="BO108" s="128">
        <v>53</v>
      </c>
      <c r="BP108" s="15">
        <v>0</v>
      </c>
      <c r="BQ108" s="106">
        <v>44</v>
      </c>
      <c r="BR108" s="132">
        <v>2</v>
      </c>
      <c r="BS108" s="133">
        <v>8</v>
      </c>
      <c r="BT108" s="105">
        <v>108</v>
      </c>
      <c r="BU108" s="128">
        <v>3</v>
      </c>
      <c r="BV108" s="15">
        <v>0</v>
      </c>
      <c r="BW108" s="106">
        <v>4</v>
      </c>
      <c r="BX108" s="130">
        <v>2</v>
      </c>
      <c r="BY108" s="105">
        <v>66</v>
      </c>
      <c r="BZ108" s="15">
        <v>0</v>
      </c>
      <c r="CA108" s="109">
        <v>7</v>
      </c>
      <c r="CB108" s="174">
        <v>0</v>
      </c>
      <c r="CC108" s="105">
        <v>699</v>
      </c>
      <c r="CD108" s="128">
        <v>27</v>
      </c>
      <c r="CE108" s="109">
        <v>150</v>
      </c>
      <c r="CF108" s="106">
        <v>37</v>
      </c>
      <c r="CG108" s="130">
        <v>9</v>
      </c>
      <c r="CH108" s="105">
        <v>61</v>
      </c>
      <c r="CI108" s="128">
        <v>1</v>
      </c>
      <c r="CJ108" s="15">
        <v>0</v>
      </c>
      <c r="CK108" s="106">
        <v>7</v>
      </c>
      <c r="CL108" s="130">
        <v>4</v>
      </c>
      <c r="CM108" s="105">
        <v>266</v>
      </c>
      <c r="CN108" s="128">
        <v>14</v>
      </c>
      <c r="CO108" s="138">
        <v>176</v>
      </c>
      <c r="CP108" s="105">
        <v>353</v>
      </c>
      <c r="CQ108" s="128">
        <v>10</v>
      </c>
      <c r="CR108" s="15">
        <v>0</v>
      </c>
      <c r="CS108" s="174">
        <v>19</v>
      </c>
      <c r="CT108" s="105">
        <v>2994</v>
      </c>
      <c r="CU108" s="128">
        <v>277</v>
      </c>
      <c r="CV108" s="109">
        <v>606</v>
      </c>
      <c r="CW108" s="106">
        <v>244</v>
      </c>
      <c r="CX108" s="132">
        <v>56</v>
      </c>
      <c r="CY108" s="133">
        <v>42</v>
      </c>
      <c r="CZ108" s="105">
        <v>332</v>
      </c>
      <c r="DA108" s="128">
        <v>13</v>
      </c>
      <c r="DB108" s="15">
        <v>0</v>
      </c>
      <c r="DC108" s="132">
        <v>23</v>
      </c>
      <c r="DD108" s="133">
        <v>12</v>
      </c>
      <c r="DE108" s="105">
        <v>78</v>
      </c>
      <c r="DF108" s="128">
        <v>5</v>
      </c>
      <c r="DG108" s="109">
        <v>69</v>
      </c>
      <c r="DH108" s="174">
        <v>2</v>
      </c>
      <c r="DI108" s="87">
        <f>DI107+9</f>
        <v>1766</v>
      </c>
      <c r="DJ108" s="128">
        <f>DJ107+2+3</f>
        <v>104</v>
      </c>
      <c r="DK108" s="109">
        <v>185</v>
      </c>
      <c r="DL108" s="106">
        <v>105</v>
      </c>
      <c r="DM108" s="132">
        <v>20</v>
      </c>
      <c r="DN108" s="133">
        <v>15</v>
      </c>
      <c r="DO108" s="105">
        <v>4945</v>
      </c>
      <c r="DP108" s="128">
        <v>292</v>
      </c>
      <c r="DQ108" s="109">
        <v>225</v>
      </c>
      <c r="DR108" s="106">
        <v>248</v>
      </c>
      <c r="DS108" s="130">
        <v>58</v>
      </c>
      <c r="DT108" s="105">
        <v>174</v>
      </c>
      <c r="DU108" s="128">
        <v>7</v>
      </c>
      <c r="DV108" s="109">
        <v>99</v>
      </c>
      <c r="DW108" s="106">
        <v>6</v>
      </c>
      <c r="DX108" s="130">
        <v>6</v>
      </c>
      <c r="DY108" s="105">
        <v>3212</v>
      </c>
      <c r="DZ108" s="128">
        <v>97</v>
      </c>
      <c r="EA108" s="15">
        <v>0</v>
      </c>
      <c r="EB108" s="106">
        <v>114</v>
      </c>
      <c r="EC108" s="133">
        <v>44</v>
      </c>
      <c r="ED108" s="137" t="s">
        <v>382</v>
      </c>
      <c r="EE108" s="127" t="s">
        <v>383</v>
      </c>
    </row>
    <row r="109" spans="1:135" ht="127.5">
      <c r="A109" s="97">
        <v>43940</v>
      </c>
      <c r="B109" s="14">
        <f t="shared" si="90"/>
        <v>27585</v>
      </c>
      <c r="C109" s="34">
        <f t="shared" ref="C109:D109" si="126">SUM(J109,M109,P109,V109,AA109,AF109,AL109,AQ109,AW109,BA109,BE109,BJ109,BO109,BU109,BZ109,CD109,CI109,CN109,CQ109,CU109,DA109,DF109,DJ109,DP109,DU109,DZ109)</f>
        <v>1412</v>
      </c>
      <c r="D109" s="73">
        <f t="shared" si="126"/>
        <v>4181</v>
      </c>
      <c r="E109" s="100">
        <f t="shared" si="52"/>
        <v>21992</v>
      </c>
      <c r="F109" s="104">
        <f t="shared" ref="F109:F110" si="127">SUM(R109,X109,AC109,AH109,AN109,AY109,AS109,BC109,BG109,BL109,BQ109,BW109,CB109,CF109,CK109,CS109,CW109,DC109,DH109,DR109,DL109,DW109,EB109,)</f>
        <v>1523</v>
      </c>
      <c r="G109" s="129">
        <f t="shared" si="70"/>
        <v>263</v>
      </c>
      <c r="H109" s="131">
        <f t="shared" si="122"/>
        <v>176</v>
      </c>
      <c r="I109" s="105">
        <v>82</v>
      </c>
      <c r="J109" s="128">
        <v>3</v>
      </c>
      <c r="K109" s="17">
        <v>0</v>
      </c>
      <c r="L109" s="105">
        <v>24</v>
      </c>
      <c r="M109" s="15">
        <v>0</v>
      </c>
      <c r="N109" s="17">
        <v>0</v>
      </c>
      <c r="O109" s="105">
        <v>1003</v>
      </c>
      <c r="P109" s="128">
        <v>25</v>
      </c>
      <c r="Q109" s="109">
        <v>540</v>
      </c>
      <c r="R109" s="106">
        <v>58</v>
      </c>
      <c r="S109" s="132">
        <v>20</v>
      </c>
      <c r="T109" s="133">
        <v>20</v>
      </c>
      <c r="U109" s="105">
        <v>803</v>
      </c>
      <c r="V109" s="128">
        <v>25</v>
      </c>
      <c r="W109" s="109">
        <v>653</v>
      </c>
      <c r="X109" s="106">
        <v>40</v>
      </c>
      <c r="Y109" s="130">
        <v>7</v>
      </c>
      <c r="Z109" s="105">
        <v>932</v>
      </c>
      <c r="AA109" s="128">
        <v>40</v>
      </c>
      <c r="AB109" s="109">
        <v>764</v>
      </c>
      <c r="AC109" s="132">
        <v>68</v>
      </c>
      <c r="AD109" s="130">
        <v>7</v>
      </c>
      <c r="AE109" s="105">
        <v>1599</v>
      </c>
      <c r="AF109" s="128">
        <v>69</v>
      </c>
      <c r="AG109" s="15">
        <v>0</v>
      </c>
      <c r="AH109" s="106">
        <v>78</v>
      </c>
      <c r="AI109" s="132">
        <v>20</v>
      </c>
      <c r="AJ109" s="133">
        <v>13</v>
      </c>
      <c r="AK109" s="105">
        <v>980</v>
      </c>
      <c r="AL109" s="128">
        <v>71</v>
      </c>
      <c r="AM109" s="109">
        <v>113</v>
      </c>
      <c r="AN109" s="106">
        <v>61</v>
      </c>
      <c r="AO109" s="130">
        <v>12</v>
      </c>
      <c r="AP109" s="87">
        <f>AP108+10</f>
        <v>4671</v>
      </c>
      <c r="AQ109" s="128">
        <f>4+58+133</f>
        <v>195</v>
      </c>
      <c r="AR109" s="109">
        <v>558</v>
      </c>
      <c r="AS109" s="106">
        <v>315</v>
      </c>
      <c r="AT109" s="132">
        <v>35</v>
      </c>
      <c r="AU109" s="133">
        <v>33</v>
      </c>
      <c r="AV109" s="105">
        <v>108</v>
      </c>
      <c r="AW109" s="128">
        <v>3</v>
      </c>
      <c r="AX109" s="109">
        <v>3</v>
      </c>
      <c r="AY109" s="174">
        <v>4</v>
      </c>
      <c r="AZ109" s="105">
        <v>769</v>
      </c>
      <c r="BA109" s="128">
        <v>40</v>
      </c>
      <c r="BB109" s="15">
        <v>0</v>
      </c>
      <c r="BC109" s="174">
        <v>28</v>
      </c>
      <c r="BD109" s="105">
        <v>192</v>
      </c>
      <c r="BE109" s="128">
        <v>4</v>
      </c>
      <c r="BF109" s="15">
        <v>0</v>
      </c>
      <c r="BG109" s="106">
        <v>16</v>
      </c>
      <c r="BH109" s="130">
        <v>5</v>
      </c>
      <c r="BI109" s="105">
        <v>626</v>
      </c>
      <c r="BJ109" s="128">
        <v>15</v>
      </c>
      <c r="BK109" s="15">
        <v>0</v>
      </c>
      <c r="BL109" s="106">
        <v>26</v>
      </c>
      <c r="BM109" s="130">
        <v>4</v>
      </c>
      <c r="BN109" s="105">
        <f t="shared" ref="BN109:BN110" si="128">BN108</f>
        <v>638</v>
      </c>
      <c r="BO109" s="128">
        <v>53</v>
      </c>
      <c r="BP109" s="15">
        <v>0</v>
      </c>
      <c r="BQ109" s="106">
        <v>43</v>
      </c>
      <c r="BR109" s="132">
        <v>5</v>
      </c>
      <c r="BS109" s="133">
        <v>4</v>
      </c>
      <c r="BT109" s="105">
        <v>108</v>
      </c>
      <c r="BU109" s="128">
        <v>3</v>
      </c>
      <c r="BV109" s="15">
        <v>0</v>
      </c>
      <c r="BW109" s="106">
        <v>4</v>
      </c>
      <c r="BX109" s="130">
        <v>2</v>
      </c>
      <c r="BY109" s="105">
        <v>66</v>
      </c>
      <c r="BZ109" s="15">
        <v>0</v>
      </c>
      <c r="CA109" s="109">
        <v>7</v>
      </c>
      <c r="CB109" s="174">
        <v>0</v>
      </c>
      <c r="CC109" s="105">
        <v>705</v>
      </c>
      <c r="CD109" s="128">
        <v>27</v>
      </c>
      <c r="CE109" s="109">
        <v>150</v>
      </c>
      <c r="CF109" s="106">
        <v>38</v>
      </c>
      <c r="CG109" s="130">
        <v>7</v>
      </c>
      <c r="CH109" s="105">
        <v>62</v>
      </c>
      <c r="CI109" s="128">
        <v>1</v>
      </c>
      <c r="CJ109" s="15">
        <v>0</v>
      </c>
      <c r="CK109" s="106">
        <v>4</v>
      </c>
      <c r="CL109" s="130">
        <v>2</v>
      </c>
      <c r="CM109" s="105">
        <v>268</v>
      </c>
      <c r="CN109" s="128">
        <v>15</v>
      </c>
      <c r="CO109" s="138">
        <v>180</v>
      </c>
      <c r="CP109" s="105">
        <v>355</v>
      </c>
      <c r="CQ109" s="128">
        <v>11</v>
      </c>
      <c r="CR109" s="15">
        <v>0</v>
      </c>
      <c r="CS109" s="174">
        <v>19</v>
      </c>
      <c r="CT109" s="105">
        <v>3032</v>
      </c>
      <c r="CU109" s="128">
        <v>281</v>
      </c>
      <c r="CV109" s="109">
        <v>616</v>
      </c>
      <c r="CW109" s="106">
        <v>237</v>
      </c>
      <c r="CX109" s="132">
        <v>54</v>
      </c>
      <c r="CY109" s="133">
        <v>42</v>
      </c>
      <c r="CZ109" s="105">
        <v>333</v>
      </c>
      <c r="DA109" s="128">
        <v>13</v>
      </c>
      <c r="DB109" s="15">
        <v>0</v>
      </c>
      <c r="DC109" s="132">
        <v>23</v>
      </c>
      <c r="DD109" s="133">
        <v>12</v>
      </c>
      <c r="DE109" s="105">
        <v>78</v>
      </c>
      <c r="DF109" s="128">
        <v>5</v>
      </c>
      <c r="DG109" s="109">
        <v>69</v>
      </c>
      <c r="DH109" s="174">
        <v>2</v>
      </c>
      <c r="DI109" s="87">
        <f>DI108+5</f>
        <v>1771</v>
      </c>
      <c r="DJ109" s="128">
        <f>DJ108+1+2</f>
        <v>107</v>
      </c>
      <c r="DK109" s="109">
        <v>204</v>
      </c>
      <c r="DL109" s="106">
        <v>82</v>
      </c>
      <c r="DM109" s="132">
        <v>20</v>
      </c>
      <c r="DN109" s="133">
        <v>9</v>
      </c>
      <c r="DO109" s="105">
        <v>4966</v>
      </c>
      <c r="DP109" s="128">
        <v>298</v>
      </c>
      <c r="DQ109" s="109">
        <v>225</v>
      </c>
      <c r="DR109" s="106">
        <v>249</v>
      </c>
      <c r="DS109" s="130">
        <v>57</v>
      </c>
      <c r="DT109" s="105">
        <v>175</v>
      </c>
      <c r="DU109" s="128">
        <v>7</v>
      </c>
      <c r="DV109" s="109">
        <v>99</v>
      </c>
      <c r="DW109" s="106">
        <v>12</v>
      </c>
      <c r="DX109" s="130">
        <v>6</v>
      </c>
      <c r="DY109" s="105">
        <v>3239</v>
      </c>
      <c r="DZ109" s="128">
        <v>101</v>
      </c>
      <c r="EA109" s="15">
        <v>0</v>
      </c>
      <c r="EB109" s="106">
        <v>116</v>
      </c>
      <c r="EC109" s="133">
        <v>43</v>
      </c>
      <c r="ED109" s="137" t="s">
        <v>384</v>
      </c>
      <c r="EE109" s="77" t="s">
        <v>385</v>
      </c>
    </row>
    <row r="110" spans="1:135" ht="102">
      <c r="A110" s="97">
        <v>43941</v>
      </c>
      <c r="B110" s="14">
        <f t="shared" si="90"/>
        <v>27695</v>
      </c>
      <c r="C110" s="34">
        <f t="shared" ref="C110:D110" si="129">SUM(J110,M110,P110,V110,AA110,AF110,AL110,AQ110,AW110,BA110,BE110,BJ110,BO110,BU110,BZ110,CD110,CI110,CN110,CQ110,CU110,DA110,DF110,DJ110,DP110,DU110,DZ110)</f>
        <v>1434</v>
      </c>
      <c r="D110" s="73">
        <f t="shared" si="129"/>
        <v>4317</v>
      </c>
      <c r="E110" s="100">
        <f t="shared" si="52"/>
        <v>21944</v>
      </c>
      <c r="F110" s="104">
        <f t="shared" si="127"/>
        <v>1516</v>
      </c>
      <c r="G110" s="129">
        <f t="shared" si="70"/>
        <v>253</v>
      </c>
      <c r="H110" s="131" t="s">
        <v>388</v>
      </c>
      <c r="I110" s="105">
        <v>86</v>
      </c>
      <c r="J110" s="128">
        <v>3</v>
      </c>
      <c r="K110" s="17">
        <v>0</v>
      </c>
      <c r="L110" s="105">
        <v>24</v>
      </c>
      <c r="M110" s="15">
        <v>0</v>
      </c>
      <c r="N110" s="17">
        <v>0</v>
      </c>
      <c r="O110" s="105">
        <v>1012</v>
      </c>
      <c r="P110" s="128">
        <v>28</v>
      </c>
      <c r="Q110" s="109">
        <v>640</v>
      </c>
      <c r="R110" s="106">
        <v>45</v>
      </c>
      <c r="S110" s="132">
        <v>16</v>
      </c>
      <c r="T110" s="133">
        <v>16</v>
      </c>
      <c r="U110" s="105">
        <v>806</v>
      </c>
      <c r="V110" s="128">
        <v>25</v>
      </c>
      <c r="W110" s="109">
        <v>664</v>
      </c>
      <c r="X110" s="106">
        <v>40</v>
      </c>
      <c r="Y110" s="130">
        <v>6</v>
      </c>
      <c r="Z110" s="105">
        <v>933</v>
      </c>
      <c r="AA110" s="128">
        <v>42</v>
      </c>
      <c r="AB110" s="109">
        <v>770</v>
      </c>
      <c r="AC110" s="132">
        <v>68</v>
      </c>
      <c r="AD110" s="130">
        <v>7</v>
      </c>
      <c r="AE110" s="105">
        <v>1613</v>
      </c>
      <c r="AF110" s="128">
        <v>73</v>
      </c>
      <c r="AG110" s="15">
        <v>0</v>
      </c>
      <c r="AH110" s="106">
        <v>71</v>
      </c>
      <c r="AI110" s="132">
        <v>19</v>
      </c>
      <c r="AJ110" s="133">
        <v>11</v>
      </c>
      <c r="AK110" s="105">
        <v>989</v>
      </c>
      <c r="AL110" s="128">
        <v>72</v>
      </c>
      <c r="AM110" s="109">
        <v>113</v>
      </c>
      <c r="AN110" s="106">
        <v>62</v>
      </c>
      <c r="AO110" s="130">
        <v>11</v>
      </c>
      <c r="AP110" s="87">
        <f t="shared" ref="AP110:AQ110" si="130">AP109</f>
        <v>4671</v>
      </c>
      <c r="AQ110" s="128">
        <f t="shared" si="130"/>
        <v>195</v>
      </c>
      <c r="AR110" s="109">
        <v>561</v>
      </c>
      <c r="AS110" s="106">
        <v>321</v>
      </c>
      <c r="AT110" s="132">
        <v>34</v>
      </c>
      <c r="AU110" s="133">
        <v>29</v>
      </c>
      <c r="AV110" s="105">
        <v>114</v>
      </c>
      <c r="AW110" s="128">
        <v>5</v>
      </c>
      <c r="AX110" s="109">
        <v>3</v>
      </c>
      <c r="AY110" s="174">
        <v>5</v>
      </c>
      <c r="AZ110" s="105">
        <v>769</v>
      </c>
      <c r="BA110" s="128">
        <v>40</v>
      </c>
      <c r="BB110" s="15">
        <v>0</v>
      </c>
      <c r="BC110" s="174">
        <v>28</v>
      </c>
      <c r="BD110" s="105">
        <v>194</v>
      </c>
      <c r="BE110" s="128">
        <v>4</v>
      </c>
      <c r="BF110" s="15">
        <v>0</v>
      </c>
      <c r="BG110" s="106">
        <v>14</v>
      </c>
      <c r="BH110" s="130">
        <v>4</v>
      </c>
      <c r="BI110" s="105">
        <v>633</v>
      </c>
      <c r="BJ110" s="128">
        <v>15</v>
      </c>
      <c r="BK110" s="15">
        <v>0</v>
      </c>
      <c r="BL110" s="106">
        <v>33</v>
      </c>
      <c r="BM110" s="130">
        <v>5</v>
      </c>
      <c r="BN110" s="105">
        <f t="shared" si="128"/>
        <v>638</v>
      </c>
      <c r="BO110" s="128">
        <v>53</v>
      </c>
      <c r="BP110" s="15">
        <v>0</v>
      </c>
      <c r="BQ110" s="106">
        <v>44</v>
      </c>
      <c r="BR110" s="132">
        <v>5</v>
      </c>
      <c r="BS110" s="133">
        <v>5</v>
      </c>
      <c r="BT110" s="105">
        <v>108</v>
      </c>
      <c r="BU110" s="128">
        <v>3</v>
      </c>
      <c r="BV110" s="15">
        <v>0</v>
      </c>
      <c r="BW110" s="106">
        <v>4</v>
      </c>
      <c r="BX110" s="130">
        <v>2</v>
      </c>
      <c r="BY110" s="105">
        <v>67</v>
      </c>
      <c r="BZ110" s="15">
        <v>0</v>
      </c>
      <c r="CA110" s="109">
        <v>7</v>
      </c>
      <c r="CB110" s="174">
        <v>0</v>
      </c>
      <c r="CC110" s="105">
        <v>711</v>
      </c>
      <c r="CD110" s="128">
        <v>27</v>
      </c>
      <c r="CE110" s="109">
        <v>159</v>
      </c>
      <c r="CF110" s="106">
        <v>35</v>
      </c>
      <c r="CG110" s="130">
        <v>7</v>
      </c>
      <c r="CH110" s="105">
        <v>63</v>
      </c>
      <c r="CI110" s="128">
        <v>1</v>
      </c>
      <c r="CJ110" s="15">
        <v>0</v>
      </c>
      <c r="CK110" s="106">
        <v>4</v>
      </c>
      <c r="CL110" s="130">
        <v>2</v>
      </c>
      <c r="CM110" s="105">
        <v>272</v>
      </c>
      <c r="CN110" s="128">
        <v>15</v>
      </c>
      <c r="CO110" s="138">
        <v>180</v>
      </c>
      <c r="CP110" s="105">
        <v>355</v>
      </c>
      <c r="CQ110" s="128">
        <v>11</v>
      </c>
      <c r="CR110" s="15">
        <v>0</v>
      </c>
      <c r="CS110" s="174">
        <v>19</v>
      </c>
      <c r="CT110" s="105">
        <v>3058</v>
      </c>
      <c r="CU110" s="128">
        <v>288</v>
      </c>
      <c r="CV110" s="109">
        <v>621</v>
      </c>
      <c r="CW110" s="106">
        <v>237</v>
      </c>
      <c r="CX110" s="132">
        <v>55</v>
      </c>
      <c r="CY110" s="133">
        <v>42</v>
      </c>
      <c r="CZ110" s="105">
        <v>335</v>
      </c>
      <c r="DA110" s="128">
        <v>13</v>
      </c>
      <c r="DB110" s="15">
        <v>0</v>
      </c>
      <c r="DC110" s="132">
        <v>24</v>
      </c>
      <c r="DD110" s="133">
        <v>12</v>
      </c>
      <c r="DE110" s="105">
        <v>78</v>
      </c>
      <c r="DF110" s="128">
        <v>5</v>
      </c>
      <c r="DG110" s="109">
        <v>69</v>
      </c>
      <c r="DH110" s="174">
        <v>2</v>
      </c>
      <c r="DI110" s="87">
        <f>DI109</f>
        <v>1771</v>
      </c>
      <c r="DJ110" s="128">
        <f>DJ109+1</f>
        <v>108</v>
      </c>
      <c r="DK110" s="109">
        <v>206</v>
      </c>
      <c r="DL110" s="106">
        <v>79</v>
      </c>
      <c r="DM110" s="132">
        <v>18</v>
      </c>
      <c r="DN110" s="133">
        <v>9</v>
      </c>
      <c r="DO110" s="105">
        <v>4966</v>
      </c>
      <c r="DP110" s="128">
        <v>298</v>
      </c>
      <c r="DQ110" s="109">
        <v>225</v>
      </c>
      <c r="DR110" s="106">
        <v>249</v>
      </c>
      <c r="DS110" s="130">
        <v>57</v>
      </c>
      <c r="DT110" s="105">
        <v>175</v>
      </c>
      <c r="DU110" s="128">
        <v>7</v>
      </c>
      <c r="DV110" s="109">
        <v>99</v>
      </c>
      <c r="DW110" s="106">
        <v>11</v>
      </c>
      <c r="DX110" s="130">
        <v>5</v>
      </c>
      <c r="DY110" s="105">
        <v>3254</v>
      </c>
      <c r="DZ110" s="128">
        <v>103</v>
      </c>
      <c r="EA110" s="15">
        <v>0</v>
      </c>
      <c r="EB110" s="106">
        <v>121</v>
      </c>
      <c r="EC110" s="133">
        <v>43</v>
      </c>
      <c r="ED110" s="137" t="s">
        <v>389</v>
      </c>
      <c r="EE110" s="127" t="s">
        <v>390</v>
      </c>
    </row>
    <row r="111" spans="1:135" ht="6" customHeight="1">
      <c r="A111" s="177"/>
      <c r="B111" s="182"/>
      <c r="C111" s="182"/>
      <c r="D111" s="182"/>
      <c r="E111" s="182"/>
      <c r="F111" s="182"/>
      <c r="G111" s="182"/>
      <c r="H111" s="182"/>
      <c r="I111" s="182"/>
      <c r="J111" s="182"/>
      <c r="K111" s="200"/>
      <c r="L111" s="182"/>
      <c r="M111" s="182"/>
      <c r="N111" s="200"/>
      <c r="O111" s="182"/>
      <c r="P111" s="182"/>
      <c r="Q111" s="182"/>
      <c r="R111" s="182"/>
      <c r="S111" s="182"/>
      <c r="T111" s="182"/>
      <c r="U111" s="182"/>
      <c r="V111" s="182"/>
      <c r="W111" s="182"/>
      <c r="X111" s="201"/>
      <c r="Y111" s="202"/>
      <c r="Z111" s="182"/>
      <c r="AA111" s="182"/>
      <c r="AB111" s="182"/>
      <c r="AC111" s="182"/>
      <c r="AD111" s="202"/>
      <c r="AE111" s="182"/>
      <c r="AF111" s="182"/>
      <c r="AG111" s="182"/>
      <c r="AH111" s="182"/>
      <c r="AI111" s="182"/>
      <c r="AJ111" s="200"/>
      <c r="AK111" s="182"/>
      <c r="AL111" s="182"/>
      <c r="AM111" s="182"/>
      <c r="AN111" s="182"/>
      <c r="AO111" s="200"/>
      <c r="AP111" s="182"/>
      <c r="AQ111" s="182"/>
      <c r="AR111" s="182"/>
      <c r="AS111" s="182"/>
      <c r="AT111" s="182"/>
      <c r="AU111" s="200"/>
      <c r="AV111" s="182"/>
      <c r="AW111" s="182"/>
      <c r="AX111" s="182"/>
      <c r="AY111" s="200"/>
      <c r="AZ111" s="182"/>
      <c r="BA111" s="182"/>
      <c r="BB111" s="182"/>
      <c r="BC111" s="200"/>
      <c r="BD111" s="182"/>
      <c r="BE111" s="182"/>
      <c r="BF111" s="182"/>
      <c r="BG111" s="182"/>
      <c r="BH111" s="200"/>
      <c r="BI111" s="182"/>
      <c r="BJ111" s="182"/>
      <c r="BK111" s="182"/>
      <c r="BL111" s="182"/>
      <c r="BM111" s="200"/>
      <c r="BN111" s="182"/>
      <c r="BO111" s="182"/>
      <c r="BP111" s="182"/>
      <c r="BQ111" s="182"/>
      <c r="BR111" s="182"/>
      <c r="BS111" s="200"/>
      <c r="BT111" s="182"/>
      <c r="BU111" s="182"/>
      <c r="BV111" s="182"/>
      <c r="BW111" s="182"/>
      <c r="BX111" s="200"/>
      <c r="BY111" s="182"/>
      <c r="BZ111" s="182"/>
      <c r="CA111" s="182"/>
      <c r="CB111" s="200"/>
      <c r="CC111" s="182"/>
      <c r="CD111" s="182"/>
      <c r="CE111" s="182"/>
      <c r="CF111" s="182"/>
      <c r="CG111" s="203"/>
      <c r="CH111" s="182"/>
      <c r="CI111" s="182"/>
      <c r="CJ111" s="182"/>
      <c r="CK111" s="182"/>
      <c r="CL111" s="203"/>
      <c r="CM111" s="182"/>
      <c r="CN111" s="182"/>
      <c r="CO111" s="200"/>
      <c r="CP111" s="182"/>
      <c r="CQ111" s="182"/>
      <c r="CR111" s="182"/>
      <c r="CS111" s="200"/>
      <c r="CT111" s="182"/>
      <c r="CU111" s="182"/>
      <c r="CV111" s="182"/>
      <c r="CW111" s="182"/>
      <c r="CX111" s="182"/>
      <c r="CY111" s="200"/>
      <c r="CZ111" s="182"/>
      <c r="DA111" s="182"/>
      <c r="DB111" s="182"/>
      <c r="DC111" s="182"/>
      <c r="DD111" s="202"/>
      <c r="DE111" s="182"/>
      <c r="DF111" s="182"/>
      <c r="DG111" s="182"/>
      <c r="DH111" s="200"/>
      <c r="DI111" s="182"/>
      <c r="DJ111" s="182"/>
      <c r="DK111" s="182"/>
      <c r="DL111" s="182"/>
      <c r="DM111" s="182"/>
      <c r="DN111" s="200"/>
      <c r="DO111" s="182"/>
      <c r="DP111" s="182"/>
      <c r="DQ111" s="182"/>
      <c r="DR111" s="182"/>
      <c r="DS111" s="200"/>
      <c r="DT111" s="182"/>
      <c r="DU111" s="182"/>
      <c r="DV111" s="182"/>
      <c r="DW111" s="182"/>
      <c r="DX111" s="200"/>
      <c r="DY111" s="182"/>
      <c r="DZ111" s="182"/>
      <c r="EA111" s="182"/>
      <c r="EB111" s="204"/>
      <c r="EC111" s="182"/>
      <c r="ED111" s="205"/>
      <c r="EE111" s="182"/>
    </row>
    <row r="112" spans="1:135" ht="12.75">
      <c r="A112" s="187" t="s">
        <v>341</v>
      </c>
      <c r="B112" s="206" t="str">
        <f t="shared" ref="B112:D112" ca="1" si="131">CONCATENATE("+",OFFSET(B112,-2,0,1,1)-OFFSET(B112,-3,0,1,1))</f>
        <v>+110</v>
      </c>
      <c r="C112" s="207" t="str">
        <f t="shared" ca="1" si="131"/>
        <v>+22</v>
      </c>
      <c r="D112" s="208" t="str">
        <f t="shared" ca="1" si="131"/>
        <v>+136</v>
      </c>
      <c r="E112" s="209" t="str">
        <f t="shared" ref="E112:G112" ca="1" si="132">CONCATENATE(OFFSET(E112,-2,0,1,1)-OFFSET(E112,-3,0,1,1))</f>
        <v>-48</v>
      </c>
      <c r="F112" s="210" t="str">
        <f t="shared" ca="1" si="132"/>
        <v>-7</v>
      </c>
      <c r="G112" s="211" t="str">
        <f t="shared" ca="1" si="132"/>
        <v>-10</v>
      </c>
      <c r="H112" s="212" t="e">
        <f t="shared" ref="H112:Q112" ca="1" si="133">CONCATENATE("+",OFFSET(H112,-2,0,1,1)-OFFSET(H112,-3,0,1,1))</f>
        <v>#VALUE!</v>
      </c>
      <c r="I112" s="206" t="str">
        <f t="shared" ca="1" si="133"/>
        <v>+4</v>
      </c>
      <c r="J112" s="207" t="str">
        <f t="shared" ca="1" si="133"/>
        <v>+0</v>
      </c>
      <c r="K112" s="213" t="str">
        <f t="shared" ca="1" si="133"/>
        <v>+0</v>
      </c>
      <c r="L112" s="206" t="str">
        <f t="shared" ca="1" si="133"/>
        <v>+0</v>
      </c>
      <c r="M112" s="207" t="str">
        <f t="shared" ca="1" si="133"/>
        <v>+0</v>
      </c>
      <c r="N112" s="213" t="str">
        <f t="shared" ca="1" si="133"/>
        <v>+0</v>
      </c>
      <c r="O112" s="206" t="str">
        <f t="shared" ca="1" si="133"/>
        <v>+9</v>
      </c>
      <c r="P112" s="207" t="str">
        <f t="shared" ca="1" si="133"/>
        <v>+3</v>
      </c>
      <c r="Q112" s="208" t="str">
        <f t="shared" ca="1" si="133"/>
        <v>+100</v>
      </c>
      <c r="R112" s="210" t="str">
        <f t="shared" ref="R112:T112" ca="1" si="134">CONCATENATE(OFFSET(R112,-2,0,1,1)-OFFSET(R112,-3,0,1,1))</f>
        <v>-13</v>
      </c>
      <c r="S112" s="211" t="str">
        <f t="shared" ca="1" si="134"/>
        <v>-4</v>
      </c>
      <c r="T112" s="212" t="str">
        <f t="shared" ca="1" si="134"/>
        <v>-4</v>
      </c>
      <c r="U112" s="206" t="str">
        <f t="shared" ref="U112:X112" ca="1" si="135">CONCATENATE("+",OFFSET(U112,-2,0,1,1)-OFFSET(U112,-3,0,1,1))</f>
        <v>+3</v>
      </c>
      <c r="V112" s="207" t="str">
        <f t="shared" ca="1" si="135"/>
        <v>+0</v>
      </c>
      <c r="W112" s="208" t="str">
        <f t="shared" ca="1" si="135"/>
        <v>+11</v>
      </c>
      <c r="X112" s="210" t="str">
        <f t="shared" ca="1" si="135"/>
        <v>+0</v>
      </c>
      <c r="Y112" s="214" t="str">
        <f ca="1">CONCATENATE(OFFSET(Y112,-2,0,1,1)-OFFSET(Y112,-3,0,1,1))</f>
        <v>-1</v>
      </c>
      <c r="Z112" s="206" t="str">
        <f t="shared" ref="Z112:AG112" ca="1" si="136">CONCATENATE("+",OFFSET(Z112,-2,0,1,1)-OFFSET(Z112,-3,0,1,1))</f>
        <v>+1</v>
      </c>
      <c r="AA112" s="207" t="str">
        <f t="shared" ca="1" si="136"/>
        <v>+2</v>
      </c>
      <c r="AB112" s="208" t="str">
        <f t="shared" ca="1" si="136"/>
        <v>+6</v>
      </c>
      <c r="AC112" s="211" t="str">
        <f t="shared" ca="1" si="136"/>
        <v>+0</v>
      </c>
      <c r="AD112" s="214" t="str">
        <f t="shared" ca="1" si="136"/>
        <v>+0</v>
      </c>
      <c r="AE112" s="206" t="str">
        <f t="shared" ca="1" si="136"/>
        <v>+14</v>
      </c>
      <c r="AF112" s="207" t="str">
        <f t="shared" ca="1" si="136"/>
        <v>+4</v>
      </c>
      <c r="AG112" s="208" t="str">
        <f t="shared" ca="1" si="136"/>
        <v>+0</v>
      </c>
      <c r="AH112" s="210" t="str">
        <f t="shared" ref="AH112:AJ112" ca="1" si="137">CONCATENATE(OFFSET(AH112,-2,0,1,1)-OFFSET(AH112,-3,0,1,1))</f>
        <v>-7</v>
      </c>
      <c r="AI112" s="211" t="str">
        <f t="shared" ca="1" si="137"/>
        <v>-1</v>
      </c>
      <c r="AJ112" s="212" t="str">
        <f t="shared" ca="1" si="137"/>
        <v>-2</v>
      </c>
      <c r="AK112" s="206" t="str">
        <f t="shared" ref="AK112:AN112" ca="1" si="138">CONCATENATE("+",OFFSET(AK112,-2,0,1,1)-OFFSET(AK112,-3,0,1,1))</f>
        <v>+9</v>
      </c>
      <c r="AL112" s="207" t="str">
        <f t="shared" ca="1" si="138"/>
        <v>+1</v>
      </c>
      <c r="AM112" s="208" t="str">
        <f t="shared" ca="1" si="138"/>
        <v>+0</v>
      </c>
      <c r="AN112" s="210" t="str">
        <f t="shared" ca="1" si="138"/>
        <v>+1</v>
      </c>
      <c r="AO112" s="214" t="str">
        <f ca="1">CONCATENATE(OFFSET(AO112,-2,0,1,1)-OFFSET(AO112,-3,0,1,1))</f>
        <v>-1</v>
      </c>
      <c r="AP112" s="206" t="str">
        <f t="shared" ref="AP112:AS112" ca="1" si="139">CONCATENATE("+",OFFSET(AP112,-2,0,1,1)-OFFSET(AP112,-3,0,1,1))</f>
        <v>+0</v>
      </c>
      <c r="AQ112" s="207" t="str">
        <f t="shared" ca="1" si="139"/>
        <v>+0</v>
      </c>
      <c r="AR112" s="208" t="str">
        <f t="shared" ca="1" si="139"/>
        <v>+3</v>
      </c>
      <c r="AS112" s="210" t="str">
        <f t="shared" ca="1" si="139"/>
        <v>+6</v>
      </c>
      <c r="AT112" s="211" t="str">
        <f t="shared" ref="AT112:AU112" ca="1" si="140">CONCATENATE(OFFSET(AT112,-2,0,1,1)-OFFSET(AT112,-3,0,1,1))</f>
        <v>-1</v>
      </c>
      <c r="AU112" s="212" t="str">
        <f t="shared" ca="1" si="140"/>
        <v>-4</v>
      </c>
      <c r="AV112" s="206" t="str">
        <f t="shared" ref="AV112:BF112" ca="1" si="141">CONCATENATE("+",OFFSET(AV112,-2,0,1,1)-OFFSET(AV112,-3,0,1,1))</f>
        <v>+6</v>
      </c>
      <c r="AW112" s="207" t="str">
        <f t="shared" ca="1" si="141"/>
        <v>+2</v>
      </c>
      <c r="AX112" s="208" t="str">
        <f t="shared" ca="1" si="141"/>
        <v>+0</v>
      </c>
      <c r="AY112" s="215" t="str">
        <f t="shared" ca="1" si="141"/>
        <v>+1</v>
      </c>
      <c r="AZ112" s="206" t="str">
        <f t="shared" ca="1" si="141"/>
        <v>+0</v>
      </c>
      <c r="BA112" s="207" t="str">
        <f t="shared" ca="1" si="141"/>
        <v>+0</v>
      </c>
      <c r="BB112" s="208" t="str">
        <f t="shared" ca="1" si="141"/>
        <v>+0</v>
      </c>
      <c r="BC112" s="215" t="str">
        <f t="shared" ca="1" si="141"/>
        <v>+0</v>
      </c>
      <c r="BD112" s="206" t="str">
        <f t="shared" ca="1" si="141"/>
        <v>+2</v>
      </c>
      <c r="BE112" s="207" t="str">
        <f t="shared" ca="1" si="141"/>
        <v>+0</v>
      </c>
      <c r="BF112" s="208" t="str">
        <f t="shared" ca="1" si="141"/>
        <v>+0</v>
      </c>
      <c r="BG112" s="210" t="str">
        <f t="shared" ref="BG112:BH112" ca="1" si="142">CONCATENATE(OFFSET(BG112,-2,0,1,1)-OFFSET(BG112,-3,0,1,1))</f>
        <v>-2</v>
      </c>
      <c r="BH112" s="215" t="str">
        <f t="shared" ca="1" si="142"/>
        <v>-1</v>
      </c>
      <c r="BI112" s="206" t="str">
        <f t="shared" ref="BI112:BV112" ca="1" si="143">CONCATENATE("+",OFFSET(BI112,-2,0,1,1)-OFFSET(BI112,-3,0,1,1))</f>
        <v>+7</v>
      </c>
      <c r="BJ112" s="207" t="str">
        <f t="shared" ca="1" si="143"/>
        <v>+0</v>
      </c>
      <c r="BK112" s="208" t="str">
        <f t="shared" ca="1" si="143"/>
        <v>+0</v>
      </c>
      <c r="BL112" s="210" t="str">
        <f t="shared" ca="1" si="143"/>
        <v>+7</v>
      </c>
      <c r="BM112" s="214" t="str">
        <f t="shared" ca="1" si="143"/>
        <v>+1</v>
      </c>
      <c r="BN112" s="206" t="str">
        <f t="shared" ca="1" si="143"/>
        <v>+0</v>
      </c>
      <c r="BO112" s="207" t="str">
        <f t="shared" ca="1" si="143"/>
        <v>+0</v>
      </c>
      <c r="BP112" s="208" t="str">
        <f t="shared" ca="1" si="143"/>
        <v>+0</v>
      </c>
      <c r="BQ112" s="210" t="str">
        <f t="shared" ca="1" si="143"/>
        <v>+1</v>
      </c>
      <c r="BR112" s="211" t="str">
        <f t="shared" ca="1" si="143"/>
        <v>+0</v>
      </c>
      <c r="BS112" s="212" t="str">
        <f t="shared" ca="1" si="143"/>
        <v>+1</v>
      </c>
      <c r="BT112" s="206" t="str">
        <f t="shared" ca="1" si="143"/>
        <v>+0</v>
      </c>
      <c r="BU112" s="207" t="str">
        <f t="shared" ca="1" si="143"/>
        <v>+0</v>
      </c>
      <c r="BV112" s="208" t="str">
        <f t="shared" ca="1" si="143"/>
        <v>+0</v>
      </c>
      <c r="BW112" s="210" t="str">
        <f ca="1">CONCATENATE(OFFSET(BW112,-2,0,1,1)-OFFSET(BW112,-3,0,1,1))</f>
        <v>0</v>
      </c>
      <c r="BX112" s="214" t="str">
        <f t="shared" ref="BX112:CA112" ca="1" si="144">CONCATENATE("+",OFFSET(BX112,-2,0,1,1)-OFFSET(BX112,-3,0,1,1))</f>
        <v>+0</v>
      </c>
      <c r="BY112" s="206" t="str">
        <f t="shared" ca="1" si="144"/>
        <v>+1</v>
      </c>
      <c r="BZ112" s="207" t="str">
        <f t="shared" ca="1" si="144"/>
        <v>+0</v>
      </c>
      <c r="CA112" s="208" t="str">
        <f t="shared" ca="1" si="144"/>
        <v>+0</v>
      </c>
      <c r="CB112" s="215" t="str">
        <f ca="1">CONCATENATE(OFFSET(CB112,-2,0,1,1)-OFFSET(CB112,-3,0,1,1))</f>
        <v>0</v>
      </c>
      <c r="CC112" s="206" t="str">
        <f t="shared" ref="CC112:CE112" ca="1" si="145">CONCATENATE("+",OFFSET(CC112,-2,0,1,1)-OFFSET(CC112,-3,0,1,1))</f>
        <v>+6</v>
      </c>
      <c r="CD112" s="207" t="str">
        <f t="shared" ca="1" si="145"/>
        <v>+0</v>
      </c>
      <c r="CE112" s="208" t="str">
        <f t="shared" ca="1" si="145"/>
        <v>+9</v>
      </c>
      <c r="CF112" s="210" t="str">
        <f ca="1">CONCATENATE(OFFSET(CF112,-2,0,1,1)-OFFSET(CF112,-3,0,1,1))</f>
        <v>-3</v>
      </c>
      <c r="CG112" s="214" t="str">
        <f t="shared" ref="CG112:CJ112" ca="1" si="146">CONCATENATE("+",OFFSET(CG112,-2,0,1,1)-OFFSET(CG112,-3,0,1,1))</f>
        <v>+0</v>
      </c>
      <c r="CH112" s="206" t="str">
        <f t="shared" ca="1" si="146"/>
        <v>+1</v>
      </c>
      <c r="CI112" s="207" t="str">
        <f t="shared" ca="1" si="146"/>
        <v>+0</v>
      </c>
      <c r="CJ112" s="208" t="str">
        <f t="shared" ca="1" si="146"/>
        <v>+0</v>
      </c>
      <c r="CK112" s="210" t="str">
        <f t="shared" ref="CK112:CL112" ca="1" si="147">CONCATENATE(OFFSET(CK112,-2,0,1,1)-OFFSET(CK112,-3,0,1,1))</f>
        <v>0</v>
      </c>
      <c r="CL112" s="214" t="str">
        <f t="shared" ca="1" si="147"/>
        <v>0</v>
      </c>
      <c r="CM112" s="206" t="str">
        <f t="shared" ref="CM112:DK112" ca="1" si="148">CONCATENATE("+",OFFSET(CM112,-2,0,1,1)-OFFSET(CM112,-3,0,1,1))</f>
        <v>+4</v>
      </c>
      <c r="CN112" s="207" t="str">
        <f t="shared" ca="1" si="148"/>
        <v>+0</v>
      </c>
      <c r="CO112" s="213" t="str">
        <f t="shared" ca="1" si="148"/>
        <v>+0</v>
      </c>
      <c r="CP112" s="206" t="str">
        <f t="shared" ca="1" si="148"/>
        <v>+0</v>
      </c>
      <c r="CQ112" s="207" t="str">
        <f t="shared" ca="1" si="148"/>
        <v>+0</v>
      </c>
      <c r="CR112" s="208" t="str">
        <f t="shared" ca="1" si="148"/>
        <v>+0</v>
      </c>
      <c r="CS112" s="215" t="str">
        <f t="shared" ca="1" si="148"/>
        <v>+0</v>
      </c>
      <c r="CT112" s="206" t="str">
        <f t="shared" ca="1" si="148"/>
        <v>+26</v>
      </c>
      <c r="CU112" s="207" t="str">
        <f t="shared" ca="1" si="148"/>
        <v>+7</v>
      </c>
      <c r="CV112" s="208" t="str">
        <f t="shared" ca="1" si="148"/>
        <v>+5</v>
      </c>
      <c r="CW112" s="210" t="str">
        <f t="shared" ca="1" si="148"/>
        <v>+0</v>
      </c>
      <c r="CX112" s="211" t="str">
        <f t="shared" ca="1" si="148"/>
        <v>+1</v>
      </c>
      <c r="CY112" s="212" t="str">
        <f t="shared" ca="1" si="148"/>
        <v>+0</v>
      </c>
      <c r="CZ112" s="206" t="str">
        <f t="shared" ca="1" si="148"/>
        <v>+2</v>
      </c>
      <c r="DA112" s="207" t="str">
        <f t="shared" ca="1" si="148"/>
        <v>+0</v>
      </c>
      <c r="DB112" s="208" t="str">
        <f t="shared" ca="1" si="148"/>
        <v>+0</v>
      </c>
      <c r="DC112" s="211" t="str">
        <f t="shared" ca="1" si="148"/>
        <v>+1</v>
      </c>
      <c r="DD112" s="212" t="str">
        <f t="shared" ca="1" si="148"/>
        <v>+0</v>
      </c>
      <c r="DE112" s="206" t="str">
        <f t="shared" ca="1" si="148"/>
        <v>+0</v>
      </c>
      <c r="DF112" s="207" t="str">
        <f t="shared" ca="1" si="148"/>
        <v>+0</v>
      </c>
      <c r="DG112" s="208" t="str">
        <f t="shared" ca="1" si="148"/>
        <v>+0</v>
      </c>
      <c r="DH112" s="215" t="str">
        <f t="shared" ca="1" si="148"/>
        <v>+0</v>
      </c>
      <c r="DI112" s="206" t="str">
        <f t="shared" ca="1" si="148"/>
        <v>+0</v>
      </c>
      <c r="DJ112" s="207" t="str">
        <f t="shared" ca="1" si="148"/>
        <v>+1</v>
      </c>
      <c r="DK112" s="208" t="str">
        <f t="shared" ca="1" si="148"/>
        <v>+2</v>
      </c>
      <c r="DL112" s="210" t="str">
        <f t="shared" ref="DL112:DN112" ca="1" si="149">CONCATENATE(OFFSET(DL112,-2,0,1,1)-OFFSET(DL112,-3,0,1,1))</f>
        <v>-3</v>
      </c>
      <c r="DM112" s="211" t="str">
        <f t="shared" ca="1" si="149"/>
        <v>-2</v>
      </c>
      <c r="DN112" s="212" t="str">
        <f t="shared" ca="1" si="149"/>
        <v>0</v>
      </c>
      <c r="DO112" s="206" t="str">
        <f t="shared" ref="DO112:DV112" ca="1" si="150">CONCATENATE("+",OFFSET(DO112,-2,0,1,1)-OFFSET(DO112,-3,0,1,1))</f>
        <v>+0</v>
      </c>
      <c r="DP112" s="207" t="str">
        <f t="shared" ca="1" si="150"/>
        <v>+0</v>
      </c>
      <c r="DQ112" s="208" t="str">
        <f t="shared" ca="1" si="150"/>
        <v>+0</v>
      </c>
      <c r="DR112" s="210" t="str">
        <f t="shared" ca="1" si="150"/>
        <v>+0</v>
      </c>
      <c r="DS112" s="214" t="str">
        <f t="shared" ca="1" si="150"/>
        <v>+0</v>
      </c>
      <c r="DT112" s="206" t="str">
        <f t="shared" ca="1" si="150"/>
        <v>+0</v>
      </c>
      <c r="DU112" s="207" t="str">
        <f t="shared" ca="1" si="150"/>
        <v>+0</v>
      </c>
      <c r="DV112" s="208" t="str">
        <f t="shared" ca="1" si="150"/>
        <v>+0</v>
      </c>
      <c r="DW112" s="210" t="str">
        <f t="shared" ref="DW112:DX112" ca="1" si="151">CONCATENATE(OFFSET(DW112,-2,0,1,1)-OFFSET(DW112,-3,0,1,1))</f>
        <v>-1</v>
      </c>
      <c r="DX112" s="214" t="str">
        <f t="shared" ca="1" si="151"/>
        <v>-1</v>
      </c>
      <c r="DY112" s="206" t="str">
        <f t="shared" ref="DY112:EA112" ca="1" si="152">CONCATENATE("+",OFFSET(DY112,-2,0,1,1)-OFFSET(DY112,-3,0,1,1))</f>
        <v>+15</v>
      </c>
      <c r="DZ112" s="207" t="str">
        <f t="shared" ca="1" si="152"/>
        <v>+2</v>
      </c>
      <c r="EA112" s="208" t="str">
        <f t="shared" ca="1" si="152"/>
        <v>+0</v>
      </c>
      <c r="EB112" s="210" t="str">
        <f ca="1">CONCATENATE("+",OFFSET(EB112,-2,0,1,1)-OFFSET(EB112,-3,0,1,1))</f>
        <v>+5</v>
      </c>
      <c r="EC112" s="212" t="str">
        <f ca="1">CONCATENATE(OFFSET(EC112,-2,0,1,1)-OFFSET(EC112,-3,0,1,1))</f>
        <v>0</v>
      </c>
      <c r="ED112" s="216"/>
      <c r="EE112" s="185"/>
    </row>
    <row r="113" spans="1:134" ht="12.75">
      <c r="A113" s="187" t="s">
        <v>395</v>
      </c>
      <c r="B113" s="578">
        <f ca="1">OFFSET(B113,-3,1,1,1)*100/OFFSET(B113,-3,0,1,1)</f>
        <v>5.1778299332009388</v>
      </c>
      <c r="C113" s="531"/>
      <c r="D113" s="531"/>
      <c r="E113" s="531"/>
      <c r="F113" s="531"/>
      <c r="G113" s="531"/>
      <c r="H113" s="532"/>
      <c r="I113" s="578">
        <f ca="1">OFFSET(I113,-3,1,1,1)*100/OFFSET(I113,-3,0,1,1)</f>
        <v>3.4883720930232558</v>
      </c>
      <c r="J113" s="531"/>
      <c r="K113" s="532"/>
      <c r="L113" s="579">
        <f ca="1">OFFSET(L113,-3,1,1,1)*100/OFFSET(L113,-3,0,1,1)</f>
        <v>0</v>
      </c>
      <c r="M113" s="531"/>
      <c r="N113" s="532"/>
      <c r="O113" s="578">
        <f ca="1">OFFSET(O113,-3,1,1,1)*100/OFFSET(O113,-3,0,1,1)</f>
        <v>2.766798418972332</v>
      </c>
      <c r="P113" s="531"/>
      <c r="Q113" s="531"/>
      <c r="R113" s="531"/>
      <c r="S113" s="531"/>
      <c r="T113" s="532"/>
      <c r="U113" s="578">
        <f ca="1">OFFSET(U113,-3,1,1,1)*100/OFFSET(U113,-3,0,1,1)</f>
        <v>3.1017369727047148</v>
      </c>
      <c r="V113" s="531"/>
      <c r="W113" s="531"/>
      <c r="X113" s="531"/>
      <c r="Y113" s="532"/>
      <c r="Z113" s="578">
        <f ca="1">OFFSET(Z113,-3,1,1,1)*100/OFFSET(Z113,-3,0,1,1)</f>
        <v>4.501607717041801</v>
      </c>
      <c r="AA113" s="531"/>
      <c r="AB113" s="531"/>
      <c r="AC113" s="531"/>
      <c r="AD113" s="532"/>
      <c r="AE113" s="578">
        <f ca="1">OFFSET(AE113,-3,1,1,1)*100/OFFSET(AE113,-3,0,1,1)</f>
        <v>4.5257284562926223</v>
      </c>
      <c r="AF113" s="531"/>
      <c r="AG113" s="531"/>
      <c r="AH113" s="531"/>
      <c r="AI113" s="531"/>
      <c r="AJ113" s="532"/>
      <c r="AK113" s="578">
        <f ca="1">OFFSET(AK113,-3,1,1,1)*100/OFFSET(AK113,-3,0,1,1)</f>
        <v>7.2800808897876639</v>
      </c>
      <c r="AL113" s="531"/>
      <c r="AM113" s="531"/>
      <c r="AN113" s="531"/>
      <c r="AO113" s="532"/>
      <c r="AP113" s="578">
        <f ca="1">OFFSET(AP113,-3,1,1,1)*100/OFFSET(AP113,-3,0,1,1)</f>
        <v>4.1746949261400133</v>
      </c>
      <c r="AQ113" s="531"/>
      <c r="AR113" s="531"/>
      <c r="AS113" s="531"/>
      <c r="AT113" s="531"/>
      <c r="AU113" s="532"/>
      <c r="AV113" s="578">
        <f ca="1">OFFSET(AV113,-3,1,1,1)*100/OFFSET(AV113,-3,0,1,1)</f>
        <v>4.3859649122807021</v>
      </c>
      <c r="AW113" s="531"/>
      <c r="AX113" s="531"/>
      <c r="AY113" s="532"/>
      <c r="AZ113" s="578">
        <f ca="1">OFFSET(AZ113,-3,1,1,1)*100/OFFSET(AZ113,-3,0,1,1)</f>
        <v>5.2015604681404417</v>
      </c>
      <c r="BA113" s="531"/>
      <c r="BB113" s="531"/>
      <c r="BC113" s="532"/>
      <c r="BD113" s="578">
        <f ca="1">OFFSET(BD113,-3,1,1,1)*100/OFFSET(BD113,-3,0,1,1)</f>
        <v>2.0618556701030926</v>
      </c>
      <c r="BE113" s="531"/>
      <c r="BF113" s="531"/>
      <c r="BG113" s="531"/>
      <c r="BH113" s="532"/>
      <c r="BI113" s="578">
        <f ca="1">OFFSET(BI113,-3,1,1,1)*100/OFFSET(BI113,-3,0,1,1)</f>
        <v>2.3696682464454977</v>
      </c>
      <c r="BJ113" s="531"/>
      <c r="BK113" s="531"/>
      <c r="BL113" s="531"/>
      <c r="BM113" s="532"/>
      <c r="BN113" s="578">
        <f ca="1">OFFSET(BN113,-3,1,1,1)*100/OFFSET(BN113,-3,0,1,1)</f>
        <v>8.307210031347962</v>
      </c>
      <c r="BO113" s="531"/>
      <c r="BP113" s="531"/>
      <c r="BQ113" s="531"/>
      <c r="BR113" s="531"/>
      <c r="BS113" s="532"/>
      <c r="BT113" s="579">
        <f ca="1">OFFSET(BT113,-3,1,1,1)*100/OFFSET(BT113,-3,0,1,1)</f>
        <v>2.7777777777777777</v>
      </c>
      <c r="BU113" s="531"/>
      <c r="BV113" s="531"/>
      <c r="BW113" s="531"/>
      <c r="BX113" s="532"/>
      <c r="BY113" s="579">
        <f ca="1">OFFSET(BY113,-3,1,1,1)*100/OFFSET(BY113,-3,0,1,1)</f>
        <v>0</v>
      </c>
      <c r="BZ113" s="531"/>
      <c r="CA113" s="531"/>
      <c r="CB113" s="532"/>
      <c r="CC113" s="578">
        <f ca="1">OFFSET(CC113,-3,1,1,1)*100/OFFSET(CC113,-3,0,1,1)</f>
        <v>3.7974683544303796</v>
      </c>
      <c r="CD113" s="531"/>
      <c r="CE113" s="531"/>
      <c r="CF113" s="531"/>
      <c r="CG113" s="532"/>
      <c r="CH113" s="578">
        <f ca="1">OFFSET(CH113,-3,1,1,1)*100/OFFSET(CH113,-3,0,1,1)</f>
        <v>1.5873015873015872</v>
      </c>
      <c r="CI113" s="531"/>
      <c r="CJ113" s="531"/>
      <c r="CK113" s="531"/>
      <c r="CL113" s="532"/>
      <c r="CM113" s="578">
        <f ca="1">OFFSET(CM113,-3,1,1,1)*100/OFFSET(CM113,-3,0,1,1)</f>
        <v>5.5147058823529411</v>
      </c>
      <c r="CN113" s="531"/>
      <c r="CO113" s="532"/>
      <c r="CP113" s="578">
        <f ca="1">OFFSET(CP113,-3,1,1,1)*100/OFFSET(CP113,-3,0,1,1)</f>
        <v>3.0985915492957745</v>
      </c>
      <c r="CQ113" s="531"/>
      <c r="CR113" s="531"/>
      <c r="CS113" s="532"/>
      <c r="CT113" s="578">
        <f ca="1">OFFSET(CT113,-3,1,1,1)*100/OFFSET(CT113,-3,0,1,1)</f>
        <v>9.4179202092871162</v>
      </c>
      <c r="CU113" s="531"/>
      <c r="CV113" s="531"/>
      <c r="CW113" s="531"/>
      <c r="CX113" s="531"/>
      <c r="CY113" s="532"/>
      <c r="CZ113" s="578">
        <f ca="1">OFFSET(CZ113,-3,1,1,1)*100/OFFSET(CZ113,-3,0,1,1)</f>
        <v>3.8805970149253732</v>
      </c>
      <c r="DA113" s="531"/>
      <c r="DB113" s="531"/>
      <c r="DC113" s="531"/>
      <c r="DD113" s="532"/>
      <c r="DE113" s="578">
        <f ca="1">OFFSET(DE113,-3,1,1,1)*100/OFFSET(DE113,-3,0,1,1)</f>
        <v>6.4102564102564106</v>
      </c>
      <c r="DF113" s="531"/>
      <c r="DG113" s="531"/>
      <c r="DH113" s="532"/>
      <c r="DI113" s="578">
        <f ca="1">OFFSET(DI113,-3,1,1,1)*100/OFFSET(DI113,-3,0,1,1)</f>
        <v>6.0982495765104456</v>
      </c>
      <c r="DJ113" s="531"/>
      <c r="DK113" s="531"/>
      <c r="DL113" s="531"/>
      <c r="DM113" s="531"/>
      <c r="DN113" s="532"/>
      <c r="DO113" s="578">
        <f ca="1">OFFSET(DO113,-3,1,1,1)*100/OFFSET(DO113,-3,0,1,1)</f>
        <v>6.0008054772452679</v>
      </c>
      <c r="DP113" s="531"/>
      <c r="DQ113" s="531"/>
      <c r="DR113" s="531"/>
      <c r="DS113" s="532"/>
      <c r="DT113" s="578">
        <f ca="1">OFFSET(DT113,-3,1,1,1)*100/OFFSET(DT113,-3,0,1,1)</f>
        <v>4</v>
      </c>
      <c r="DU113" s="531"/>
      <c r="DV113" s="531"/>
      <c r="DW113" s="531"/>
      <c r="DX113" s="532"/>
      <c r="DY113" s="578">
        <f ca="1">OFFSET(DY113,-3,1,1,1)*100/OFFSET(DY113,-3,0,1,1)</f>
        <v>3.1653349723417334</v>
      </c>
      <c r="DZ113" s="531"/>
      <c r="EA113" s="531"/>
      <c r="EB113" s="531"/>
      <c r="EC113" s="532"/>
      <c r="ED113" s="217"/>
    </row>
    <row r="114" spans="1:134" ht="12.75">
      <c r="A114" s="576" t="s">
        <v>399</v>
      </c>
      <c r="B114" s="531"/>
      <c r="C114" s="531"/>
      <c r="D114" s="531"/>
      <c r="E114" s="531"/>
      <c r="F114" s="531"/>
      <c r="G114" s="531"/>
      <c r="H114" s="531"/>
      <c r="I114" s="573">
        <f ca="1">OFFSET(I114,-4,0,1,1)*100/55234</f>
        <v>0.15570119853713293</v>
      </c>
      <c r="J114" s="574"/>
      <c r="K114" s="550"/>
      <c r="L114" s="573">
        <f ca="1">OFFSET(L114,-4,0,1,1)*100/16145</f>
        <v>0.1486528336946423</v>
      </c>
      <c r="M114" s="574"/>
      <c r="N114" s="550"/>
      <c r="O114" s="573">
        <f ca="1">OFFSET(O114,-4,0,1,1)*100/678207</f>
        <v>0.14921697947676743</v>
      </c>
      <c r="P114" s="574"/>
      <c r="Q114" s="574"/>
      <c r="R114" s="574"/>
      <c r="S114" s="574"/>
      <c r="T114" s="550"/>
      <c r="U114" s="573">
        <f ca="1">OFFSET(U114,-4,0,1,1)*100/289527</f>
        <v>0.27838509016430246</v>
      </c>
      <c r="V114" s="574"/>
      <c r="W114" s="574"/>
      <c r="X114" s="574"/>
      <c r="Y114" s="550"/>
      <c r="Z114" s="573">
        <f ca="1">OFFSET(Z114,-4,0,1,1)*100/200298</f>
        <v>0.46580594913578766</v>
      </c>
      <c r="AA114" s="574"/>
      <c r="AB114" s="574"/>
      <c r="AC114" s="574"/>
      <c r="AD114" s="550"/>
      <c r="AE114" s="573">
        <f ca="1">OFFSET(AE114,-4,0,1,1)*100/1034977</f>
        <v>0.15584887393632901</v>
      </c>
      <c r="AF114" s="574"/>
      <c r="AG114" s="574"/>
      <c r="AH114" s="574"/>
      <c r="AI114" s="574"/>
      <c r="AJ114" s="550"/>
      <c r="AK114" s="573">
        <f ca="1">OFFSET(AK114,-4,0,1,1)*100/318714</f>
        <v>0.31030955653030617</v>
      </c>
      <c r="AL114" s="574"/>
      <c r="AM114" s="574"/>
      <c r="AN114" s="574"/>
      <c r="AO114" s="550"/>
      <c r="AP114" s="573">
        <f ca="1">OFFSET(AP114,-4,0,1,1)*100/506765</f>
        <v>0.92172900654149359</v>
      </c>
      <c r="AQ114" s="574"/>
      <c r="AR114" s="574"/>
      <c r="AS114" s="574"/>
      <c r="AT114" s="574"/>
      <c r="AU114" s="550"/>
      <c r="AV114" s="577">
        <f ca="1">OFFSET(AV114,-4,0,1,1)*100/40403</f>
        <v>0.28215726554958792</v>
      </c>
      <c r="AW114" s="574"/>
      <c r="AX114" s="574"/>
      <c r="AY114" s="550"/>
      <c r="AZ114" s="577">
        <f ca="1">OFFSET(AZ114,-4,0,1,1)*100/198379</f>
        <v>0.38764183708961131</v>
      </c>
      <c r="BA114" s="574"/>
      <c r="BB114" s="574"/>
      <c r="BC114" s="550"/>
      <c r="BD114" s="577">
        <f ca="1">OFFSET(BD114,-4,0,1,1)*100/73419</f>
        <v>0.26423677794576333</v>
      </c>
      <c r="BE114" s="574"/>
      <c r="BF114" s="574"/>
      <c r="BG114" s="574"/>
      <c r="BH114" s="550"/>
      <c r="BI114" s="577">
        <f ca="1">OFFSET(BI114,-4,0,1,1)*100/409557</f>
        <v>0.15455724111662114</v>
      </c>
      <c r="BJ114" s="574"/>
      <c r="BK114" s="574"/>
      <c r="BL114" s="574"/>
      <c r="BM114" s="550"/>
      <c r="BN114" s="577">
        <f ca="1">OFFSET(BN114,-4,0,1,1)*100/176328</f>
        <v>0.36182568848963298</v>
      </c>
      <c r="BO114" s="574"/>
      <c r="BP114" s="574"/>
      <c r="BQ114" s="574"/>
      <c r="BR114" s="574"/>
      <c r="BS114" s="550"/>
      <c r="BT114" s="573">
        <f ca="1">OFFSET(BT114,-4,0,1,1)*100/43223</f>
        <v>0.24986696897485136</v>
      </c>
      <c r="BU114" s="574"/>
      <c r="BV114" s="574"/>
      <c r="BW114" s="574"/>
      <c r="BX114" s="550"/>
      <c r="BY114" s="573">
        <f ca="1">OFFSET(BY114,-4,0,1,1)*100/37841</f>
        <v>0.1770566316957797</v>
      </c>
      <c r="BZ114" s="574"/>
      <c r="CA114" s="574"/>
      <c r="CB114" s="550"/>
      <c r="CC114" s="573">
        <f ca="1">OFFSET(CC114,-4,0,1,1)*100/507697</f>
        <v>0.14004416019791333</v>
      </c>
      <c r="CD114" s="574"/>
      <c r="CE114" s="574"/>
      <c r="CF114" s="574"/>
      <c r="CG114" s="550"/>
      <c r="CH114" s="573">
        <f ca="1">OFFSET(CH114,-4,0,1,1)*100/81991</f>
        <v>7.6837701698966962E-2</v>
      </c>
      <c r="CI114" s="574"/>
      <c r="CJ114" s="574"/>
      <c r="CK114" s="574"/>
      <c r="CL114" s="550"/>
      <c r="CM114" s="573">
        <f ca="1">OFFSET(CM114,-4,0,1,1)*100/159165</f>
        <v>0.17089184179939057</v>
      </c>
      <c r="CN114" s="574"/>
      <c r="CO114" s="550"/>
      <c r="CP114" s="573">
        <f ca="1">OFFSET(CP114,-4,0,1,1)*100/273194</f>
        <v>0.12994428867398258</v>
      </c>
      <c r="CQ114" s="574"/>
      <c r="CR114" s="574"/>
      <c r="CS114" s="550"/>
      <c r="CT114" s="573">
        <f ca="1">OFFSET(CT114,-4,0,1,1)*100/353343</f>
        <v>0.86544802076169614</v>
      </c>
      <c r="CU114" s="574"/>
      <c r="CV114" s="574"/>
      <c r="CW114" s="574"/>
      <c r="CX114" s="574"/>
      <c r="CY114" s="550"/>
      <c r="CZ114" s="573">
        <f ca="1">OFFSET(CZ114,-4,0,1,1)*100/276472</f>
        <v>0.12116959402760497</v>
      </c>
      <c r="DA114" s="574"/>
      <c r="DB114" s="574"/>
      <c r="DC114" s="574"/>
      <c r="DD114" s="550"/>
      <c r="DE114" s="573">
        <f ca="1">OFFSET(DE114,-4,0,1,1)*100/36433</f>
        <v>0.21409162023440287</v>
      </c>
      <c r="DF114" s="574"/>
      <c r="DG114" s="574"/>
      <c r="DH114" s="550"/>
      <c r="DI114" s="573">
        <f ca="1">OFFSET(DI114,-4,0,1,1)*100/343955</f>
        <v>0.51489293657600554</v>
      </c>
      <c r="DJ114" s="574"/>
      <c r="DK114" s="574"/>
      <c r="DL114" s="574"/>
      <c r="DM114" s="574"/>
      <c r="DN114" s="550"/>
      <c r="DO114" s="573">
        <f ca="1">OFFSET(DO114,-4,0,1,1)*100/806088</f>
        <v>0.6160617699308264</v>
      </c>
      <c r="DP114" s="574"/>
      <c r="DQ114" s="574"/>
      <c r="DR114" s="574"/>
      <c r="DS114" s="550"/>
      <c r="DT114" s="573">
        <f ca="1">OFFSET(DT114,-4,0,1,1)*100/126837</f>
        <v>0.13797235822354675</v>
      </c>
      <c r="DU114" s="574"/>
      <c r="DV114" s="574"/>
      <c r="DW114" s="574"/>
      <c r="DX114" s="550"/>
      <c r="DY114" s="573">
        <f ca="1">OFFSET(DY114,-4,0,1,1)*100/1520968</f>
        <v>0.21394269964917079</v>
      </c>
      <c r="DZ114" s="574"/>
      <c r="EA114" s="574"/>
      <c r="EB114" s="574"/>
      <c r="EC114" s="550"/>
      <c r="ED114" s="217"/>
    </row>
    <row r="115" spans="1:134" ht="12.75">
      <c r="A115" s="576" t="s">
        <v>402</v>
      </c>
      <c r="B115" s="531"/>
      <c r="C115" s="531"/>
      <c r="D115" s="531"/>
      <c r="E115" s="531"/>
      <c r="F115" s="531"/>
      <c r="G115" s="531"/>
      <c r="H115" s="531"/>
      <c r="I115" s="575" t="s">
        <v>403</v>
      </c>
      <c r="J115" s="540"/>
      <c r="K115" s="542"/>
      <c r="L115" s="575">
        <v>16145</v>
      </c>
      <c r="M115" s="540"/>
      <c r="N115" s="542"/>
      <c r="O115" s="575" t="s">
        <v>404</v>
      </c>
      <c r="P115" s="540"/>
      <c r="Q115" s="540"/>
      <c r="R115" s="540"/>
      <c r="S115" s="540"/>
      <c r="T115" s="542"/>
      <c r="U115" s="575" t="s">
        <v>405</v>
      </c>
      <c r="V115" s="540"/>
      <c r="W115" s="540"/>
      <c r="X115" s="540"/>
      <c r="Y115" s="542"/>
      <c r="Z115" s="575" t="s">
        <v>406</v>
      </c>
      <c r="AA115" s="540"/>
      <c r="AB115" s="540"/>
      <c r="AC115" s="540"/>
      <c r="AD115" s="542"/>
      <c r="AE115" s="575" t="s">
        <v>407</v>
      </c>
      <c r="AF115" s="540"/>
      <c r="AG115" s="540"/>
      <c r="AH115" s="540"/>
      <c r="AI115" s="540"/>
      <c r="AJ115" s="542"/>
      <c r="AK115" s="575" t="s">
        <v>409</v>
      </c>
      <c r="AL115" s="540"/>
      <c r="AM115" s="540"/>
      <c r="AN115" s="540"/>
      <c r="AO115" s="542"/>
      <c r="AP115" s="575" t="s">
        <v>411</v>
      </c>
      <c r="AQ115" s="540"/>
      <c r="AR115" s="540"/>
      <c r="AS115" s="540"/>
      <c r="AT115" s="540"/>
      <c r="AU115" s="542"/>
      <c r="AV115" s="575" t="s">
        <v>412</v>
      </c>
      <c r="AW115" s="540"/>
      <c r="AX115" s="540"/>
      <c r="AY115" s="542"/>
      <c r="AZ115" s="575" t="s">
        <v>413</v>
      </c>
      <c r="BA115" s="540"/>
      <c r="BB115" s="540"/>
      <c r="BC115" s="542"/>
      <c r="BD115" s="575" t="s">
        <v>414</v>
      </c>
      <c r="BE115" s="540"/>
      <c r="BF115" s="540"/>
      <c r="BG115" s="540"/>
      <c r="BH115" s="542"/>
      <c r="BI115" s="575" t="s">
        <v>415</v>
      </c>
      <c r="BJ115" s="540"/>
      <c r="BK115" s="540"/>
      <c r="BL115" s="540"/>
      <c r="BM115" s="542"/>
      <c r="BN115" s="575" t="s">
        <v>416</v>
      </c>
      <c r="BO115" s="540"/>
      <c r="BP115" s="540"/>
      <c r="BQ115" s="540"/>
      <c r="BR115" s="540"/>
      <c r="BS115" s="542"/>
      <c r="BT115" s="575" t="s">
        <v>417</v>
      </c>
      <c r="BU115" s="540"/>
      <c r="BV115" s="540"/>
      <c r="BW115" s="540"/>
      <c r="BX115" s="542"/>
      <c r="BY115" s="575" t="s">
        <v>418</v>
      </c>
      <c r="BZ115" s="540"/>
      <c r="CA115" s="540"/>
      <c r="CB115" s="542"/>
      <c r="CC115" s="575" t="s">
        <v>419</v>
      </c>
      <c r="CD115" s="540"/>
      <c r="CE115" s="540"/>
      <c r="CF115" s="540"/>
      <c r="CG115" s="542"/>
      <c r="CH115" s="575" t="s">
        <v>420</v>
      </c>
      <c r="CI115" s="540"/>
      <c r="CJ115" s="540"/>
      <c r="CK115" s="540"/>
      <c r="CL115" s="542"/>
      <c r="CM115" s="575" t="s">
        <v>421</v>
      </c>
      <c r="CN115" s="540"/>
      <c r="CO115" s="542"/>
      <c r="CP115" s="575" t="s">
        <v>422</v>
      </c>
      <c r="CQ115" s="540"/>
      <c r="CR115" s="540"/>
      <c r="CS115" s="542"/>
      <c r="CT115" s="575" t="s">
        <v>423</v>
      </c>
      <c r="CU115" s="540"/>
      <c r="CV115" s="540"/>
      <c r="CW115" s="540"/>
      <c r="CX115" s="540"/>
      <c r="CY115" s="542"/>
      <c r="CZ115" s="575" t="s">
        <v>424</v>
      </c>
      <c r="DA115" s="540"/>
      <c r="DB115" s="540"/>
      <c r="DC115" s="540"/>
      <c r="DD115" s="542"/>
      <c r="DE115" s="575" t="s">
        <v>425</v>
      </c>
      <c r="DF115" s="540"/>
      <c r="DG115" s="540"/>
      <c r="DH115" s="542"/>
      <c r="DI115" s="575" t="s">
        <v>426</v>
      </c>
      <c r="DJ115" s="540"/>
      <c r="DK115" s="540"/>
      <c r="DL115" s="540"/>
      <c r="DM115" s="540"/>
      <c r="DN115" s="542"/>
      <c r="DO115" s="575" t="s">
        <v>427</v>
      </c>
      <c r="DP115" s="540"/>
      <c r="DQ115" s="540"/>
      <c r="DR115" s="540"/>
      <c r="DS115" s="542"/>
      <c r="DT115" s="575" t="s">
        <v>428</v>
      </c>
      <c r="DU115" s="540"/>
      <c r="DV115" s="540"/>
      <c r="DW115" s="540"/>
      <c r="DX115" s="542"/>
      <c r="DY115" s="575" t="s">
        <v>429</v>
      </c>
      <c r="DZ115" s="540"/>
      <c r="EA115" s="540"/>
      <c r="EB115" s="540"/>
      <c r="EC115" s="542"/>
      <c r="ED115" s="217"/>
    </row>
    <row r="116" spans="1:134" ht="12.75">
      <c r="A116" s="571" t="s">
        <v>430</v>
      </c>
      <c r="B116" s="540"/>
      <c r="C116" s="540"/>
      <c r="D116" s="540"/>
      <c r="E116" s="540"/>
      <c r="F116" s="540"/>
      <c r="G116" s="540"/>
      <c r="H116" s="540"/>
      <c r="I116" s="219">
        <f ca="1">I114*1000</f>
        <v>155.70119853713294</v>
      </c>
      <c r="J116" s="547" t="s">
        <v>431</v>
      </c>
      <c r="K116" s="542"/>
      <c r="L116" s="219">
        <f ca="1">L114*1000</f>
        <v>148.65283369464231</v>
      </c>
      <c r="M116" s="547" t="s">
        <v>431</v>
      </c>
      <c r="N116" s="542"/>
      <c r="O116" s="572">
        <f ca="1">O114*1000</f>
        <v>149.21697947676742</v>
      </c>
      <c r="P116" s="540"/>
      <c r="Q116" s="547" t="s">
        <v>431</v>
      </c>
      <c r="R116" s="540"/>
      <c r="S116" s="540"/>
      <c r="T116" s="540"/>
      <c r="U116" s="572">
        <f ca="1">U114*1000</f>
        <v>278.38509016430248</v>
      </c>
      <c r="V116" s="540"/>
      <c r="W116" s="547" t="s">
        <v>431</v>
      </c>
      <c r="X116" s="540"/>
      <c r="Y116" s="542"/>
      <c r="Z116" s="572">
        <f ca="1">Z114*1000</f>
        <v>465.80594913578767</v>
      </c>
      <c r="AA116" s="540"/>
      <c r="AB116" s="547" t="s">
        <v>431</v>
      </c>
      <c r="AC116" s="540"/>
      <c r="AD116" s="542"/>
      <c r="AE116" s="572">
        <f ca="1">AE114*1000</f>
        <v>155.848873936329</v>
      </c>
      <c r="AF116" s="540"/>
      <c r="AG116" s="547" t="s">
        <v>431</v>
      </c>
      <c r="AH116" s="540"/>
      <c r="AI116" s="540"/>
      <c r="AJ116" s="540"/>
      <c r="AK116" s="572">
        <f ca="1">AK114*1000</f>
        <v>310.30955653030617</v>
      </c>
      <c r="AL116" s="540"/>
      <c r="AM116" s="547" t="s">
        <v>431</v>
      </c>
      <c r="AN116" s="540"/>
      <c r="AO116" s="542"/>
      <c r="AP116" s="572">
        <f ca="1">AP114*1000</f>
        <v>921.72900654149362</v>
      </c>
      <c r="AQ116" s="540"/>
      <c r="AR116" s="547" t="s">
        <v>431</v>
      </c>
      <c r="AS116" s="540"/>
      <c r="AT116" s="540"/>
      <c r="AU116" s="542"/>
      <c r="AV116" s="606">
        <f ca="1">AV114*1000</f>
        <v>282.15726554958792</v>
      </c>
      <c r="AW116" s="540"/>
      <c r="AX116" s="547" t="s">
        <v>431</v>
      </c>
      <c r="AY116" s="542"/>
      <c r="AZ116" s="606">
        <f ca="1">AZ114*1000</f>
        <v>387.64183708961133</v>
      </c>
      <c r="BA116" s="540"/>
      <c r="BB116" s="547" t="s">
        <v>431</v>
      </c>
      <c r="BC116" s="542"/>
      <c r="BD116" s="606">
        <f ca="1">BD114*1000</f>
        <v>264.23677794576332</v>
      </c>
      <c r="BE116" s="540"/>
      <c r="BF116" s="547" t="s">
        <v>431</v>
      </c>
      <c r="BG116" s="540"/>
      <c r="BH116" s="542"/>
      <c r="BI116" s="606">
        <f ca="1">BI114*1000</f>
        <v>154.55724111662113</v>
      </c>
      <c r="BJ116" s="540"/>
      <c r="BK116" s="547" t="s">
        <v>431</v>
      </c>
      <c r="BL116" s="540"/>
      <c r="BM116" s="542"/>
      <c r="BN116" s="606">
        <f ca="1">BN114*1000</f>
        <v>361.82568848963297</v>
      </c>
      <c r="BO116" s="540"/>
      <c r="BP116" s="547" t="s">
        <v>431</v>
      </c>
      <c r="BQ116" s="540"/>
      <c r="BR116" s="540"/>
      <c r="BS116" s="542"/>
      <c r="BT116" s="572">
        <f ca="1">BT114*1000</f>
        <v>249.86696897485137</v>
      </c>
      <c r="BU116" s="540"/>
      <c r="BV116" s="547" t="s">
        <v>431</v>
      </c>
      <c r="BW116" s="540"/>
      <c r="BX116" s="542"/>
      <c r="BY116" s="572">
        <f ca="1">BY114*1000</f>
        <v>177.05663169577971</v>
      </c>
      <c r="BZ116" s="540"/>
      <c r="CA116" s="547" t="s">
        <v>431</v>
      </c>
      <c r="CB116" s="542"/>
      <c r="CC116" s="572">
        <f ca="1">CC114*1000</f>
        <v>140.04416019791333</v>
      </c>
      <c r="CD116" s="540"/>
      <c r="CE116" s="547" t="s">
        <v>431</v>
      </c>
      <c r="CF116" s="540"/>
      <c r="CG116" s="542"/>
      <c r="CH116" s="572">
        <f ca="1">CH114*1000</f>
        <v>76.837701698966967</v>
      </c>
      <c r="CI116" s="540"/>
      <c r="CJ116" s="547" t="s">
        <v>431</v>
      </c>
      <c r="CK116" s="540"/>
      <c r="CL116" s="542"/>
      <c r="CM116" s="219">
        <f ca="1">CM114*1000</f>
        <v>170.89184179939056</v>
      </c>
      <c r="CN116" s="547" t="s">
        <v>431</v>
      </c>
      <c r="CO116" s="542"/>
      <c r="CP116" s="572">
        <f ca="1">CP114*1000</f>
        <v>129.94428867398258</v>
      </c>
      <c r="CQ116" s="540"/>
      <c r="CR116" s="547" t="s">
        <v>431</v>
      </c>
      <c r="CS116" s="542"/>
      <c r="CT116" s="572">
        <f ca="1">CT114*1000</f>
        <v>865.44802076169617</v>
      </c>
      <c r="CU116" s="540"/>
      <c r="CV116" s="540"/>
      <c r="CW116" s="547" t="s">
        <v>431</v>
      </c>
      <c r="CX116" s="540"/>
      <c r="CY116" s="542"/>
      <c r="CZ116" s="572">
        <f ca="1">CZ114*1000</f>
        <v>121.16959402760497</v>
      </c>
      <c r="DA116" s="540"/>
      <c r="DB116" s="547" t="s">
        <v>431</v>
      </c>
      <c r="DC116" s="540"/>
      <c r="DD116" s="542"/>
      <c r="DE116" s="572">
        <f ca="1">DE114*1000</f>
        <v>214.09162023440288</v>
      </c>
      <c r="DF116" s="540"/>
      <c r="DG116" s="547" t="s">
        <v>431</v>
      </c>
      <c r="DH116" s="542"/>
      <c r="DI116" s="572">
        <f ca="1">DI114*1000</f>
        <v>514.89293657600558</v>
      </c>
      <c r="DJ116" s="540"/>
      <c r="DK116" s="547" t="s">
        <v>431</v>
      </c>
      <c r="DL116" s="540"/>
      <c r="DM116" s="540"/>
      <c r="DN116" s="540"/>
      <c r="DO116" s="572">
        <f ca="1">DO114*1000</f>
        <v>616.06176993082636</v>
      </c>
      <c r="DP116" s="540"/>
      <c r="DQ116" s="547" t="s">
        <v>431</v>
      </c>
      <c r="DR116" s="540"/>
      <c r="DS116" s="542"/>
      <c r="DT116" s="572">
        <f ca="1">DT114*1000</f>
        <v>137.97235822354676</v>
      </c>
      <c r="DU116" s="540"/>
      <c r="DV116" s="547" t="s">
        <v>431</v>
      </c>
      <c r="DW116" s="540"/>
      <c r="DX116" s="542"/>
      <c r="DY116" s="572">
        <f ca="1">DY114*1000</f>
        <v>213.94269964917078</v>
      </c>
      <c r="DZ116" s="540"/>
      <c r="EA116" s="547" t="s">
        <v>431</v>
      </c>
      <c r="EB116" s="540"/>
      <c r="EC116" s="542"/>
      <c r="ED116" s="217"/>
    </row>
    <row r="117" spans="1:134" ht="18.75" customHeight="1">
      <c r="A117" s="559" t="s">
        <v>434</v>
      </c>
      <c r="B117" s="531"/>
      <c r="C117" s="531"/>
      <c r="D117" s="531"/>
      <c r="E117" s="531"/>
      <c r="F117" s="531"/>
      <c r="G117" s="531"/>
      <c r="H117" s="531"/>
      <c r="I117" s="565" t="s">
        <v>435</v>
      </c>
      <c r="J117" s="531"/>
      <c r="K117" s="531"/>
      <c r="L117" s="566" t="s">
        <v>436</v>
      </c>
      <c r="M117" s="531"/>
      <c r="N117" s="532"/>
      <c r="O117" s="566" t="s">
        <v>437</v>
      </c>
      <c r="P117" s="531"/>
      <c r="Q117" s="531"/>
      <c r="R117" s="531"/>
      <c r="S117" s="531"/>
      <c r="T117" s="532"/>
      <c r="U117" s="565" t="s">
        <v>438</v>
      </c>
      <c r="V117" s="531"/>
      <c r="W117" s="531"/>
      <c r="X117" s="531"/>
      <c r="Y117" s="531"/>
      <c r="Z117" s="566" t="s">
        <v>439</v>
      </c>
      <c r="AA117" s="531"/>
      <c r="AB117" s="531"/>
      <c r="AC117" s="531"/>
      <c r="AD117" s="531"/>
      <c r="AE117" s="566" t="s">
        <v>440</v>
      </c>
      <c r="AF117" s="531"/>
      <c r="AG117" s="531"/>
      <c r="AH117" s="531"/>
      <c r="AI117" s="531"/>
      <c r="AJ117" s="532"/>
      <c r="AK117" s="565" t="s">
        <v>441</v>
      </c>
      <c r="AL117" s="531"/>
      <c r="AM117" s="531"/>
      <c r="AN117" s="531"/>
      <c r="AO117" s="532"/>
      <c r="AP117" s="569" t="s">
        <v>442</v>
      </c>
      <c r="AQ117" s="531"/>
      <c r="AR117" s="531"/>
      <c r="AS117" s="531"/>
      <c r="AT117" s="531"/>
      <c r="AU117" s="532"/>
      <c r="AV117" s="565" t="s">
        <v>443</v>
      </c>
      <c r="AW117" s="531"/>
      <c r="AX117" s="531"/>
      <c r="AY117" s="531"/>
      <c r="AZ117" s="566" t="s">
        <v>444</v>
      </c>
      <c r="BA117" s="531"/>
      <c r="BB117" s="531"/>
      <c r="BC117" s="532"/>
      <c r="BD117" s="565" t="s">
        <v>445</v>
      </c>
      <c r="BE117" s="531"/>
      <c r="BF117" s="531"/>
      <c r="BG117" s="531"/>
      <c r="BH117" s="532"/>
      <c r="BI117" s="565" t="s">
        <v>448</v>
      </c>
      <c r="BJ117" s="531"/>
      <c r="BK117" s="531"/>
      <c r="BL117" s="531"/>
      <c r="BM117" s="531"/>
      <c r="BN117" s="566" t="s">
        <v>449</v>
      </c>
      <c r="BO117" s="531"/>
      <c r="BP117" s="531"/>
      <c r="BQ117" s="531"/>
      <c r="BR117" s="531"/>
      <c r="BS117" s="531"/>
      <c r="BT117" s="569" t="s">
        <v>450</v>
      </c>
      <c r="BU117" s="531"/>
      <c r="BV117" s="531"/>
      <c r="BW117" s="531"/>
      <c r="BX117" s="532"/>
      <c r="BY117" s="570" t="s">
        <v>451</v>
      </c>
      <c r="BZ117" s="531"/>
      <c r="CA117" s="531"/>
      <c r="CB117" s="531"/>
      <c r="CC117" s="569" t="s">
        <v>452</v>
      </c>
      <c r="CD117" s="531"/>
      <c r="CE117" s="531"/>
      <c r="CF117" s="531"/>
      <c r="CG117" s="532"/>
      <c r="CH117" s="570" t="s">
        <v>453</v>
      </c>
      <c r="CI117" s="531"/>
      <c r="CJ117" s="531"/>
      <c r="CK117" s="531"/>
      <c r="CL117" s="531"/>
      <c r="CM117" s="569" t="s">
        <v>454</v>
      </c>
      <c r="CN117" s="531"/>
      <c r="CO117" s="532"/>
      <c r="CP117" s="570" t="s">
        <v>455</v>
      </c>
      <c r="CQ117" s="531"/>
      <c r="CR117" s="531"/>
      <c r="CS117" s="532"/>
      <c r="CT117" s="230" t="s">
        <v>456</v>
      </c>
      <c r="CU117" s="232"/>
      <c r="CV117" s="232"/>
      <c r="CW117" s="232"/>
      <c r="CX117" s="232"/>
      <c r="CY117" s="232"/>
      <c r="CZ117" s="570" t="s">
        <v>457</v>
      </c>
      <c r="DA117" s="531"/>
      <c r="DB117" s="531"/>
      <c r="DC117" s="531"/>
      <c r="DD117" s="531"/>
      <c r="DE117" s="569" t="s">
        <v>458</v>
      </c>
      <c r="DF117" s="531"/>
      <c r="DG117" s="531"/>
      <c r="DH117" s="532"/>
      <c r="DI117" s="570" t="s">
        <v>459</v>
      </c>
      <c r="DJ117" s="531"/>
      <c r="DK117" s="531"/>
      <c r="DL117" s="531"/>
      <c r="DM117" s="531"/>
      <c r="DN117" s="531"/>
      <c r="DO117" s="569" t="s">
        <v>460</v>
      </c>
      <c r="DP117" s="531"/>
      <c r="DQ117" s="531"/>
      <c r="DR117" s="531"/>
      <c r="DS117" s="532"/>
      <c r="DT117" s="570" t="s">
        <v>461</v>
      </c>
      <c r="DU117" s="531"/>
      <c r="DV117" s="531"/>
      <c r="DW117" s="531"/>
      <c r="DX117" s="531"/>
      <c r="DY117" s="570" t="s">
        <v>462</v>
      </c>
      <c r="DZ117" s="531"/>
      <c r="EA117" s="531"/>
      <c r="EB117" s="531"/>
      <c r="EC117" s="603"/>
      <c r="ED117" s="217"/>
    </row>
    <row r="118" spans="1:134" ht="12.75">
      <c r="A118" s="559" t="s">
        <v>463</v>
      </c>
      <c r="B118" s="531"/>
      <c r="C118" s="531"/>
      <c r="D118" s="531"/>
      <c r="E118" s="531"/>
      <c r="F118" s="531"/>
      <c r="G118" s="531"/>
      <c r="H118" s="531"/>
      <c r="I118" s="560">
        <v>43941.333333333336</v>
      </c>
      <c r="J118" s="531"/>
      <c r="K118" s="532"/>
      <c r="L118" s="560">
        <v>43941.458333333336</v>
      </c>
      <c r="M118" s="531"/>
      <c r="N118" s="532"/>
      <c r="O118" s="560">
        <v>43941.583333333336</v>
      </c>
      <c r="P118" s="531"/>
      <c r="Q118" s="531"/>
      <c r="R118" s="531"/>
      <c r="S118" s="531"/>
      <c r="T118" s="532"/>
      <c r="U118" s="560">
        <v>43941</v>
      </c>
      <c r="V118" s="531"/>
      <c r="W118" s="531"/>
      <c r="X118" s="531"/>
      <c r="Y118" s="532"/>
      <c r="Z118" s="560">
        <v>43941.416666666664</v>
      </c>
      <c r="AA118" s="531"/>
      <c r="AB118" s="531"/>
      <c r="AC118" s="531"/>
      <c r="AD118" s="532"/>
      <c r="AE118" s="560">
        <v>43941.333333333336</v>
      </c>
      <c r="AF118" s="531"/>
      <c r="AG118" s="531"/>
      <c r="AH118" s="531"/>
      <c r="AI118" s="531"/>
      <c r="AJ118" s="532"/>
      <c r="AK118" s="560">
        <v>43941.541666666664</v>
      </c>
      <c r="AL118" s="531"/>
      <c r="AM118" s="531"/>
      <c r="AN118" s="531"/>
      <c r="AO118" s="532"/>
      <c r="AP118" s="560">
        <v>43941</v>
      </c>
      <c r="AQ118" s="531"/>
      <c r="AR118" s="531"/>
      <c r="AS118" s="531"/>
      <c r="AT118" s="531"/>
      <c r="AU118" s="532"/>
      <c r="AV118" s="560">
        <v>43941.708333333336</v>
      </c>
      <c r="AW118" s="531"/>
      <c r="AX118" s="531"/>
      <c r="AY118" s="532"/>
      <c r="AZ118" s="560">
        <v>43941</v>
      </c>
      <c r="BA118" s="531"/>
      <c r="BB118" s="531"/>
      <c r="BC118" s="532"/>
      <c r="BD118" s="560">
        <v>43941.666666666664</v>
      </c>
      <c r="BE118" s="531"/>
      <c r="BF118" s="531"/>
      <c r="BG118" s="531"/>
      <c r="BH118" s="532"/>
      <c r="BI118" s="560">
        <v>43941.458333333336</v>
      </c>
      <c r="BJ118" s="531"/>
      <c r="BK118" s="531"/>
      <c r="BL118" s="531"/>
      <c r="BM118" s="532"/>
      <c r="BN118" s="560">
        <v>43941.666666666664</v>
      </c>
      <c r="BO118" s="531"/>
      <c r="BP118" s="531"/>
      <c r="BQ118" s="531"/>
      <c r="BR118" s="531"/>
      <c r="BS118" s="532"/>
      <c r="BT118" s="560">
        <v>43941.65625</v>
      </c>
      <c r="BU118" s="531"/>
      <c r="BV118" s="531"/>
      <c r="BW118" s="531"/>
      <c r="BX118" s="532"/>
      <c r="BY118" s="560">
        <v>43941.625</v>
      </c>
      <c r="BZ118" s="531"/>
      <c r="CA118" s="531"/>
      <c r="CB118" s="532"/>
      <c r="CC118" s="560">
        <v>43941.541666666664</v>
      </c>
      <c r="CD118" s="531"/>
      <c r="CE118" s="531"/>
      <c r="CF118" s="531"/>
      <c r="CG118" s="532"/>
      <c r="CH118" s="560">
        <v>43941.395833333336</v>
      </c>
      <c r="CI118" s="531"/>
      <c r="CJ118" s="531"/>
      <c r="CK118" s="531"/>
      <c r="CL118" s="532"/>
      <c r="CM118" s="560">
        <v>43941.333333333336</v>
      </c>
      <c r="CN118" s="531"/>
      <c r="CO118" s="532"/>
      <c r="CP118" s="560">
        <v>43941</v>
      </c>
      <c r="CQ118" s="531"/>
      <c r="CR118" s="531"/>
      <c r="CS118" s="532"/>
      <c r="CT118" s="560">
        <v>43941.333333333336</v>
      </c>
      <c r="CU118" s="531"/>
      <c r="CV118" s="531"/>
      <c r="CW118" s="531"/>
      <c r="CX118" s="531"/>
      <c r="CY118" s="532"/>
      <c r="CZ118" s="560">
        <v>43941</v>
      </c>
      <c r="DA118" s="531"/>
      <c r="DB118" s="531"/>
      <c r="DC118" s="531"/>
      <c r="DD118" s="532"/>
      <c r="DE118" s="560">
        <v>43941.583333333336</v>
      </c>
      <c r="DF118" s="531"/>
      <c r="DG118" s="531"/>
      <c r="DH118" s="532"/>
      <c r="DI118" s="560">
        <v>43941.625</v>
      </c>
      <c r="DJ118" s="531"/>
      <c r="DK118" s="531"/>
      <c r="DL118" s="531"/>
      <c r="DM118" s="531"/>
      <c r="DN118" s="532"/>
      <c r="DO118" s="560">
        <v>43941</v>
      </c>
      <c r="DP118" s="531"/>
      <c r="DQ118" s="531"/>
      <c r="DR118" s="531"/>
      <c r="DS118" s="532"/>
      <c r="DT118" s="560">
        <v>43941.333333333336</v>
      </c>
      <c r="DU118" s="531"/>
      <c r="DV118" s="531"/>
      <c r="DW118" s="531"/>
      <c r="DX118" s="532"/>
      <c r="DY118" s="560">
        <v>43941.625</v>
      </c>
      <c r="DZ118" s="531"/>
      <c r="EA118" s="531"/>
      <c r="EB118" s="531"/>
      <c r="EC118" s="532"/>
      <c r="ED118" s="217"/>
    </row>
    <row r="119" spans="1:134" ht="43.5" customHeight="1">
      <c r="A119" s="561" t="s">
        <v>466</v>
      </c>
      <c r="B119" s="531"/>
      <c r="C119" s="531"/>
      <c r="D119" s="531"/>
      <c r="E119" s="531"/>
      <c r="F119" s="531"/>
      <c r="G119" s="531"/>
      <c r="H119" s="531"/>
      <c r="J119" s="240"/>
      <c r="K119" s="240"/>
      <c r="L119" s="240"/>
      <c r="M119" s="240"/>
      <c r="N119" s="240"/>
      <c r="O119" s="562" t="s">
        <v>467</v>
      </c>
      <c r="P119" s="531"/>
      <c r="Q119" s="531"/>
      <c r="R119" s="531"/>
      <c r="S119" s="531"/>
      <c r="T119" s="531"/>
      <c r="U119" s="562" t="s">
        <v>468</v>
      </c>
      <c r="V119" s="531"/>
      <c r="W119" s="531"/>
      <c r="X119" s="531"/>
      <c r="Y119" s="531"/>
      <c r="Z119" s="562" t="s">
        <v>469</v>
      </c>
      <c r="AA119" s="531"/>
      <c r="AB119" s="531"/>
      <c r="AC119" s="531"/>
      <c r="AD119" s="531"/>
      <c r="AE119" s="241"/>
      <c r="AF119" s="241"/>
      <c r="AG119" s="241"/>
      <c r="AH119" s="241"/>
      <c r="AI119" s="241"/>
      <c r="AJ119" s="241"/>
      <c r="AK119" s="242"/>
      <c r="AL119" s="242"/>
      <c r="AM119" s="242"/>
      <c r="AN119" s="242"/>
      <c r="AO119" s="242"/>
      <c r="AP119" s="567" t="s">
        <v>470</v>
      </c>
      <c r="AQ119" s="531"/>
      <c r="AR119" s="531"/>
      <c r="AS119" s="531"/>
      <c r="AT119" s="531"/>
      <c r="AU119" s="531"/>
      <c r="AV119" s="241"/>
      <c r="AW119" s="241"/>
      <c r="AX119" s="241"/>
      <c r="AY119" s="241"/>
      <c r="AZ119" s="241"/>
      <c r="BA119" s="241"/>
      <c r="BB119" s="241"/>
      <c r="BC119" s="241"/>
      <c r="BD119" s="567" t="s">
        <v>471</v>
      </c>
      <c r="BE119" s="531"/>
      <c r="BF119" s="531"/>
      <c r="BG119" s="531"/>
      <c r="BH119" s="531"/>
      <c r="BI119" s="243"/>
      <c r="BJ119" s="243"/>
      <c r="BK119" s="243"/>
      <c r="BL119" s="243"/>
      <c r="BM119" s="243"/>
      <c r="BN119" s="567" t="s">
        <v>472</v>
      </c>
      <c r="BO119" s="531"/>
      <c r="BP119" s="531"/>
      <c r="BQ119" s="531"/>
      <c r="BR119" s="531"/>
      <c r="BS119" s="531"/>
      <c r="BT119" s="244"/>
      <c r="BU119" s="123"/>
      <c r="BV119" s="123"/>
      <c r="BW119" s="123"/>
      <c r="BX119" s="123"/>
      <c r="BY119" s="244"/>
      <c r="BZ119" s="123"/>
      <c r="CA119" s="123"/>
      <c r="CB119" s="123"/>
      <c r="CC119" s="241"/>
      <c r="CD119" s="241"/>
      <c r="CE119" s="241"/>
      <c r="CF119" s="241"/>
      <c r="CG119" s="241"/>
      <c r="CH119" s="244"/>
      <c r="CI119" s="123"/>
      <c r="CJ119" s="123"/>
      <c r="CK119" s="123"/>
      <c r="CL119" s="123"/>
      <c r="CM119" s="242"/>
      <c r="CN119" s="242"/>
      <c r="CO119" s="242"/>
      <c r="CP119" s="568"/>
      <c r="CQ119" s="531"/>
      <c r="CR119" s="531"/>
      <c r="CS119" s="531"/>
      <c r="CT119" s="241"/>
      <c r="CU119" s="241"/>
      <c r="CV119" s="241"/>
      <c r="CW119" s="241"/>
      <c r="CX119" s="241"/>
      <c r="CY119" s="241"/>
      <c r="CZ119" s="244"/>
      <c r="DA119" s="123"/>
      <c r="DB119" s="123"/>
      <c r="DC119" s="123"/>
      <c r="DD119" s="123"/>
      <c r="DE119" s="244"/>
      <c r="DF119" s="123"/>
      <c r="DG119" s="123"/>
      <c r="DH119" s="123"/>
      <c r="DI119" s="602" t="s">
        <v>473</v>
      </c>
      <c r="DJ119" s="531"/>
      <c r="DK119" s="531"/>
      <c r="DL119" s="531"/>
      <c r="DM119" s="531"/>
      <c r="DN119" s="531"/>
      <c r="DO119" s="602" t="s">
        <v>474</v>
      </c>
      <c r="DP119" s="531"/>
      <c r="DQ119" s="531"/>
      <c r="DR119" s="531"/>
      <c r="DS119" s="531"/>
      <c r="DT119" s="246"/>
      <c r="DU119" s="243"/>
      <c r="DV119" s="243"/>
      <c r="DW119" s="243"/>
      <c r="DX119" s="243"/>
      <c r="DY119" s="241"/>
      <c r="DZ119" s="241"/>
      <c r="EA119" s="241"/>
      <c r="EB119" s="241"/>
      <c r="EC119" s="241"/>
      <c r="ED119" s="217"/>
    </row>
    <row r="120" spans="1:134" ht="85.5" customHeight="1">
      <c r="A120" s="553" t="s">
        <v>475</v>
      </c>
      <c r="B120" s="531"/>
      <c r="C120" s="531"/>
      <c r="D120" s="531"/>
      <c r="E120" s="531"/>
      <c r="F120" s="531"/>
      <c r="G120" s="531"/>
      <c r="H120" s="531"/>
      <c r="O120" s="531"/>
      <c r="P120" s="531"/>
      <c r="Q120" s="531"/>
      <c r="R120" s="531"/>
      <c r="S120" s="531"/>
      <c r="T120" s="531"/>
      <c r="U120" s="531"/>
      <c r="V120" s="531"/>
      <c r="W120" s="531"/>
      <c r="X120" s="531"/>
      <c r="Y120" s="531"/>
      <c r="Z120" s="195"/>
      <c r="AA120" s="195"/>
      <c r="AB120" s="195"/>
      <c r="AC120" s="195"/>
      <c r="AD120" s="195"/>
      <c r="AE120" s="195"/>
      <c r="AF120" s="195"/>
      <c r="AG120" s="195"/>
      <c r="AH120" s="195"/>
      <c r="AI120" s="195"/>
      <c r="AJ120" s="195"/>
      <c r="AK120" s="195"/>
      <c r="AL120" s="195"/>
      <c r="AP120" s="531"/>
      <c r="AQ120" s="531"/>
      <c r="AR120" s="531"/>
      <c r="AS120" s="531"/>
      <c r="AT120" s="531"/>
      <c r="AU120" s="531"/>
      <c r="BD120" s="531"/>
      <c r="BE120" s="531"/>
      <c r="BF120" s="531"/>
      <c r="BG120" s="531"/>
      <c r="BH120" s="531"/>
      <c r="BN120" s="531"/>
      <c r="BO120" s="531"/>
      <c r="BP120" s="531"/>
      <c r="BQ120" s="531"/>
      <c r="BR120" s="531"/>
      <c r="BS120" s="531"/>
      <c r="DI120" s="531"/>
      <c r="DJ120" s="531"/>
      <c r="DK120" s="531"/>
      <c r="DL120" s="531"/>
      <c r="DM120" s="531"/>
      <c r="DN120" s="531"/>
      <c r="DO120" s="531"/>
      <c r="DP120" s="531"/>
      <c r="DQ120" s="531"/>
      <c r="DR120" s="531"/>
      <c r="DS120" s="531"/>
      <c r="DT120" s="241"/>
      <c r="ED120" s="217"/>
    </row>
    <row r="121" spans="1:134" ht="145.5" customHeight="1">
      <c r="A121" s="554" t="s">
        <v>476</v>
      </c>
      <c r="B121" s="531"/>
      <c r="C121" s="531"/>
      <c r="D121" s="531"/>
      <c r="E121" s="531"/>
      <c r="F121" s="531"/>
      <c r="G121" s="531"/>
      <c r="H121" s="531"/>
      <c r="I121" s="195"/>
      <c r="AC121" s="195"/>
      <c r="AP121" s="531"/>
      <c r="AQ121" s="531"/>
      <c r="AR121" s="531"/>
      <c r="AS121" s="531"/>
      <c r="AT121" s="531"/>
      <c r="AU121" s="531"/>
      <c r="BD121" s="531"/>
      <c r="BE121" s="531"/>
      <c r="BF121" s="531"/>
      <c r="BG121" s="531"/>
      <c r="BH121" s="531"/>
      <c r="BK121" s="247"/>
      <c r="BL121" s="247"/>
      <c r="BM121" s="247"/>
      <c r="BN121" s="531"/>
      <c r="BO121" s="531"/>
      <c r="BP121" s="531"/>
      <c r="BQ121" s="531"/>
      <c r="BR121" s="531"/>
      <c r="BS121" s="531"/>
      <c r="DI121" s="531"/>
      <c r="DJ121" s="531"/>
      <c r="DK121" s="531"/>
      <c r="DL121" s="531"/>
      <c r="DM121" s="531"/>
      <c r="DN121" s="531"/>
      <c r="DO121" s="531"/>
      <c r="DP121" s="531"/>
      <c r="DQ121" s="531"/>
      <c r="DR121" s="531"/>
      <c r="DS121" s="531"/>
      <c r="ED121" s="217"/>
    </row>
    <row r="122" spans="1:134" ht="34.5" customHeight="1">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P122" s="531"/>
      <c r="AQ122" s="531"/>
      <c r="AR122" s="531"/>
      <c r="AS122" s="531"/>
      <c r="AT122" s="531"/>
      <c r="AU122" s="531"/>
      <c r="BD122" s="564" t="s">
        <v>477</v>
      </c>
      <c r="BE122" s="531"/>
      <c r="BF122" s="531"/>
      <c r="BG122" s="531"/>
      <c r="BH122" s="531"/>
      <c r="BK122" s="247"/>
      <c r="BL122" s="247"/>
      <c r="BM122" s="247"/>
      <c r="BN122" s="241"/>
      <c r="BO122" s="241"/>
      <c r="BP122" s="241"/>
      <c r="BQ122" s="241"/>
      <c r="BR122" s="241"/>
      <c r="BS122" s="241"/>
      <c r="DI122" s="531"/>
      <c r="DJ122" s="531"/>
      <c r="DK122" s="531"/>
      <c r="DL122" s="531"/>
      <c r="DM122" s="531"/>
      <c r="DN122" s="531"/>
      <c r="DO122" s="245"/>
      <c r="DP122" s="245"/>
      <c r="DQ122" s="245"/>
      <c r="DR122" s="245"/>
      <c r="DS122" s="245"/>
      <c r="ED122" s="217"/>
    </row>
    <row r="123" spans="1:134" ht="12.75">
      <c r="A123" s="535" t="s">
        <v>351</v>
      </c>
      <c r="B123" s="536"/>
      <c r="C123" s="536"/>
      <c r="D123" s="536"/>
      <c r="E123" s="536"/>
      <c r="F123" s="536"/>
      <c r="G123" s="536"/>
      <c r="H123" s="537"/>
      <c r="I123" s="555" t="s">
        <v>478</v>
      </c>
      <c r="J123" s="536"/>
      <c r="K123" s="536"/>
      <c r="L123" s="536"/>
      <c r="M123" s="536"/>
      <c r="N123" s="536"/>
      <c r="O123" s="536"/>
      <c r="P123" s="536"/>
      <c r="Q123" s="536"/>
      <c r="R123" s="536"/>
      <c r="S123" s="536"/>
      <c r="T123" s="536"/>
      <c r="U123" s="536"/>
      <c r="V123" s="536"/>
      <c r="W123" s="536"/>
      <c r="X123" s="536"/>
      <c r="Y123" s="536"/>
      <c r="Z123" s="536"/>
      <c r="AA123" s="536"/>
      <c r="AB123" s="536"/>
      <c r="AC123" s="536"/>
      <c r="AD123" s="536"/>
      <c r="AE123" s="536"/>
      <c r="AF123" s="536"/>
      <c r="AG123" s="537"/>
      <c r="AH123" s="191"/>
      <c r="AI123" s="191"/>
      <c r="AJ123" s="191"/>
      <c r="AM123" s="250"/>
      <c r="AN123" s="250"/>
      <c r="AO123" s="250"/>
      <c r="AP123" s="531"/>
      <c r="AQ123" s="531"/>
      <c r="AR123" s="531"/>
      <c r="AS123" s="531"/>
      <c r="AT123" s="531"/>
      <c r="AU123" s="531"/>
      <c r="AZ123" s="250"/>
      <c r="BA123" s="250"/>
      <c r="BB123" s="250"/>
      <c r="BC123" s="250"/>
      <c r="BD123" s="250"/>
      <c r="CN123" s="251"/>
      <c r="CO123" s="251"/>
      <c r="CP123" s="251"/>
      <c r="CQ123" s="251"/>
      <c r="CR123" s="251"/>
      <c r="CS123" s="251"/>
      <c r="CT123" s="251"/>
      <c r="CU123" s="251"/>
      <c r="CV123" s="251"/>
      <c r="CW123" s="251"/>
      <c r="CX123" s="251"/>
      <c r="CY123" s="251"/>
      <c r="CZ123" s="251"/>
      <c r="DA123" s="251"/>
      <c r="DB123" s="251"/>
      <c r="DC123" s="251"/>
      <c r="DD123" s="251"/>
      <c r="DI123" s="531"/>
      <c r="DJ123" s="531"/>
      <c r="DK123" s="531"/>
      <c r="DL123" s="531"/>
      <c r="DM123" s="531"/>
      <c r="DN123" s="531"/>
      <c r="DO123" s="245"/>
      <c r="DP123" s="245"/>
      <c r="DQ123" s="245"/>
      <c r="DR123" s="245"/>
      <c r="DS123" s="245"/>
      <c r="ED123" s="217"/>
    </row>
    <row r="124" spans="1:134" ht="8.25" customHeight="1">
      <c r="A124" s="538" t="s">
        <v>479</v>
      </c>
      <c r="B124" s="531"/>
      <c r="C124" s="541" t="s">
        <v>480</v>
      </c>
      <c r="D124" s="531"/>
      <c r="E124" s="531"/>
      <c r="F124" s="531"/>
      <c r="G124" s="531"/>
      <c r="H124" s="532"/>
      <c r="I124" s="556"/>
      <c r="J124" s="531"/>
      <c r="K124" s="531"/>
      <c r="L124" s="531"/>
      <c r="M124" s="531"/>
      <c r="N124" s="531"/>
      <c r="O124" s="531"/>
      <c r="P124" s="531"/>
      <c r="Q124" s="531"/>
      <c r="R124" s="531"/>
      <c r="S124" s="531"/>
      <c r="T124" s="531"/>
      <c r="U124" s="531"/>
      <c r="V124" s="531"/>
      <c r="W124" s="531"/>
      <c r="X124" s="531"/>
      <c r="Y124" s="531"/>
      <c r="Z124" s="531"/>
      <c r="AA124" s="531"/>
      <c r="AB124" s="531"/>
      <c r="AC124" s="531"/>
      <c r="AD124" s="531"/>
      <c r="AE124" s="531"/>
      <c r="AF124" s="531"/>
      <c r="AG124" s="532"/>
      <c r="AH124" s="191"/>
      <c r="AI124" s="191"/>
      <c r="AJ124" s="191"/>
      <c r="AM124" s="250"/>
      <c r="AN124" s="250"/>
      <c r="AO124" s="250"/>
      <c r="AP124" s="531"/>
      <c r="AQ124" s="531"/>
      <c r="AR124" s="531"/>
      <c r="AS124" s="531"/>
      <c r="AT124" s="531"/>
      <c r="AU124" s="531"/>
      <c r="AZ124" s="250"/>
      <c r="BA124" s="250"/>
      <c r="BB124" s="250"/>
      <c r="BC124" s="250"/>
      <c r="BD124" s="250"/>
      <c r="DI124" s="531"/>
      <c r="DJ124" s="531"/>
      <c r="DK124" s="531"/>
      <c r="DL124" s="531"/>
      <c r="DM124" s="531"/>
      <c r="DN124" s="531"/>
      <c r="DO124" s="245"/>
      <c r="DP124" s="245"/>
      <c r="DQ124" s="245"/>
      <c r="DR124" s="245"/>
      <c r="DS124" s="245"/>
      <c r="ED124" s="217"/>
    </row>
    <row r="125" spans="1:134" ht="26.25" customHeight="1">
      <c r="A125" s="543"/>
      <c r="B125" s="531"/>
      <c r="C125" s="531"/>
      <c r="D125" s="531"/>
      <c r="E125" s="531"/>
      <c r="F125" s="531"/>
      <c r="G125" s="531"/>
      <c r="H125" s="532"/>
      <c r="I125" s="556" t="s">
        <v>481</v>
      </c>
      <c r="J125" s="531"/>
      <c r="K125" s="531"/>
      <c r="L125" s="531"/>
      <c r="M125" s="531"/>
      <c r="N125" s="531"/>
      <c r="O125" s="531"/>
      <c r="P125" s="531"/>
      <c r="Q125" s="531"/>
      <c r="R125" s="531"/>
      <c r="S125" s="531"/>
      <c r="T125" s="531"/>
      <c r="U125" s="531"/>
      <c r="V125" s="531"/>
      <c r="W125" s="531"/>
      <c r="X125" s="531"/>
      <c r="Y125" s="531"/>
      <c r="Z125" s="531"/>
      <c r="AA125" s="531"/>
      <c r="AB125" s="531"/>
      <c r="AC125" s="531"/>
      <c r="AD125" s="531"/>
      <c r="AE125" s="531"/>
      <c r="AF125" s="531"/>
      <c r="AG125" s="532"/>
      <c r="AH125" s="191"/>
      <c r="AI125" s="191"/>
      <c r="AJ125" s="191"/>
      <c r="AM125" s="250"/>
      <c r="AN125" s="250"/>
      <c r="AO125" s="250"/>
      <c r="AP125" s="531"/>
      <c r="AQ125" s="531"/>
      <c r="AR125" s="531"/>
      <c r="AS125" s="531"/>
      <c r="AT125" s="531"/>
      <c r="AU125" s="531"/>
      <c r="AZ125" s="250"/>
      <c r="BA125" s="250"/>
      <c r="BB125" s="250"/>
      <c r="BC125" s="250"/>
      <c r="BD125" s="250"/>
      <c r="DI125" s="531"/>
      <c r="DJ125" s="531"/>
      <c r="DK125" s="531"/>
      <c r="DL125" s="531"/>
      <c r="DM125" s="531"/>
      <c r="DN125" s="531"/>
      <c r="DO125" s="245"/>
      <c r="DP125" s="245"/>
      <c r="DQ125" s="245"/>
      <c r="DR125" s="245"/>
      <c r="DS125" s="245"/>
      <c r="ED125" s="217"/>
    </row>
    <row r="126" spans="1:134" ht="26.25" customHeight="1">
      <c r="A126" s="538" t="s">
        <v>484</v>
      </c>
      <c r="B126" s="531"/>
      <c r="C126" s="563" t="s">
        <v>485</v>
      </c>
      <c r="D126" s="531"/>
      <c r="E126" s="531"/>
      <c r="F126" s="531"/>
      <c r="G126" s="531"/>
      <c r="H126" s="532"/>
      <c r="I126" s="543"/>
      <c r="J126" s="531"/>
      <c r="K126" s="531"/>
      <c r="L126" s="531"/>
      <c r="M126" s="531"/>
      <c r="N126" s="531"/>
      <c r="O126" s="531"/>
      <c r="P126" s="531"/>
      <c r="Q126" s="531"/>
      <c r="R126" s="531"/>
      <c r="S126" s="531"/>
      <c r="T126" s="531"/>
      <c r="U126" s="531"/>
      <c r="V126" s="531"/>
      <c r="W126" s="531"/>
      <c r="X126" s="531"/>
      <c r="Y126" s="531"/>
      <c r="Z126" s="531"/>
      <c r="AA126" s="531"/>
      <c r="AB126" s="531"/>
      <c r="AC126" s="531"/>
      <c r="AD126" s="531"/>
      <c r="AE126" s="531"/>
      <c r="AF126" s="531"/>
      <c r="AG126" s="532"/>
      <c r="AH126" s="191"/>
      <c r="AI126" s="191"/>
      <c r="AJ126" s="191"/>
      <c r="AM126" s="250"/>
      <c r="AN126" s="250"/>
      <c r="AO126" s="250"/>
      <c r="AP126" s="531"/>
      <c r="AQ126" s="531"/>
      <c r="AR126" s="531"/>
      <c r="AS126" s="531"/>
      <c r="AT126" s="531"/>
      <c r="AU126" s="531"/>
      <c r="AZ126" s="250"/>
      <c r="BA126" s="250"/>
      <c r="BB126" s="250"/>
      <c r="BC126" s="250"/>
      <c r="BD126" s="250"/>
      <c r="DO126" s="245"/>
      <c r="DP126" s="245"/>
      <c r="DQ126" s="245"/>
      <c r="DR126" s="245"/>
      <c r="DS126" s="245"/>
      <c r="ED126" s="217"/>
    </row>
    <row r="127" spans="1:134" ht="26.25" customHeight="1">
      <c r="A127" s="543"/>
      <c r="B127" s="531"/>
      <c r="C127" s="531"/>
      <c r="D127" s="531"/>
      <c r="E127" s="531"/>
      <c r="F127" s="531"/>
      <c r="G127" s="531"/>
      <c r="H127" s="532"/>
      <c r="I127" s="543"/>
      <c r="J127" s="531"/>
      <c r="K127" s="531"/>
      <c r="L127" s="531"/>
      <c r="M127" s="531"/>
      <c r="N127" s="531"/>
      <c r="O127" s="531"/>
      <c r="P127" s="531"/>
      <c r="Q127" s="531"/>
      <c r="R127" s="531"/>
      <c r="S127" s="531"/>
      <c r="T127" s="531"/>
      <c r="U127" s="531"/>
      <c r="V127" s="531"/>
      <c r="W127" s="531"/>
      <c r="X127" s="531"/>
      <c r="Y127" s="531"/>
      <c r="Z127" s="531"/>
      <c r="AA127" s="531"/>
      <c r="AB127" s="531"/>
      <c r="AC127" s="531"/>
      <c r="AD127" s="531"/>
      <c r="AE127" s="531"/>
      <c r="AF127" s="531"/>
      <c r="AG127" s="532"/>
      <c r="AH127" s="191"/>
      <c r="AI127" s="191"/>
      <c r="AJ127" s="191"/>
      <c r="AM127" s="250"/>
      <c r="AN127" s="250"/>
      <c r="AO127" s="250"/>
      <c r="AP127" s="558" t="s">
        <v>486</v>
      </c>
      <c r="AQ127" s="531"/>
      <c r="AR127" s="531"/>
      <c r="AS127" s="531"/>
      <c r="AT127" s="531"/>
      <c r="AU127" s="531"/>
      <c r="BA127" s="250"/>
      <c r="BB127" s="250"/>
      <c r="BC127" s="250"/>
      <c r="BD127" s="250"/>
      <c r="BE127" s="250"/>
      <c r="BF127" s="250"/>
      <c r="BG127" s="250"/>
      <c r="BH127" s="250"/>
      <c r="BI127" s="250"/>
      <c r="BJ127" s="250"/>
      <c r="BK127" s="250"/>
      <c r="BL127" s="250"/>
      <c r="BM127" s="250"/>
      <c r="DO127" s="245"/>
      <c r="DP127" s="245"/>
      <c r="DQ127" s="245"/>
      <c r="DR127" s="245"/>
      <c r="DS127" s="245"/>
      <c r="ED127" s="217"/>
    </row>
    <row r="128" spans="1:134" ht="8.25" customHeight="1">
      <c r="A128" s="543"/>
      <c r="B128" s="531"/>
      <c r="C128" s="531"/>
      <c r="D128" s="531"/>
      <c r="E128" s="531"/>
      <c r="F128" s="531"/>
      <c r="G128" s="531"/>
      <c r="H128" s="532"/>
      <c r="I128" s="557"/>
      <c r="J128" s="531"/>
      <c r="K128" s="531"/>
      <c r="L128" s="531"/>
      <c r="M128" s="531"/>
      <c r="N128" s="531"/>
      <c r="O128" s="531"/>
      <c r="P128" s="531"/>
      <c r="Q128" s="531"/>
      <c r="R128" s="531"/>
      <c r="S128" s="531"/>
      <c r="T128" s="531"/>
      <c r="U128" s="531"/>
      <c r="V128" s="531"/>
      <c r="W128" s="531"/>
      <c r="X128" s="531"/>
      <c r="Y128" s="531"/>
      <c r="Z128" s="531"/>
      <c r="AA128" s="531"/>
      <c r="AB128" s="531"/>
      <c r="AC128" s="531"/>
      <c r="AD128" s="531"/>
      <c r="AE128" s="531"/>
      <c r="AF128" s="531"/>
      <c r="AG128" s="532"/>
      <c r="AM128" s="250"/>
      <c r="AN128" s="250"/>
      <c r="AO128" s="250"/>
      <c r="BA128" s="250"/>
      <c r="BB128" s="250"/>
      <c r="BC128" s="250"/>
      <c r="BD128" s="250"/>
      <c r="BE128" s="250"/>
      <c r="BF128" s="250"/>
      <c r="BG128" s="250"/>
      <c r="BH128" s="250"/>
      <c r="BI128" s="250"/>
      <c r="BJ128" s="250"/>
      <c r="BK128" s="250"/>
      <c r="BL128" s="250"/>
      <c r="BM128" s="250"/>
      <c r="ED128" s="217"/>
    </row>
    <row r="129" spans="1:134" ht="10.5" customHeight="1">
      <c r="A129" s="543"/>
      <c r="B129" s="531"/>
      <c r="C129" s="531"/>
      <c r="D129" s="531"/>
      <c r="E129" s="531"/>
      <c r="F129" s="531"/>
      <c r="G129" s="531"/>
      <c r="H129" s="532"/>
      <c r="I129" s="556" t="s">
        <v>487</v>
      </c>
      <c r="J129" s="531"/>
      <c r="K129" s="531"/>
      <c r="L129" s="531"/>
      <c r="M129" s="531"/>
      <c r="N129" s="531"/>
      <c r="O129" s="531"/>
      <c r="P129" s="531"/>
      <c r="Q129" s="531"/>
      <c r="R129" s="531"/>
      <c r="S129" s="531"/>
      <c r="T129" s="531"/>
      <c r="U129" s="531"/>
      <c r="V129" s="531"/>
      <c r="W129" s="531"/>
      <c r="X129" s="531"/>
      <c r="Y129" s="531"/>
      <c r="Z129" s="531"/>
      <c r="AA129" s="531"/>
      <c r="AB129" s="531"/>
      <c r="AC129" s="531"/>
      <c r="AD129" s="531"/>
      <c r="AE129" s="531"/>
      <c r="AF129" s="531"/>
      <c r="AG129" s="532"/>
      <c r="AH129" s="191"/>
      <c r="AI129" s="191"/>
      <c r="AJ129" s="191"/>
      <c r="AM129" s="250"/>
      <c r="AN129" s="250"/>
      <c r="AO129" s="250"/>
      <c r="BA129" s="250"/>
      <c r="BB129" s="250"/>
      <c r="BC129" s="250"/>
      <c r="BD129" s="250"/>
      <c r="BE129" s="250"/>
      <c r="BF129" s="250"/>
      <c r="BG129" s="250"/>
      <c r="BH129" s="250"/>
      <c r="BI129" s="250"/>
      <c r="BJ129" s="250"/>
      <c r="BK129" s="250"/>
      <c r="BL129" s="250"/>
      <c r="BM129" s="250"/>
      <c r="ED129" s="217"/>
    </row>
    <row r="130" spans="1:134" ht="12.75">
      <c r="A130" s="543"/>
      <c r="B130" s="531"/>
      <c r="C130" s="531"/>
      <c r="D130" s="531"/>
      <c r="E130" s="531"/>
      <c r="F130" s="531"/>
      <c r="G130" s="531"/>
      <c r="H130" s="532"/>
      <c r="I130" s="543"/>
      <c r="J130" s="531"/>
      <c r="K130" s="531"/>
      <c r="L130" s="531"/>
      <c r="M130" s="531"/>
      <c r="N130" s="531"/>
      <c r="O130" s="531"/>
      <c r="P130" s="531"/>
      <c r="Q130" s="531"/>
      <c r="R130" s="531"/>
      <c r="S130" s="531"/>
      <c r="T130" s="531"/>
      <c r="U130" s="531"/>
      <c r="V130" s="531"/>
      <c r="W130" s="531"/>
      <c r="X130" s="531"/>
      <c r="Y130" s="531"/>
      <c r="Z130" s="531"/>
      <c r="AA130" s="531"/>
      <c r="AB130" s="531"/>
      <c r="AC130" s="531"/>
      <c r="AD130" s="531"/>
      <c r="AE130" s="531"/>
      <c r="AF130" s="531"/>
      <c r="AG130" s="532"/>
      <c r="AH130" s="191"/>
      <c r="AI130" s="191"/>
      <c r="AJ130" s="191"/>
      <c r="AM130" s="250"/>
      <c r="AN130" s="250"/>
      <c r="AO130" s="250"/>
      <c r="BA130" s="250"/>
      <c r="BB130" s="250"/>
      <c r="BC130" s="250"/>
      <c r="BD130" s="250"/>
      <c r="BE130" s="250"/>
      <c r="BF130" s="250"/>
      <c r="BG130" s="250"/>
      <c r="BH130" s="250"/>
      <c r="BI130" s="250"/>
      <c r="BJ130" s="250"/>
      <c r="BK130" s="250"/>
      <c r="BL130" s="250"/>
      <c r="BM130" s="250"/>
      <c r="ED130" s="217"/>
    </row>
    <row r="131" spans="1:134" ht="4.5" customHeight="1">
      <c r="A131" s="543"/>
      <c r="B131" s="531"/>
      <c r="C131" s="531"/>
      <c r="D131" s="531"/>
      <c r="E131" s="531"/>
      <c r="F131" s="531"/>
      <c r="G131" s="531"/>
      <c r="H131" s="532"/>
      <c r="I131" s="557"/>
      <c r="J131" s="531"/>
      <c r="K131" s="531"/>
      <c r="L131" s="531"/>
      <c r="M131" s="531"/>
      <c r="N131" s="531"/>
      <c r="O131" s="531"/>
      <c r="P131" s="531"/>
      <c r="Q131" s="531"/>
      <c r="R131" s="531"/>
      <c r="S131" s="531"/>
      <c r="T131" s="531"/>
      <c r="U131" s="531"/>
      <c r="V131" s="531"/>
      <c r="W131" s="531"/>
      <c r="X131" s="531"/>
      <c r="Y131" s="531"/>
      <c r="Z131" s="531"/>
      <c r="AA131" s="531"/>
      <c r="AB131" s="531"/>
      <c r="AC131" s="531"/>
      <c r="AD131" s="531"/>
      <c r="AE131" s="531"/>
      <c r="AF131" s="531"/>
      <c r="AG131" s="532"/>
      <c r="AM131" s="250"/>
      <c r="AN131" s="250"/>
      <c r="AO131" s="250"/>
      <c r="BA131" s="250"/>
      <c r="BB131" s="250"/>
      <c r="BC131" s="250"/>
      <c r="BD131" s="250"/>
      <c r="BE131" s="250"/>
      <c r="BF131" s="250"/>
      <c r="BG131" s="250"/>
      <c r="BH131" s="250"/>
      <c r="BI131" s="250"/>
      <c r="BJ131" s="250"/>
      <c r="BK131" s="250"/>
      <c r="BL131" s="250"/>
      <c r="BM131" s="250"/>
      <c r="ED131" s="217"/>
    </row>
    <row r="132" spans="1:134" ht="8.25" customHeight="1">
      <c r="A132" s="543"/>
      <c r="B132" s="531"/>
      <c r="C132" s="531"/>
      <c r="D132" s="531"/>
      <c r="E132" s="531"/>
      <c r="F132" s="531"/>
      <c r="G132" s="531"/>
      <c r="H132" s="532"/>
      <c r="I132" s="556" t="s">
        <v>488</v>
      </c>
      <c r="J132" s="531"/>
      <c r="K132" s="531"/>
      <c r="L132" s="531"/>
      <c r="M132" s="531"/>
      <c r="N132" s="531"/>
      <c r="O132" s="531"/>
      <c r="P132" s="531"/>
      <c r="Q132" s="531"/>
      <c r="R132" s="531"/>
      <c r="S132" s="531"/>
      <c r="T132" s="531"/>
      <c r="U132" s="531"/>
      <c r="V132" s="531"/>
      <c r="W132" s="531"/>
      <c r="X132" s="531"/>
      <c r="Y132" s="531"/>
      <c r="Z132" s="531"/>
      <c r="AA132" s="531"/>
      <c r="AB132" s="531"/>
      <c r="AC132" s="531"/>
      <c r="AD132" s="531"/>
      <c r="AE132" s="531"/>
      <c r="AF132" s="531"/>
      <c r="AG132" s="532"/>
      <c r="AH132" s="191"/>
      <c r="AI132" s="191"/>
      <c r="AJ132" s="191"/>
      <c r="AM132" s="250"/>
      <c r="AN132" s="250"/>
      <c r="AO132" s="250"/>
      <c r="BA132" s="250"/>
      <c r="BB132" s="250"/>
      <c r="BC132" s="250"/>
      <c r="BD132" s="250"/>
      <c r="BE132" s="250"/>
      <c r="BF132" s="250"/>
      <c r="BG132" s="250"/>
      <c r="BH132" s="250"/>
      <c r="BI132" s="250"/>
      <c r="BJ132" s="250"/>
      <c r="BK132" s="250"/>
      <c r="BL132" s="250"/>
      <c r="BM132" s="250"/>
      <c r="ED132" s="217"/>
    </row>
    <row r="133" spans="1:134" ht="14.25" customHeight="1">
      <c r="I133" s="543"/>
      <c r="J133" s="531"/>
      <c r="K133" s="531"/>
      <c r="L133" s="531"/>
      <c r="M133" s="531"/>
      <c r="N133" s="531"/>
      <c r="O133" s="531"/>
      <c r="P133" s="531"/>
      <c r="Q133" s="531"/>
      <c r="R133" s="531"/>
      <c r="S133" s="531"/>
      <c r="T133" s="531"/>
      <c r="U133" s="531"/>
      <c r="V133" s="531"/>
      <c r="W133" s="531"/>
      <c r="X133" s="531"/>
      <c r="Y133" s="531"/>
      <c r="Z133" s="531"/>
      <c r="AA133" s="531"/>
      <c r="AB133" s="531"/>
      <c r="AC133" s="531"/>
      <c r="AD133" s="531"/>
      <c r="AE133" s="531"/>
      <c r="AF133" s="531"/>
      <c r="AG133" s="532"/>
      <c r="AH133" s="191"/>
      <c r="AI133" s="191"/>
      <c r="AJ133" s="191"/>
      <c r="AM133" s="250"/>
      <c r="AN133" s="250"/>
      <c r="AO133" s="250"/>
      <c r="BA133" s="250"/>
      <c r="BB133" s="250"/>
      <c r="BC133" s="250"/>
      <c r="BD133" s="250"/>
      <c r="BE133" s="250"/>
      <c r="BF133" s="250"/>
      <c r="BG133" s="250"/>
      <c r="BH133" s="250"/>
      <c r="BI133" s="250"/>
      <c r="BJ133" s="250"/>
      <c r="BK133" s="250"/>
      <c r="BL133" s="250"/>
      <c r="BM133" s="250"/>
      <c r="ED133" s="217"/>
    </row>
    <row r="134" spans="1:134" ht="17.25" customHeight="1">
      <c r="A134" s="551"/>
      <c r="B134" s="531"/>
      <c r="C134" s="531"/>
      <c r="D134" s="531"/>
      <c r="E134" s="531"/>
      <c r="F134" s="531"/>
      <c r="G134" s="531"/>
      <c r="H134" s="531"/>
      <c r="I134" s="543"/>
      <c r="J134" s="531"/>
      <c r="K134" s="531"/>
      <c r="L134" s="531"/>
      <c r="M134" s="531"/>
      <c r="N134" s="531"/>
      <c r="O134" s="531"/>
      <c r="P134" s="531"/>
      <c r="Q134" s="531"/>
      <c r="R134" s="531"/>
      <c r="S134" s="531"/>
      <c r="T134" s="531"/>
      <c r="U134" s="531"/>
      <c r="V134" s="531"/>
      <c r="W134" s="531"/>
      <c r="X134" s="531"/>
      <c r="Y134" s="531"/>
      <c r="Z134" s="531"/>
      <c r="AA134" s="531"/>
      <c r="AB134" s="531"/>
      <c r="AC134" s="531"/>
      <c r="AD134" s="531"/>
      <c r="AE134" s="531"/>
      <c r="AF134" s="531"/>
      <c r="AG134" s="532"/>
      <c r="AH134" s="191"/>
      <c r="AI134" s="191"/>
      <c r="AJ134" s="191"/>
      <c r="AM134" s="250"/>
      <c r="AN134" s="250"/>
      <c r="AO134" s="250"/>
      <c r="BA134" s="250"/>
      <c r="BB134" s="250"/>
      <c r="BC134" s="250"/>
      <c r="BD134" s="250"/>
      <c r="BE134" s="250"/>
      <c r="BF134" s="250"/>
      <c r="BG134" s="250"/>
      <c r="BH134" s="250"/>
      <c r="BI134" s="250"/>
      <c r="BJ134" s="250"/>
      <c r="BK134" s="250"/>
      <c r="BL134" s="250"/>
      <c r="BM134" s="250"/>
      <c r="ED134" s="217"/>
    </row>
    <row r="135" spans="1:134" ht="17.25" customHeight="1">
      <c r="A135" s="552"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B135" s="531"/>
      <c r="C135" s="531"/>
      <c r="D135" s="531"/>
      <c r="E135" s="531"/>
      <c r="F135" s="531"/>
      <c r="G135" s="531"/>
      <c r="H135" s="531"/>
      <c r="I135" s="539"/>
      <c r="J135" s="540"/>
      <c r="K135" s="540"/>
      <c r="L135" s="540"/>
      <c r="M135" s="540"/>
      <c r="N135" s="540"/>
      <c r="O135" s="540"/>
      <c r="P135" s="540"/>
      <c r="Q135" s="540"/>
      <c r="R135" s="540"/>
      <c r="S135" s="540"/>
      <c r="T135" s="540"/>
      <c r="U135" s="540"/>
      <c r="V135" s="540"/>
      <c r="W135" s="540"/>
      <c r="X135" s="540"/>
      <c r="Y135" s="540"/>
      <c r="Z135" s="540"/>
      <c r="AA135" s="540"/>
      <c r="AB135" s="540"/>
      <c r="AC135" s="540"/>
      <c r="AD135" s="540"/>
      <c r="AE135" s="540"/>
      <c r="AF135" s="540"/>
      <c r="AG135" s="542"/>
      <c r="AH135" s="191"/>
      <c r="AI135" s="191"/>
      <c r="AJ135" s="191"/>
      <c r="AM135" s="250"/>
      <c r="AN135" s="250"/>
      <c r="AO135" s="250"/>
      <c r="BA135" s="250"/>
      <c r="BB135" s="250"/>
      <c r="BC135" s="250"/>
      <c r="BD135" s="250"/>
      <c r="BE135" s="250"/>
      <c r="BF135" s="250"/>
      <c r="BG135" s="250"/>
      <c r="BH135" s="250"/>
      <c r="BI135" s="250"/>
      <c r="BJ135" s="250"/>
      <c r="BK135" s="250"/>
      <c r="BL135" s="250"/>
      <c r="BM135" s="250"/>
      <c r="ED135" s="217"/>
    </row>
    <row r="136" spans="1:134" ht="16.5" customHeight="1">
      <c r="A136" s="531"/>
      <c r="B136" s="531"/>
      <c r="C136" s="531"/>
      <c r="D136" s="531"/>
      <c r="E136" s="531"/>
      <c r="F136" s="531"/>
      <c r="G136" s="531"/>
      <c r="H136" s="531"/>
      <c r="AM136" s="250"/>
      <c r="AN136" s="250"/>
      <c r="AO136" s="250"/>
      <c r="BA136" s="250"/>
      <c r="BB136" s="250"/>
      <c r="BC136" s="250"/>
      <c r="BD136" s="250"/>
      <c r="BE136" s="250"/>
      <c r="BF136" s="250"/>
      <c r="BG136" s="250"/>
      <c r="BH136" s="250"/>
      <c r="BI136" s="250"/>
      <c r="BJ136" s="250"/>
      <c r="BK136" s="250"/>
      <c r="BL136" s="250"/>
      <c r="BM136" s="250"/>
      <c r="ED136" s="217"/>
    </row>
    <row r="137" spans="1:134" ht="17.25" customHeight="1">
      <c r="A137" s="531"/>
      <c r="B137" s="531"/>
      <c r="C137" s="531"/>
      <c r="D137" s="531"/>
      <c r="E137" s="531"/>
      <c r="F137" s="531"/>
      <c r="G137" s="531"/>
      <c r="H137" s="531"/>
      <c r="AM137" s="250"/>
      <c r="AN137" s="250"/>
      <c r="AO137" s="250"/>
      <c r="BA137" s="250"/>
      <c r="BB137" s="250"/>
      <c r="BC137" s="250"/>
      <c r="BD137" s="250"/>
      <c r="BE137" s="250"/>
      <c r="BF137" s="250"/>
      <c r="BG137" s="250"/>
      <c r="BH137" s="250"/>
      <c r="BI137" s="250"/>
      <c r="BJ137" s="250"/>
      <c r="BK137" s="250"/>
      <c r="BL137" s="250"/>
      <c r="BM137" s="250"/>
      <c r="ED137" s="217"/>
    </row>
    <row r="138" spans="1:134" ht="16.5" customHeight="1">
      <c r="A138" s="531"/>
      <c r="B138" s="531"/>
      <c r="C138" s="531"/>
      <c r="D138" s="531"/>
      <c r="E138" s="531"/>
      <c r="F138" s="531"/>
      <c r="G138" s="531"/>
      <c r="H138" s="531"/>
      <c r="AM138" s="250"/>
      <c r="AN138" s="250"/>
      <c r="AO138" s="250"/>
      <c r="BA138" s="250"/>
      <c r="BB138" s="250"/>
      <c r="BC138" s="250"/>
      <c r="BD138" s="250"/>
      <c r="BE138" s="250"/>
      <c r="BF138" s="250"/>
      <c r="BG138" s="250"/>
      <c r="BH138" s="250"/>
      <c r="BI138" s="250"/>
      <c r="BJ138" s="250"/>
      <c r="BK138" s="250"/>
      <c r="BL138" s="250"/>
      <c r="BM138" s="250"/>
      <c r="ED138" s="217"/>
    </row>
    <row r="139" spans="1:134" ht="12.75">
      <c r="A139" s="531"/>
      <c r="B139" s="531"/>
      <c r="C139" s="531"/>
      <c r="D139" s="531"/>
      <c r="E139" s="531"/>
      <c r="F139" s="531"/>
      <c r="G139" s="531"/>
      <c r="H139" s="531"/>
      <c r="AM139" s="250"/>
      <c r="AN139" s="250"/>
      <c r="AO139" s="250"/>
      <c r="BA139" s="250"/>
      <c r="BB139" s="250"/>
      <c r="BC139" s="250"/>
      <c r="BD139" s="250"/>
      <c r="BE139" s="250"/>
      <c r="BF139" s="250"/>
      <c r="BG139" s="250"/>
      <c r="BH139" s="250"/>
      <c r="BI139" s="250"/>
      <c r="BJ139" s="250"/>
      <c r="BK139" s="250"/>
      <c r="BL139" s="250"/>
      <c r="BM139" s="250"/>
      <c r="ED139" s="217"/>
    </row>
    <row r="140" spans="1:134" ht="18.75" customHeight="1">
      <c r="I140" s="194"/>
      <c r="J140" s="194"/>
      <c r="T140" s="194"/>
      <c r="U140" s="194"/>
      <c r="V140" s="194"/>
      <c r="W140" s="194"/>
      <c r="X140" s="194"/>
      <c r="Y140" s="194"/>
      <c r="Z140" s="194"/>
      <c r="AA140" s="194"/>
      <c r="AB140" s="194"/>
      <c r="AC140" s="194"/>
      <c r="AD140" s="194"/>
      <c r="AE140" s="253"/>
      <c r="AF140" s="253"/>
      <c r="AG140" s="253"/>
      <c r="AH140" s="253"/>
      <c r="AI140" s="253"/>
      <c r="AJ140" s="253"/>
      <c r="AM140" s="250"/>
      <c r="AN140" s="250"/>
      <c r="AO140" s="250"/>
      <c r="BA140" s="250"/>
      <c r="BB140" s="250"/>
      <c r="BC140" s="250"/>
      <c r="BD140" s="250"/>
      <c r="BE140" s="250"/>
      <c r="BF140" s="250"/>
      <c r="BG140" s="250"/>
      <c r="BH140" s="250"/>
      <c r="BI140" s="250"/>
      <c r="BJ140" s="250"/>
      <c r="BK140" s="250"/>
      <c r="BL140" s="250"/>
      <c r="BM140" s="250"/>
      <c r="ED140" s="217"/>
    </row>
    <row r="141" spans="1:134" ht="18.75" customHeight="1">
      <c r="AE141" s="253"/>
      <c r="AF141" s="253"/>
      <c r="AG141" s="253"/>
      <c r="AH141" s="253"/>
      <c r="AI141" s="253"/>
      <c r="AJ141" s="253"/>
      <c r="AM141" s="250"/>
      <c r="AN141" s="250"/>
      <c r="AO141" s="250"/>
      <c r="BA141" s="250"/>
      <c r="BB141" s="250"/>
      <c r="BC141" s="250"/>
      <c r="BD141" s="250"/>
      <c r="BE141" s="250"/>
      <c r="BF141" s="250"/>
      <c r="BG141" s="250"/>
      <c r="BH141" s="250"/>
      <c r="BI141" s="250"/>
      <c r="BJ141" s="250"/>
      <c r="BK141" s="250"/>
      <c r="BL141" s="250"/>
      <c r="BM141" s="250"/>
      <c r="DU141" s="254"/>
      <c r="ED141" s="217"/>
    </row>
    <row r="142" spans="1:134" ht="12.75">
      <c r="AE142" s="253"/>
      <c r="AF142" s="253"/>
      <c r="AG142" s="253"/>
      <c r="AH142" s="253"/>
      <c r="AI142" s="253"/>
      <c r="AJ142" s="253"/>
      <c r="AM142" s="250"/>
      <c r="AN142" s="250"/>
      <c r="AO142" s="250"/>
      <c r="BA142" s="250"/>
      <c r="BB142" s="250"/>
      <c r="BC142" s="250"/>
      <c r="BD142" s="250"/>
      <c r="BE142" s="250"/>
      <c r="BF142" s="250"/>
      <c r="BG142" s="250"/>
      <c r="BH142" s="250"/>
      <c r="BI142" s="250"/>
      <c r="BJ142" s="250"/>
      <c r="BK142" s="250"/>
      <c r="BL142" s="250"/>
      <c r="BM142" s="250"/>
      <c r="DU142" s="254"/>
      <c r="ED142" s="217"/>
    </row>
    <row r="143" spans="1:134" ht="20.25" customHeight="1">
      <c r="K143" s="544" t="s">
        <v>489</v>
      </c>
      <c r="L143" s="531"/>
      <c r="M143" s="531"/>
      <c r="N143" s="531"/>
      <c r="O143" s="531"/>
      <c r="P143" s="531"/>
      <c r="Q143" s="531"/>
      <c r="R143" s="531"/>
      <c r="S143" s="531"/>
      <c r="AE143" s="253"/>
      <c r="AF143" s="253"/>
      <c r="AG143" s="253"/>
      <c r="AH143" s="253"/>
      <c r="AI143" s="253"/>
      <c r="AJ143" s="253"/>
      <c r="AM143" s="250"/>
      <c r="AN143" s="250"/>
      <c r="AO143" s="250"/>
      <c r="BA143" s="250"/>
      <c r="BB143" s="250"/>
      <c r="BC143" s="250"/>
      <c r="BD143" s="250"/>
      <c r="BE143" s="250"/>
      <c r="BF143" s="250"/>
      <c r="BG143" s="250"/>
      <c r="BH143" s="250"/>
      <c r="BI143" s="250"/>
      <c r="BJ143" s="250"/>
      <c r="BK143" s="250"/>
      <c r="BL143" s="250"/>
      <c r="BM143" s="250"/>
      <c r="DU143" s="254"/>
      <c r="ED143" s="217"/>
    </row>
    <row r="144" spans="1:134" ht="21.75" customHeight="1">
      <c r="K144" s="591" t="s">
        <v>490</v>
      </c>
      <c r="L144" s="536"/>
      <c r="M144" s="536"/>
      <c r="N144" s="545">
        <f>(Q144*100/2225269)*1000</f>
        <v>591.29929909597445</v>
      </c>
      <c r="O144" s="589" t="s">
        <v>491</v>
      </c>
      <c r="P144" s="536"/>
      <c r="Q144" s="590">
        <f>SUM(AK108,AP108,BD108,BN108,DI108,DO108)</f>
        <v>13158</v>
      </c>
      <c r="R144" s="536"/>
      <c r="S144" s="546">
        <f>SUM(AL108,AQ108,BE108,BO108,DJ108,DP108)</f>
        <v>714</v>
      </c>
      <c r="AE144" s="253"/>
      <c r="AF144" s="253"/>
      <c r="AG144" s="253"/>
      <c r="AH144" s="253"/>
      <c r="AI144" s="253"/>
      <c r="AJ144" s="253"/>
      <c r="AN144" s="250"/>
      <c r="AO144" s="250"/>
      <c r="BA144" s="250"/>
      <c r="BB144" s="250"/>
      <c r="BC144" s="250"/>
      <c r="BD144" s="250"/>
      <c r="BE144" s="250"/>
      <c r="BF144" s="250"/>
      <c r="BG144" s="250"/>
      <c r="BH144" s="250"/>
      <c r="BI144" s="250"/>
      <c r="BJ144" s="250"/>
      <c r="BK144" s="250"/>
      <c r="BL144" s="250"/>
      <c r="BM144" s="250"/>
      <c r="DU144" s="254"/>
      <c r="ED144" s="217"/>
    </row>
    <row r="145" spans="2:134" ht="18" customHeight="1">
      <c r="K145" s="543"/>
      <c r="L145" s="531"/>
      <c r="M145" s="531"/>
      <c r="N145" s="531"/>
      <c r="O145" s="531"/>
      <c r="P145" s="531"/>
      <c r="Q145" s="531"/>
      <c r="R145" s="531"/>
      <c r="S145" s="532"/>
      <c r="AE145" s="253"/>
      <c r="AF145" s="253"/>
      <c r="AG145" s="253"/>
      <c r="AH145" s="253"/>
      <c r="AI145" s="253"/>
      <c r="AJ145" s="253"/>
      <c r="DU145" s="254"/>
      <c r="ED145" s="217"/>
    </row>
    <row r="146" spans="2:134" ht="12.75">
      <c r="K146" s="543"/>
      <c r="L146" s="531"/>
      <c r="M146" s="531"/>
      <c r="N146" s="531"/>
      <c r="O146" s="531"/>
      <c r="P146" s="531"/>
      <c r="Q146" s="531"/>
      <c r="R146" s="531"/>
      <c r="S146" s="532"/>
      <c r="AE146" s="253"/>
      <c r="AF146" s="253"/>
      <c r="AG146" s="253"/>
      <c r="AH146" s="253"/>
      <c r="AI146" s="253"/>
      <c r="AJ146" s="253"/>
      <c r="DU146" s="254"/>
      <c r="ED146" s="217"/>
    </row>
    <row r="147" spans="2:134" ht="17.25" customHeight="1">
      <c r="K147" s="543"/>
      <c r="L147" s="531"/>
      <c r="M147" s="531"/>
      <c r="N147" s="531"/>
      <c r="O147" s="531"/>
      <c r="P147" s="531"/>
      <c r="Q147" s="531"/>
      <c r="R147" s="531"/>
      <c r="S147" s="532"/>
      <c r="AE147" s="253"/>
      <c r="AF147" s="253"/>
      <c r="AG147" s="253"/>
      <c r="AH147" s="253"/>
      <c r="AI147" s="253"/>
      <c r="AJ147" s="253"/>
      <c r="DU147" s="254"/>
      <c r="ED147" s="217"/>
    </row>
    <row r="148" spans="2:134" ht="12.75">
      <c r="K148" s="543"/>
      <c r="L148" s="531"/>
      <c r="M148" s="531"/>
      <c r="N148" s="531"/>
      <c r="O148" s="531"/>
      <c r="P148" s="531"/>
      <c r="Q148" s="531"/>
      <c r="R148" s="531"/>
      <c r="S148" s="532"/>
      <c r="AE148" s="253"/>
      <c r="AF148" s="253"/>
      <c r="AG148" s="253"/>
      <c r="AH148" s="253"/>
      <c r="AI148" s="253"/>
      <c r="AJ148" s="253"/>
      <c r="DU148" s="254"/>
      <c r="ED148" s="217"/>
    </row>
    <row r="149" spans="2:134" ht="12.75">
      <c r="K149" s="557"/>
      <c r="L149" s="531"/>
      <c r="M149" s="531"/>
      <c r="N149" s="531"/>
      <c r="O149" s="531"/>
      <c r="P149" s="531"/>
      <c r="Q149" s="531"/>
      <c r="R149" s="531"/>
      <c r="S149" s="532"/>
      <c r="AE149" s="253"/>
      <c r="AF149" s="253"/>
      <c r="AG149" s="253"/>
      <c r="AH149" s="253"/>
      <c r="AI149" s="253"/>
      <c r="AJ149" s="253"/>
      <c r="DU149" s="254"/>
      <c r="ED149" s="217"/>
    </row>
    <row r="150" spans="2:134" ht="12.75">
      <c r="K150" s="592" t="s">
        <v>492</v>
      </c>
      <c r="L150" s="531"/>
      <c r="M150" s="531"/>
      <c r="N150" s="244">
        <f>(Q150*100/5986548)*1000</f>
        <v>187.72087019096813</v>
      </c>
      <c r="O150" s="593" t="s">
        <v>491</v>
      </c>
      <c r="P150" s="531"/>
      <c r="Q150" s="594">
        <f>SUM(I108,L108,O108,U108,Z108,AE108,AV108,AZ108,BI108,BT108,BY108,CC108,CH108,CM108,CP108,CZ108,DE108,DT108,DY108)</f>
        <v>11238</v>
      </c>
      <c r="R150" s="531"/>
      <c r="S150" s="265">
        <f>SUM(J108,M108,P108,V108,AA108,AF108,AW108,BA108,BJ108,BU108,BZ108,CD108,CI108,CN108,CQ108,DA108,DF108,DU108,DZ108)</f>
        <v>396</v>
      </c>
      <c r="DU150" s="254"/>
      <c r="ED150" s="217"/>
    </row>
    <row r="151" spans="2:134" ht="12.75">
      <c r="K151" s="592"/>
      <c r="L151" s="531"/>
      <c r="M151" s="531"/>
      <c r="N151" s="531"/>
      <c r="O151" s="531"/>
      <c r="P151" s="531"/>
      <c r="Q151" s="531"/>
      <c r="R151" s="531"/>
      <c r="S151" s="532"/>
      <c r="DU151" s="254"/>
      <c r="ED151" s="217"/>
    </row>
    <row r="152" spans="2:134" ht="12.75">
      <c r="K152" s="596" t="s">
        <v>495</v>
      </c>
      <c r="L152" s="540"/>
      <c r="M152" s="540"/>
      <c r="N152" s="266">
        <f>(Q152*100/353343)*1000</f>
        <v>847.335308750987</v>
      </c>
      <c r="O152" s="547" t="s">
        <v>491</v>
      </c>
      <c r="P152" s="540"/>
      <c r="Q152" s="548">
        <f>CT108</f>
        <v>2994</v>
      </c>
      <c r="R152" s="540"/>
      <c r="S152" s="267">
        <f>CU108</f>
        <v>277</v>
      </c>
      <c r="DE152" s="599" t="s">
        <v>496</v>
      </c>
      <c r="DF152" s="531"/>
      <c r="DG152" s="531"/>
      <c r="DH152" s="531"/>
      <c r="DI152" s="531"/>
      <c r="DJ152" s="531"/>
      <c r="DK152" s="531"/>
      <c r="DL152" s="531"/>
      <c r="DM152" s="531"/>
      <c r="DN152" s="531"/>
      <c r="DO152" s="531"/>
      <c r="DP152" s="531"/>
      <c r="DQ152" s="531"/>
      <c r="DR152" s="531"/>
      <c r="DS152" s="531"/>
      <c r="DT152" s="531"/>
      <c r="DU152" s="254"/>
      <c r="ED152" s="217"/>
    </row>
    <row r="153" spans="2:134" ht="12.75">
      <c r="B153" s="268"/>
      <c r="AP153" s="530" t="s">
        <v>28</v>
      </c>
      <c r="AQ153" s="531"/>
      <c r="AR153" s="531"/>
      <c r="AS153" s="531"/>
      <c r="AT153" s="531"/>
      <c r="AU153" s="532"/>
      <c r="DE153" s="600" t="s">
        <v>132</v>
      </c>
      <c r="DF153" s="536"/>
      <c r="DG153" s="536"/>
      <c r="DH153" s="536"/>
      <c r="DI153" s="536"/>
      <c r="DJ153" s="536"/>
      <c r="DK153" s="536"/>
      <c r="DL153" s="537"/>
      <c r="DO153" s="600" t="s">
        <v>45</v>
      </c>
      <c r="DP153" s="536"/>
      <c r="DQ153" s="536"/>
      <c r="DR153" s="536"/>
      <c r="DS153" s="536"/>
      <c r="DT153" s="537"/>
      <c r="DU153" s="254"/>
      <c r="ED153" s="217"/>
    </row>
    <row r="154" spans="2:134" ht="12.75">
      <c r="AP154" s="531"/>
      <c r="AQ154" s="531"/>
      <c r="AR154" s="531"/>
      <c r="AS154" s="531"/>
      <c r="AT154" s="531"/>
      <c r="AU154" s="532"/>
      <c r="DE154" s="539"/>
      <c r="DF154" s="540"/>
      <c r="DG154" s="540"/>
      <c r="DH154" s="540"/>
      <c r="DI154" s="540"/>
      <c r="DJ154" s="540"/>
      <c r="DK154" s="540"/>
      <c r="DL154" s="542"/>
      <c r="DO154" s="539"/>
      <c r="DP154" s="540"/>
      <c r="DQ154" s="540"/>
      <c r="DR154" s="540"/>
      <c r="DS154" s="540"/>
      <c r="DT154" s="542"/>
      <c r="DU154" s="254"/>
      <c r="ED154" s="217"/>
    </row>
    <row r="155" spans="2:134" ht="12.75">
      <c r="AP155" s="530" t="s">
        <v>56</v>
      </c>
      <c r="AQ155" s="531"/>
      <c r="AR155" s="531"/>
      <c r="AS155" s="531"/>
      <c r="AT155" s="531"/>
      <c r="AU155" s="532"/>
      <c r="DE155" s="549" t="s">
        <v>48</v>
      </c>
      <c r="DF155" s="574"/>
      <c r="DG155" s="574"/>
      <c r="DH155" s="574"/>
      <c r="DI155" s="574"/>
      <c r="DJ155" s="574"/>
      <c r="DK155" s="574"/>
      <c r="DL155" s="550"/>
      <c r="DO155" s="549" t="s">
        <v>72</v>
      </c>
      <c r="DP155" s="574"/>
      <c r="DQ155" s="574"/>
      <c r="DR155" s="574"/>
      <c r="DS155" s="574"/>
      <c r="DT155" s="550"/>
      <c r="DU155" s="254"/>
      <c r="ED155" s="217"/>
    </row>
    <row r="156" spans="2:134" ht="12.75">
      <c r="AP156" s="530"/>
      <c r="AQ156" s="531"/>
      <c r="AR156" s="531"/>
      <c r="AS156" s="531"/>
      <c r="AT156" s="531"/>
      <c r="AU156" s="532"/>
      <c r="DE156" s="549"/>
      <c r="DF156" s="574"/>
      <c r="DG156" s="574"/>
      <c r="DH156" s="574"/>
      <c r="DI156" s="574"/>
      <c r="DJ156" s="574"/>
      <c r="DK156" s="574"/>
      <c r="DL156" s="550"/>
      <c r="DO156" s="549"/>
      <c r="DP156" s="574"/>
      <c r="DQ156" s="574"/>
      <c r="DR156" s="574"/>
      <c r="DS156" s="574"/>
      <c r="DT156" s="550"/>
      <c r="DU156" s="254"/>
      <c r="ED156" s="217"/>
    </row>
    <row r="157" spans="2:134" ht="12.75">
      <c r="AP157" s="549" t="s">
        <v>499</v>
      </c>
      <c r="AQ157" s="550"/>
      <c r="AR157" s="196" t="s">
        <v>362</v>
      </c>
      <c r="AS157" s="269" t="s">
        <v>99</v>
      </c>
      <c r="AT157" s="270" t="s">
        <v>100</v>
      </c>
      <c r="AU157" s="271" t="s">
        <v>363</v>
      </c>
      <c r="DE157" s="601" t="s">
        <v>16</v>
      </c>
      <c r="DF157" s="574"/>
      <c r="DG157" s="574"/>
      <c r="DH157" s="550"/>
      <c r="DI157" s="196" t="s">
        <v>362</v>
      </c>
      <c r="DJ157" s="197" t="s">
        <v>99</v>
      </c>
      <c r="DK157" s="198" t="s">
        <v>100</v>
      </c>
      <c r="DL157" s="271" t="s">
        <v>363</v>
      </c>
      <c r="DO157" s="549" t="s">
        <v>499</v>
      </c>
      <c r="DP157" s="550"/>
      <c r="DQ157" s="196" t="s">
        <v>362</v>
      </c>
      <c r="DR157" s="269" t="s">
        <v>99</v>
      </c>
      <c r="DS157" s="270" t="s">
        <v>100</v>
      </c>
      <c r="DT157" s="271" t="s">
        <v>363</v>
      </c>
      <c r="DU157" s="254"/>
      <c r="ED157" s="217"/>
    </row>
    <row r="158" spans="2:134" ht="13.5">
      <c r="K158" s="598" t="s">
        <v>500</v>
      </c>
      <c r="L158" s="536"/>
      <c r="M158" s="536"/>
      <c r="N158" s="536"/>
      <c r="O158" s="536"/>
      <c r="P158" s="536"/>
      <c r="Q158" s="536"/>
      <c r="R158" s="536"/>
      <c r="S158" s="536"/>
      <c r="T158" s="536"/>
      <c r="U158" s="536"/>
      <c r="V158" s="536"/>
      <c r="W158" s="536"/>
      <c r="X158" s="536"/>
      <c r="Y158" s="537"/>
      <c r="AP158" s="272" t="s">
        <v>501</v>
      </c>
      <c r="AQ158" s="273">
        <v>43894</v>
      </c>
      <c r="AR158" s="274" t="s">
        <v>502</v>
      </c>
      <c r="AS158" s="275">
        <f t="shared" ref="AS158:AT158" si="153">AP63</f>
        <v>9</v>
      </c>
      <c r="AT158" s="276">
        <f t="shared" si="153"/>
        <v>0</v>
      </c>
      <c r="AU158" s="274" t="s">
        <v>503</v>
      </c>
      <c r="DE158" s="588" t="s">
        <v>504</v>
      </c>
      <c r="DF158" s="574"/>
      <c r="DG158" s="574"/>
      <c r="DH158" s="550"/>
      <c r="DI158" s="274" t="s">
        <v>502</v>
      </c>
      <c r="DJ158" s="277">
        <f t="shared" ref="DJ158:DK158" si="154">B63</f>
        <v>93</v>
      </c>
      <c r="DK158" s="278">
        <f t="shared" si="154"/>
        <v>0</v>
      </c>
      <c r="DL158" s="274" t="s">
        <v>503</v>
      </c>
      <c r="DO158" s="272" t="s">
        <v>501</v>
      </c>
      <c r="DP158" s="273">
        <v>43894</v>
      </c>
      <c r="DQ158" s="274" t="s">
        <v>502</v>
      </c>
      <c r="DR158" s="279">
        <f t="shared" ref="DR158:DS158" si="155">DO63</f>
        <v>8</v>
      </c>
      <c r="DS158" s="276">
        <f t="shared" si="155"/>
        <v>0</v>
      </c>
      <c r="DT158" s="274" t="s">
        <v>503</v>
      </c>
      <c r="DU158" s="254"/>
      <c r="ED158" s="217"/>
    </row>
    <row r="159" spans="2:134" ht="15">
      <c r="K159" s="586" t="s">
        <v>505</v>
      </c>
      <c r="L159" s="531"/>
      <c r="M159" s="531"/>
      <c r="N159" s="531"/>
      <c r="O159" s="531"/>
      <c r="P159" s="531"/>
      <c r="Q159" s="531"/>
      <c r="R159" s="531"/>
      <c r="S159" s="531"/>
      <c r="T159" s="531"/>
      <c r="U159" s="531"/>
      <c r="V159" s="531"/>
      <c r="W159" s="531"/>
      <c r="X159" s="531"/>
      <c r="Y159" s="532"/>
      <c r="AP159" s="272" t="s">
        <v>506</v>
      </c>
      <c r="AQ159" s="281">
        <v>43895</v>
      </c>
      <c r="AR159" s="282" t="str">
        <f t="shared" ref="AR159:AR204" si="156">CONCATENATE("+",AS159-AS158)</f>
        <v>+4</v>
      </c>
      <c r="AS159" s="275">
        <f t="shared" ref="AS159:AT159" si="157">AP64</f>
        <v>13</v>
      </c>
      <c r="AT159" s="283">
        <f t="shared" si="157"/>
        <v>0</v>
      </c>
      <c r="AU159" s="282" t="str">
        <f t="shared" ref="AU159:AU204" si="158">CONCATENATE("+",AT159-AT158)</f>
        <v>+0</v>
      </c>
      <c r="DE159" s="588" t="s">
        <v>507</v>
      </c>
      <c r="DF159" s="574"/>
      <c r="DG159" s="574"/>
      <c r="DH159" s="550"/>
      <c r="DI159" s="284" t="str">
        <f t="shared" ref="DI159:DI205" si="159">CONCATENATE("+",DJ159-DJ158)</f>
        <v>+21</v>
      </c>
      <c r="DJ159" s="277">
        <f t="shared" ref="DJ159:DK159" si="160">B64</f>
        <v>114</v>
      </c>
      <c r="DK159" s="285">
        <f t="shared" si="160"/>
        <v>1</v>
      </c>
      <c r="DL159" s="284" t="str">
        <f t="shared" ref="DL159:DL205" si="161">CONCATENATE("+",DK159-DK158)</f>
        <v>+1</v>
      </c>
      <c r="DO159" s="272" t="s">
        <v>506</v>
      </c>
      <c r="DP159" s="281">
        <v>43895</v>
      </c>
      <c r="DQ159" s="282" t="str">
        <f t="shared" ref="DQ159:DQ205" si="162">CONCATENATE("+",DR159-DR158)</f>
        <v>+0</v>
      </c>
      <c r="DR159" s="279">
        <f t="shared" ref="DR159:DS159" si="163">DO64</f>
        <v>8</v>
      </c>
      <c r="DS159" s="283">
        <f t="shared" si="163"/>
        <v>1</v>
      </c>
      <c r="DT159" s="282" t="str">
        <f t="shared" ref="DT159:DT205" si="164">CONCATENATE("+",DS159-DS158)</f>
        <v>+1</v>
      </c>
      <c r="DU159" s="254"/>
      <c r="ED159" s="217"/>
    </row>
    <row r="160" spans="2:134" ht="12.75">
      <c r="K160" s="595" t="s">
        <v>508</v>
      </c>
      <c r="L160" s="531"/>
      <c r="M160" s="531"/>
      <c r="N160" s="531"/>
      <c r="O160" s="531"/>
      <c r="P160" s="531"/>
      <c r="Q160" s="531"/>
      <c r="R160" s="531"/>
      <c r="S160" s="531"/>
      <c r="T160" s="531"/>
      <c r="U160" s="531"/>
      <c r="V160" s="531"/>
      <c r="W160" s="531"/>
      <c r="X160" s="531"/>
      <c r="Y160" s="532"/>
      <c r="AP160" s="286" t="s">
        <v>510</v>
      </c>
      <c r="AQ160" s="281">
        <v>43896</v>
      </c>
      <c r="AR160" s="282" t="str">
        <f t="shared" si="156"/>
        <v>+5</v>
      </c>
      <c r="AS160" s="275">
        <f t="shared" ref="AS160:AT160" si="165">AP65</f>
        <v>18</v>
      </c>
      <c r="AT160" s="283">
        <f t="shared" si="165"/>
        <v>0</v>
      </c>
      <c r="AU160" s="282" t="str">
        <f t="shared" si="158"/>
        <v>+0</v>
      </c>
      <c r="DE160" s="588" t="s">
        <v>511</v>
      </c>
      <c r="DF160" s="574"/>
      <c r="DG160" s="574"/>
      <c r="DH160" s="550"/>
      <c r="DI160" s="284" t="str">
        <f t="shared" si="159"/>
        <v>+100</v>
      </c>
      <c r="DJ160" s="277">
        <f t="shared" ref="DJ160:DK160" si="166">B65</f>
        <v>214</v>
      </c>
      <c r="DK160" s="285">
        <f t="shared" si="166"/>
        <v>1</v>
      </c>
      <c r="DL160" s="284" t="str">
        <f t="shared" si="161"/>
        <v>+0</v>
      </c>
      <c r="DO160" s="286" t="s">
        <v>510</v>
      </c>
      <c r="DP160" s="281">
        <v>43896</v>
      </c>
      <c r="DQ160" s="282" t="str">
        <f t="shared" si="162"/>
        <v>+1</v>
      </c>
      <c r="DR160" s="287">
        <v>9</v>
      </c>
      <c r="DS160" s="288">
        <v>1</v>
      </c>
      <c r="DT160" s="282" t="str">
        <f t="shared" si="164"/>
        <v>+0</v>
      </c>
      <c r="DU160" s="254"/>
      <c r="ED160" s="217"/>
    </row>
    <row r="161" spans="11:134" ht="12.75">
      <c r="K161" s="543"/>
      <c r="L161" s="531"/>
      <c r="M161" s="531"/>
      <c r="N161" s="531"/>
      <c r="O161" s="531"/>
      <c r="P161" s="531"/>
      <c r="Q161" s="531"/>
      <c r="R161" s="531"/>
      <c r="S161" s="531"/>
      <c r="T161" s="531"/>
      <c r="U161" s="531"/>
      <c r="V161" s="531"/>
      <c r="W161" s="531"/>
      <c r="X161" s="531"/>
      <c r="Y161" s="532"/>
      <c r="AP161" s="286" t="s">
        <v>512</v>
      </c>
      <c r="AQ161" s="281">
        <v>43897</v>
      </c>
      <c r="AR161" s="282" t="str">
        <f t="shared" si="156"/>
        <v>+12</v>
      </c>
      <c r="AS161" s="275">
        <f t="shared" ref="AS161:AT161" si="167">AP66</f>
        <v>30</v>
      </c>
      <c r="AT161" s="283">
        <f t="shared" si="167"/>
        <v>0</v>
      </c>
      <c r="AU161" s="282" t="str">
        <f t="shared" si="158"/>
        <v>+0</v>
      </c>
      <c r="DE161" s="588" t="s">
        <v>513</v>
      </c>
      <c r="DF161" s="574"/>
      <c r="DG161" s="574"/>
      <c r="DH161" s="550"/>
      <c r="DI161" s="284" t="str">
        <f t="shared" si="159"/>
        <v>+54</v>
      </c>
      <c r="DJ161" s="277">
        <f t="shared" ref="DJ161:DK161" si="168">B66</f>
        <v>268</v>
      </c>
      <c r="DK161" s="285">
        <f t="shared" si="168"/>
        <v>1</v>
      </c>
      <c r="DL161" s="284" t="str">
        <f t="shared" si="161"/>
        <v>+0</v>
      </c>
      <c r="DO161" s="286" t="s">
        <v>512</v>
      </c>
      <c r="DP161" s="281">
        <v>43897</v>
      </c>
      <c r="DQ161" s="282" t="str">
        <f t="shared" si="162"/>
        <v>+0</v>
      </c>
      <c r="DR161" s="287">
        <v>9</v>
      </c>
      <c r="DS161" s="288">
        <v>1</v>
      </c>
      <c r="DT161" s="282" t="str">
        <f t="shared" si="164"/>
        <v>+0</v>
      </c>
      <c r="DU161" s="254"/>
      <c r="ED161" s="217"/>
    </row>
    <row r="162" spans="11:134" ht="12.75">
      <c r="K162" s="543"/>
      <c r="L162" s="531"/>
      <c r="M162" s="531"/>
      <c r="N162" s="531"/>
      <c r="O162" s="531"/>
      <c r="P162" s="531"/>
      <c r="Q162" s="531"/>
      <c r="R162" s="531"/>
      <c r="S162" s="531"/>
      <c r="T162" s="531"/>
      <c r="U162" s="531"/>
      <c r="V162" s="531"/>
      <c r="W162" s="531"/>
      <c r="X162" s="531"/>
      <c r="Y162" s="532"/>
      <c r="AP162" s="286" t="s">
        <v>514</v>
      </c>
      <c r="AQ162" s="281">
        <v>43898</v>
      </c>
      <c r="AR162" s="282" t="str">
        <f t="shared" si="156"/>
        <v>+9</v>
      </c>
      <c r="AS162" s="275">
        <f t="shared" ref="AS162:AT162" si="169">AP67</f>
        <v>39</v>
      </c>
      <c r="AT162" s="283">
        <f t="shared" si="169"/>
        <v>0</v>
      </c>
      <c r="AU162" s="282" t="str">
        <f t="shared" si="158"/>
        <v>+0</v>
      </c>
      <c r="DE162" s="588" t="s">
        <v>515</v>
      </c>
      <c r="DF162" s="574"/>
      <c r="DG162" s="574"/>
      <c r="DH162" s="550"/>
      <c r="DI162" s="284" t="str">
        <f t="shared" si="159"/>
        <v>+64</v>
      </c>
      <c r="DJ162" s="277">
        <f t="shared" ref="DJ162:DK162" si="170">B67</f>
        <v>332</v>
      </c>
      <c r="DK162" s="285">
        <f t="shared" si="170"/>
        <v>2</v>
      </c>
      <c r="DL162" s="284" t="str">
        <f t="shared" si="161"/>
        <v>+1</v>
      </c>
      <c r="DO162" s="286" t="s">
        <v>514</v>
      </c>
      <c r="DP162" s="281">
        <v>43898</v>
      </c>
      <c r="DQ162" s="282" t="str">
        <f t="shared" si="162"/>
        <v>+29</v>
      </c>
      <c r="DR162" s="287">
        <v>38</v>
      </c>
      <c r="DS162" s="288">
        <v>1</v>
      </c>
      <c r="DT162" s="282" t="str">
        <f t="shared" si="164"/>
        <v>+0</v>
      </c>
      <c r="DU162" s="254"/>
      <c r="ED162" s="217"/>
    </row>
    <row r="163" spans="11:134" ht="12.75">
      <c r="K163" s="597" t="s">
        <v>516</v>
      </c>
      <c r="L163" s="531"/>
      <c r="M163" s="582" t="s">
        <v>517</v>
      </c>
      <c r="N163" s="531"/>
      <c r="O163" s="531"/>
      <c r="P163" s="581" t="s">
        <v>518</v>
      </c>
      <c r="Q163" s="531"/>
      <c r="R163" s="531"/>
      <c r="S163" s="581" t="s">
        <v>519</v>
      </c>
      <c r="T163" s="531"/>
      <c r="U163" s="531"/>
      <c r="V163" s="531"/>
      <c r="W163" s="581" t="s">
        <v>520</v>
      </c>
      <c r="X163" s="531"/>
      <c r="Y163" s="532"/>
      <c r="AP163" s="286" t="s">
        <v>60</v>
      </c>
      <c r="AQ163" s="281">
        <v>43899</v>
      </c>
      <c r="AR163" s="282" t="str">
        <f t="shared" si="156"/>
        <v>+9</v>
      </c>
      <c r="AS163" s="275">
        <f t="shared" ref="AS163:AT163" si="171">AP68</f>
        <v>48</v>
      </c>
      <c r="AT163" s="283">
        <f t="shared" si="171"/>
        <v>0</v>
      </c>
      <c r="AU163" s="282" t="str">
        <f t="shared" si="158"/>
        <v>+0</v>
      </c>
      <c r="DE163" s="588" t="s">
        <v>521</v>
      </c>
      <c r="DF163" s="574"/>
      <c r="DG163" s="574"/>
      <c r="DH163" s="550"/>
      <c r="DI163" s="284" t="str">
        <f t="shared" si="159"/>
        <v>+42</v>
      </c>
      <c r="DJ163" s="277">
        <f t="shared" ref="DJ163:DK163" si="172">B68</f>
        <v>374</v>
      </c>
      <c r="DK163" s="285">
        <f t="shared" si="172"/>
        <v>2</v>
      </c>
      <c r="DL163" s="284" t="str">
        <f t="shared" si="161"/>
        <v>+0</v>
      </c>
      <c r="DO163" s="286" t="s">
        <v>60</v>
      </c>
      <c r="DP163" s="281">
        <v>43899</v>
      </c>
      <c r="DQ163" s="282" t="str">
        <f t="shared" si="162"/>
        <v>+0</v>
      </c>
      <c r="DR163" s="287">
        <v>38</v>
      </c>
      <c r="DS163" s="288">
        <v>1</v>
      </c>
      <c r="DT163" s="282" t="str">
        <f t="shared" si="164"/>
        <v>+0</v>
      </c>
      <c r="DU163" s="254"/>
      <c r="ED163" s="217"/>
    </row>
    <row r="164" spans="11:134" ht="12.75">
      <c r="K164" s="543"/>
      <c r="L164" s="531"/>
      <c r="M164" s="531"/>
      <c r="N164" s="531"/>
      <c r="O164" s="531"/>
      <c r="P164" s="531"/>
      <c r="Q164" s="531"/>
      <c r="R164" s="531"/>
      <c r="S164" s="531"/>
      <c r="T164" s="531"/>
      <c r="U164" s="531"/>
      <c r="V164" s="531"/>
      <c r="W164" s="531"/>
      <c r="X164" s="531"/>
      <c r="Y164" s="532"/>
      <c r="AP164" s="286" t="s">
        <v>522</v>
      </c>
      <c r="AQ164" s="281">
        <v>43900</v>
      </c>
      <c r="AR164" s="282" t="str">
        <f t="shared" si="156"/>
        <v>+29</v>
      </c>
      <c r="AS164" s="275">
        <f t="shared" ref="AS164:AT164" si="173">AP69</f>
        <v>77</v>
      </c>
      <c r="AT164" s="283">
        <f t="shared" si="173"/>
        <v>1</v>
      </c>
      <c r="AU164" s="282" t="str">
        <f t="shared" si="158"/>
        <v>+1</v>
      </c>
      <c r="DE164" s="588" t="s">
        <v>523</v>
      </c>
      <c r="DF164" s="574"/>
      <c r="DG164" s="574"/>
      <c r="DH164" s="550"/>
      <c r="DI164" s="284" t="str">
        <f t="shared" si="159"/>
        <v>+102</v>
      </c>
      <c r="DJ164" s="277">
        <f t="shared" ref="DJ164:DK164" si="174">B69</f>
        <v>476</v>
      </c>
      <c r="DK164" s="285">
        <f t="shared" si="174"/>
        <v>3</v>
      </c>
      <c r="DL164" s="284" t="str">
        <f t="shared" si="161"/>
        <v>+1</v>
      </c>
      <c r="DO164" s="286" t="s">
        <v>522</v>
      </c>
      <c r="DP164" s="281">
        <v>43900</v>
      </c>
      <c r="DQ164" s="282" t="str">
        <f t="shared" si="162"/>
        <v>+92</v>
      </c>
      <c r="DR164" s="287">
        <v>130</v>
      </c>
      <c r="DS164" s="288">
        <v>1</v>
      </c>
      <c r="DT164" s="282" t="str">
        <f t="shared" si="164"/>
        <v>+0</v>
      </c>
      <c r="DU164" s="254"/>
      <c r="ED164" s="217"/>
    </row>
    <row r="165" spans="11:134" ht="12.75">
      <c r="K165" s="543"/>
      <c r="L165" s="531"/>
      <c r="M165" s="531"/>
      <c r="N165" s="531"/>
      <c r="O165" s="531"/>
      <c r="P165" s="531"/>
      <c r="Q165" s="531"/>
      <c r="R165" s="531"/>
      <c r="S165" s="531"/>
      <c r="T165" s="531"/>
      <c r="U165" s="531"/>
      <c r="V165" s="531"/>
      <c r="W165" s="531"/>
      <c r="X165" s="531"/>
      <c r="Y165" s="532"/>
      <c r="AP165" s="286" t="s">
        <v>501</v>
      </c>
      <c r="AQ165" s="281">
        <v>43901</v>
      </c>
      <c r="AR165" s="282" t="str">
        <f t="shared" si="156"/>
        <v>+11</v>
      </c>
      <c r="AS165" s="275">
        <f t="shared" ref="AS165:AT165" si="175">AP70</f>
        <v>88</v>
      </c>
      <c r="AT165" s="283">
        <f t="shared" si="175"/>
        <v>1</v>
      </c>
      <c r="AU165" s="282" t="str">
        <f t="shared" si="158"/>
        <v>+0</v>
      </c>
      <c r="DE165" s="588" t="s">
        <v>526</v>
      </c>
      <c r="DF165" s="574"/>
      <c r="DG165" s="574"/>
      <c r="DH165" s="550"/>
      <c r="DI165" s="284" t="str">
        <f t="shared" si="159"/>
        <v>+137</v>
      </c>
      <c r="DJ165" s="277">
        <f t="shared" ref="DJ165:DK165" si="176">B70</f>
        <v>613</v>
      </c>
      <c r="DK165" s="285">
        <f t="shared" si="176"/>
        <v>7</v>
      </c>
      <c r="DL165" s="284" t="str">
        <f t="shared" si="161"/>
        <v>+4</v>
      </c>
      <c r="DO165" s="286" t="s">
        <v>501</v>
      </c>
      <c r="DP165" s="281">
        <v>43901</v>
      </c>
      <c r="DQ165" s="282" t="str">
        <f t="shared" si="162"/>
        <v>+70</v>
      </c>
      <c r="DR165" s="287">
        <v>200</v>
      </c>
      <c r="DS165" s="288">
        <v>3</v>
      </c>
      <c r="DT165" s="282" t="str">
        <f t="shared" si="164"/>
        <v>+2</v>
      </c>
      <c r="DU165" s="254"/>
      <c r="ED165" s="217"/>
    </row>
    <row r="166" spans="11:134" ht="15">
      <c r="K166" s="586" t="s">
        <v>527</v>
      </c>
      <c r="L166" s="531"/>
      <c r="M166" s="580">
        <v>11</v>
      </c>
      <c r="N166" s="531"/>
      <c r="O166" s="531"/>
      <c r="P166" s="580">
        <v>7</v>
      </c>
      <c r="Q166" s="531"/>
      <c r="R166" s="531"/>
      <c r="S166" s="580">
        <v>0</v>
      </c>
      <c r="T166" s="531"/>
      <c r="U166" s="531"/>
      <c r="V166" s="531"/>
      <c r="W166" s="580">
        <v>18</v>
      </c>
      <c r="X166" s="531"/>
      <c r="Y166" s="532"/>
      <c r="AP166" s="286" t="s">
        <v>506</v>
      </c>
      <c r="AQ166" s="281">
        <v>43902</v>
      </c>
      <c r="AR166" s="282" t="str">
        <f t="shared" si="156"/>
        <v>+31</v>
      </c>
      <c r="AS166" s="275">
        <f t="shared" ref="AS166:AT166" si="177">AP71</f>
        <v>119</v>
      </c>
      <c r="AT166" s="283">
        <f t="shared" si="177"/>
        <v>1</v>
      </c>
      <c r="AU166" s="282" t="str">
        <f t="shared" si="158"/>
        <v>+0</v>
      </c>
      <c r="DE166" s="588" t="s">
        <v>528</v>
      </c>
      <c r="DF166" s="574"/>
      <c r="DG166" s="574"/>
      <c r="DH166" s="550"/>
      <c r="DI166" s="284" t="str">
        <f t="shared" si="159"/>
        <v>+460</v>
      </c>
      <c r="DJ166" s="277">
        <f t="shared" ref="DJ166:DK166" si="178">B71</f>
        <v>1073</v>
      </c>
      <c r="DK166" s="285">
        <f t="shared" si="178"/>
        <v>9</v>
      </c>
      <c r="DL166" s="284" t="str">
        <f t="shared" si="161"/>
        <v>+2</v>
      </c>
      <c r="DO166" s="286" t="s">
        <v>506</v>
      </c>
      <c r="DP166" s="281">
        <v>43902</v>
      </c>
      <c r="DQ166" s="282" t="str">
        <f t="shared" si="162"/>
        <v>+74</v>
      </c>
      <c r="DR166" s="287">
        <v>274</v>
      </c>
      <c r="DS166" s="288">
        <v>3</v>
      </c>
      <c r="DT166" s="282" t="str">
        <f t="shared" si="164"/>
        <v>+0</v>
      </c>
      <c r="DU166" s="254"/>
      <c r="ED166" s="217"/>
    </row>
    <row r="167" spans="11:134" ht="15">
      <c r="K167" s="280" t="s">
        <v>529</v>
      </c>
      <c r="M167" s="580">
        <v>21</v>
      </c>
      <c r="N167" s="531"/>
      <c r="O167" s="531"/>
      <c r="P167" s="580">
        <v>7</v>
      </c>
      <c r="Q167" s="531"/>
      <c r="R167" s="531"/>
      <c r="S167" s="580">
        <v>0</v>
      </c>
      <c r="T167" s="531"/>
      <c r="U167" s="531"/>
      <c r="V167" s="531"/>
      <c r="W167" s="580">
        <v>28</v>
      </c>
      <c r="X167" s="531"/>
      <c r="Y167" s="532"/>
      <c r="AP167" s="286" t="s">
        <v>510</v>
      </c>
      <c r="AQ167" s="281">
        <v>43903</v>
      </c>
      <c r="AR167" s="282" t="str">
        <f t="shared" si="156"/>
        <v>+67</v>
      </c>
      <c r="AS167" s="275">
        <f t="shared" ref="AS167:AT167" si="179">AP72</f>
        <v>186</v>
      </c>
      <c r="AT167" s="283">
        <f t="shared" si="179"/>
        <v>1</v>
      </c>
      <c r="AU167" s="282" t="str">
        <f t="shared" si="158"/>
        <v>+0</v>
      </c>
      <c r="DE167" s="588" t="s">
        <v>530</v>
      </c>
      <c r="DF167" s="574"/>
      <c r="DG167" s="574"/>
      <c r="DH167" s="550"/>
      <c r="DI167" s="284" t="str">
        <f t="shared" si="159"/>
        <v>+52</v>
      </c>
      <c r="DJ167" s="277">
        <f t="shared" ref="DJ167:DK167" si="180">B72</f>
        <v>1125</v>
      </c>
      <c r="DK167" s="285">
        <f t="shared" si="180"/>
        <v>11</v>
      </c>
      <c r="DL167" s="284" t="str">
        <f t="shared" si="161"/>
        <v>+2</v>
      </c>
      <c r="DO167" s="286" t="s">
        <v>510</v>
      </c>
      <c r="DP167" s="281">
        <v>43903</v>
      </c>
      <c r="DQ167" s="282" t="str">
        <f t="shared" si="162"/>
        <v>+18</v>
      </c>
      <c r="DR167" s="287">
        <v>292</v>
      </c>
      <c r="DS167" s="288">
        <v>3</v>
      </c>
      <c r="DT167" s="282" t="str">
        <f t="shared" si="164"/>
        <v>+0</v>
      </c>
      <c r="DU167" s="254"/>
      <c r="ED167" s="217"/>
    </row>
    <row r="168" spans="11:134" ht="15">
      <c r="K168" s="280" t="s">
        <v>531</v>
      </c>
      <c r="M168" s="580">
        <v>71</v>
      </c>
      <c r="N168" s="531"/>
      <c r="O168" s="531"/>
      <c r="P168" s="580">
        <v>26</v>
      </c>
      <c r="Q168" s="531"/>
      <c r="R168" s="531"/>
      <c r="S168" s="580">
        <v>0</v>
      </c>
      <c r="T168" s="531"/>
      <c r="U168" s="531"/>
      <c r="V168" s="531"/>
      <c r="W168" s="580">
        <v>97</v>
      </c>
      <c r="X168" s="531"/>
      <c r="Y168" s="532"/>
      <c r="AP168" s="286" t="s">
        <v>512</v>
      </c>
      <c r="AQ168" s="281">
        <v>43904</v>
      </c>
      <c r="AR168" s="282" t="str">
        <f t="shared" si="156"/>
        <v>+108</v>
      </c>
      <c r="AS168" s="275">
        <f t="shared" ref="AS168:AT168" si="181">AP73</f>
        <v>294</v>
      </c>
      <c r="AT168" s="283">
        <f t="shared" si="181"/>
        <v>1</v>
      </c>
      <c r="AU168" s="282" t="str">
        <f t="shared" si="158"/>
        <v>+0</v>
      </c>
      <c r="DE168" s="588" t="s">
        <v>532</v>
      </c>
      <c r="DF168" s="574"/>
      <c r="DG168" s="574"/>
      <c r="DH168" s="550"/>
      <c r="DI168" s="284" t="str">
        <f t="shared" si="159"/>
        <v>+585</v>
      </c>
      <c r="DJ168" s="277">
        <f t="shared" ref="DJ168:DK168" si="182">B73</f>
        <v>1710</v>
      </c>
      <c r="DK168" s="285">
        <f t="shared" si="182"/>
        <v>14</v>
      </c>
      <c r="DL168" s="284" t="str">
        <f t="shared" si="161"/>
        <v>+3</v>
      </c>
      <c r="DO168" s="286" t="s">
        <v>512</v>
      </c>
      <c r="DP168" s="281">
        <v>43904</v>
      </c>
      <c r="DQ168" s="282" t="str">
        <f t="shared" si="162"/>
        <v>+58</v>
      </c>
      <c r="DR168" s="287">
        <v>350</v>
      </c>
      <c r="DS168" s="288">
        <v>4</v>
      </c>
      <c r="DT168" s="282" t="str">
        <f t="shared" si="164"/>
        <v>+1</v>
      </c>
      <c r="DU168" s="254"/>
      <c r="ED168" s="217"/>
    </row>
    <row r="169" spans="11:134" ht="15">
      <c r="K169" s="280" t="s">
        <v>533</v>
      </c>
      <c r="M169" s="580">
        <v>61</v>
      </c>
      <c r="N169" s="531"/>
      <c r="O169" s="531"/>
      <c r="P169" s="580">
        <v>45</v>
      </c>
      <c r="Q169" s="531"/>
      <c r="R169" s="531"/>
      <c r="S169" s="580">
        <v>0</v>
      </c>
      <c r="T169" s="531"/>
      <c r="U169" s="531"/>
      <c r="V169" s="531"/>
      <c r="W169" s="580">
        <v>106</v>
      </c>
      <c r="X169" s="531"/>
      <c r="Y169" s="532"/>
      <c r="AP169" s="286" t="s">
        <v>514</v>
      </c>
      <c r="AQ169" s="281">
        <v>43905</v>
      </c>
      <c r="AR169" s="282" t="str">
        <f t="shared" si="156"/>
        <v>+99</v>
      </c>
      <c r="AS169" s="275">
        <f t="shared" ref="AS169:AT169" si="183">AP74</f>
        <v>393</v>
      </c>
      <c r="AT169" s="283">
        <f t="shared" si="183"/>
        <v>3</v>
      </c>
      <c r="AU169" s="282" t="str">
        <f t="shared" si="158"/>
        <v>+2</v>
      </c>
      <c r="DE169" s="588" t="s">
        <v>534</v>
      </c>
      <c r="DF169" s="574"/>
      <c r="DG169" s="574"/>
      <c r="DH169" s="550"/>
      <c r="DI169" s="284" t="str">
        <f t="shared" si="159"/>
        <v>+490</v>
      </c>
      <c r="DJ169" s="277">
        <f t="shared" ref="DJ169:DK169" si="184">B74</f>
        <v>2200</v>
      </c>
      <c r="DK169" s="285">
        <f t="shared" si="184"/>
        <v>19</v>
      </c>
      <c r="DL169" s="284" t="str">
        <f t="shared" si="161"/>
        <v>+5</v>
      </c>
      <c r="DO169" s="286" t="s">
        <v>514</v>
      </c>
      <c r="DP169" s="281">
        <v>43905</v>
      </c>
      <c r="DQ169" s="282" t="str">
        <f t="shared" si="162"/>
        <v>+56</v>
      </c>
      <c r="DR169" s="287">
        <v>406</v>
      </c>
      <c r="DS169" s="288">
        <v>5</v>
      </c>
      <c r="DT169" s="282" t="str">
        <f t="shared" si="164"/>
        <v>+1</v>
      </c>
      <c r="DU169" s="254"/>
      <c r="ED169" s="217"/>
    </row>
    <row r="170" spans="11:134" ht="15">
      <c r="K170" s="280" t="s">
        <v>535</v>
      </c>
      <c r="M170" s="580">
        <v>136</v>
      </c>
      <c r="N170" s="531"/>
      <c r="O170" s="531"/>
      <c r="P170" s="580">
        <v>81</v>
      </c>
      <c r="Q170" s="531"/>
      <c r="R170" s="531"/>
      <c r="S170" s="580">
        <v>0</v>
      </c>
      <c r="T170" s="531"/>
      <c r="U170" s="531"/>
      <c r="V170" s="531"/>
      <c r="W170" s="580">
        <v>217</v>
      </c>
      <c r="X170" s="531"/>
      <c r="Y170" s="532"/>
      <c r="AP170" s="286" t="s">
        <v>60</v>
      </c>
      <c r="AQ170" s="281">
        <v>43906</v>
      </c>
      <c r="AR170" s="282" t="str">
        <f t="shared" si="156"/>
        <v>+89</v>
      </c>
      <c r="AS170" s="275">
        <f t="shared" ref="AS170:AT170" si="185">AP75</f>
        <v>482</v>
      </c>
      <c r="AT170" s="283">
        <f t="shared" si="185"/>
        <v>3</v>
      </c>
      <c r="AU170" s="282" t="str">
        <f t="shared" si="158"/>
        <v>+0</v>
      </c>
      <c r="DE170" s="588" t="s">
        <v>536</v>
      </c>
      <c r="DF170" s="574"/>
      <c r="DG170" s="574"/>
      <c r="DH170" s="550"/>
      <c r="DI170" s="284" t="str">
        <f t="shared" si="159"/>
        <v>+127</v>
      </c>
      <c r="DJ170" s="277">
        <f t="shared" ref="DJ170:DK170" si="186">B75</f>
        <v>2327</v>
      </c>
      <c r="DK170" s="285">
        <f t="shared" si="186"/>
        <v>25</v>
      </c>
      <c r="DL170" s="284" t="str">
        <f t="shared" si="161"/>
        <v>+6</v>
      </c>
      <c r="DO170" s="286" t="s">
        <v>60</v>
      </c>
      <c r="DP170" s="281">
        <v>43906</v>
      </c>
      <c r="DQ170" s="282" t="str">
        <f t="shared" si="162"/>
        <v>+102</v>
      </c>
      <c r="DR170" s="287">
        <v>508</v>
      </c>
      <c r="DS170" s="288">
        <v>7</v>
      </c>
      <c r="DT170" s="282" t="str">
        <f t="shared" si="164"/>
        <v>+2</v>
      </c>
      <c r="DU170" s="254"/>
      <c r="ED170" s="217"/>
    </row>
    <row r="171" spans="11:134" ht="15">
      <c r="K171" s="280" t="s">
        <v>537</v>
      </c>
      <c r="M171" s="580">
        <v>306</v>
      </c>
      <c r="N171" s="531"/>
      <c r="O171" s="531"/>
      <c r="P171" s="580">
        <v>163</v>
      </c>
      <c r="Q171" s="531"/>
      <c r="R171" s="531"/>
      <c r="S171" s="580">
        <v>0</v>
      </c>
      <c r="T171" s="531"/>
      <c r="U171" s="531"/>
      <c r="V171" s="531"/>
      <c r="W171" s="580">
        <v>469</v>
      </c>
      <c r="X171" s="531"/>
      <c r="Y171" s="532"/>
      <c r="AP171" s="286" t="s">
        <v>522</v>
      </c>
      <c r="AQ171" s="281">
        <v>43907</v>
      </c>
      <c r="AR171" s="282" t="str">
        <f t="shared" si="156"/>
        <v>+129</v>
      </c>
      <c r="AS171" s="275">
        <f t="shared" ref="AS171:AT171" si="187">AP76</f>
        <v>611</v>
      </c>
      <c r="AT171" s="283">
        <f t="shared" si="187"/>
        <v>4</v>
      </c>
      <c r="AU171" s="282" t="str">
        <f t="shared" si="158"/>
        <v>+1</v>
      </c>
      <c r="DE171" s="588" t="s">
        <v>538</v>
      </c>
      <c r="DF171" s="574"/>
      <c r="DG171" s="574"/>
      <c r="DH171" s="550"/>
      <c r="DI171" s="284" t="str">
        <f t="shared" si="159"/>
        <v>+373</v>
      </c>
      <c r="DJ171" s="277">
        <f t="shared" ref="DJ171:DK171" si="188">B76</f>
        <v>2700</v>
      </c>
      <c r="DK171" s="285">
        <f t="shared" si="188"/>
        <v>36</v>
      </c>
      <c r="DL171" s="284" t="str">
        <f t="shared" si="161"/>
        <v>+11</v>
      </c>
      <c r="DO171" s="286" t="s">
        <v>522</v>
      </c>
      <c r="DP171" s="281">
        <v>43907</v>
      </c>
      <c r="DQ171" s="282" t="str">
        <f t="shared" si="162"/>
        <v>+100</v>
      </c>
      <c r="DR171" s="287">
        <v>608</v>
      </c>
      <c r="DS171" s="288">
        <v>9</v>
      </c>
      <c r="DT171" s="282" t="str">
        <f t="shared" si="164"/>
        <v>+2</v>
      </c>
      <c r="DU171" s="254"/>
      <c r="ED171" s="217"/>
    </row>
    <row r="172" spans="11:134" ht="15">
      <c r="K172" s="280" t="s">
        <v>539</v>
      </c>
      <c r="M172" s="580">
        <v>368</v>
      </c>
      <c r="N172" s="531"/>
      <c r="O172" s="531"/>
      <c r="P172" s="580">
        <v>188</v>
      </c>
      <c r="Q172" s="531"/>
      <c r="R172" s="531"/>
      <c r="S172" s="587">
        <v>2</v>
      </c>
      <c r="T172" s="531"/>
      <c r="U172" s="531"/>
      <c r="V172" s="531"/>
      <c r="W172" s="580">
        <v>558</v>
      </c>
      <c r="X172" s="531"/>
      <c r="Y172" s="532"/>
      <c r="AP172" s="286" t="s">
        <v>501</v>
      </c>
      <c r="AQ172" s="281">
        <v>43908</v>
      </c>
      <c r="AR172" s="282" t="str">
        <f t="shared" si="156"/>
        <v>+172</v>
      </c>
      <c r="AS172" s="275">
        <f t="shared" ref="AS172:AT172" si="189">AP77</f>
        <v>783</v>
      </c>
      <c r="AT172" s="283">
        <f t="shared" si="189"/>
        <v>5</v>
      </c>
      <c r="AU172" s="282" t="str">
        <f t="shared" si="158"/>
        <v>+1</v>
      </c>
      <c r="BP172" s="97"/>
      <c r="BQ172" s="97"/>
      <c r="BR172" s="97"/>
      <c r="BS172" s="97"/>
      <c r="BT172" s="97"/>
      <c r="DE172" s="588" t="s">
        <v>540</v>
      </c>
      <c r="DF172" s="574"/>
      <c r="DG172" s="574"/>
      <c r="DH172" s="550"/>
      <c r="DI172" s="284" t="str">
        <f t="shared" si="159"/>
        <v>+1339</v>
      </c>
      <c r="DJ172" s="277">
        <f t="shared" ref="DJ172:DK172" si="190">B77</f>
        <v>4039</v>
      </c>
      <c r="DK172" s="285">
        <f t="shared" si="190"/>
        <v>46</v>
      </c>
      <c r="DL172" s="284" t="str">
        <f t="shared" si="161"/>
        <v>+10</v>
      </c>
      <c r="DO172" s="286" t="s">
        <v>501</v>
      </c>
      <c r="DP172" s="281">
        <v>43908</v>
      </c>
      <c r="DQ172" s="282" t="str">
        <f t="shared" si="162"/>
        <v>+188</v>
      </c>
      <c r="DR172" s="287">
        <v>796</v>
      </c>
      <c r="DS172" s="288">
        <v>12</v>
      </c>
      <c r="DT172" s="282" t="str">
        <f t="shared" si="164"/>
        <v>+3</v>
      </c>
      <c r="ED172" s="217"/>
    </row>
    <row r="173" spans="11:134" ht="15">
      <c r="K173" s="280" t="s">
        <v>541</v>
      </c>
      <c r="M173" s="580">
        <v>499</v>
      </c>
      <c r="N173" s="531"/>
      <c r="O173" s="531"/>
      <c r="P173" s="580">
        <v>310</v>
      </c>
      <c r="Q173" s="531"/>
      <c r="R173" s="531"/>
      <c r="S173" s="580">
        <v>0</v>
      </c>
      <c r="T173" s="531"/>
      <c r="U173" s="531"/>
      <c r="V173" s="531"/>
      <c r="W173" s="580">
        <v>809</v>
      </c>
      <c r="X173" s="531"/>
      <c r="Y173" s="532"/>
      <c r="AP173" s="286" t="s">
        <v>506</v>
      </c>
      <c r="AQ173" s="281">
        <v>43909</v>
      </c>
      <c r="AR173" s="282" t="str">
        <f t="shared" si="156"/>
        <v>+223</v>
      </c>
      <c r="AS173" s="275">
        <f t="shared" ref="AS173:AT173" si="191">AP78</f>
        <v>1006</v>
      </c>
      <c r="AT173" s="283">
        <f t="shared" si="191"/>
        <v>6</v>
      </c>
      <c r="AU173" s="282" t="str">
        <f t="shared" si="158"/>
        <v>+1</v>
      </c>
      <c r="BP173" s="97"/>
      <c r="BQ173" s="97"/>
      <c r="BR173" s="97"/>
      <c r="BS173" s="97"/>
      <c r="BT173" s="97"/>
      <c r="DE173" s="588" t="s">
        <v>542</v>
      </c>
      <c r="DF173" s="574"/>
      <c r="DG173" s="574"/>
      <c r="DH173" s="550"/>
      <c r="DI173" s="284" t="str">
        <f t="shared" si="159"/>
        <v>+1194</v>
      </c>
      <c r="DJ173" s="277">
        <f t="shared" ref="DJ173:DK173" si="192">B78</f>
        <v>5233</v>
      </c>
      <c r="DK173" s="285">
        <f t="shared" si="192"/>
        <v>55</v>
      </c>
      <c r="DL173" s="284" t="str">
        <f t="shared" si="161"/>
        <v>+9</v>
      </c>
      <c r="DO173" s="286" t="s">
        <v>506</v>
      </c>
      <c r="DP173" s="281">
        <v>43909</v>
      </c>
      <c r="DQ173" s="282" t="str">
        <f t="shared" si="162"/>
        <v>+416</v>
      </c>
      <c r="DR173" s="287">
        <v>1212</v>
      </c>
      <c r="DS173" s="288">
        <v>13</v>
      </c>
      <c r="DT173" s="282" t="str">
        <f t="shared" si="164"/>
        <v>+1</v>
      </c>
      <c r="ED173" s="217"/>
    </row>
    <row r="174" spans="11:134" ht="15">
      <c r="K174" s="586" t="s">
        <v>543</v>
      </c>
      <c r="L174" s="531"/>
      <c r="M174" s="580">
        <v>537</v>
      </c>
      <c r="N174" s="531"/>
      <c r="O174" s="531"/>
      <c r="P174" s="580">
        <v>463</v>
      </c>
      <c r="Q174" s="531"/>
      <c r="R174" s="531"/>
      <c r="S174" s="580">
        <v>0</v>
      </c>
      <c r="T174" s="531"/>
      <c r="U174" s="531"/>
      <c r="V174" s="531"/>
      <c r="W174" s="580">
        <v>1000</v>
      </c>
      <c r="X174" s="531"/>
      <c r="Y174" s="532"/>
      <c r="AP174" s="286" t="s">
        <v>510</v>
      </c>
      <c r="AQ174" s="281">
        <v>43910</v>
      </c>
      <c r="AR174" s="282" t="str">
        <f t="shared" si="156"/>
        <v>+126</v>
      </c>
      <c r="AS174" s="275">
        <f t="shared" ref="AS174:AT174" si="193">AP79</f>
        <v>1132</v>
      </c>
      <c r="AT174" s="283">
        <f t="shared" si="193"/>
        <v>8</v>
      </c>
      <c r="AU174" s="282" t="str">
        <f t="shared" si="158"/>
        <v>+2</v>
      </c>
      <c r="BP174" s="97"/>
      <c r="BQ174" s="97"/>
      <c r="BR174" s="97"/>
      <c r="BS174" s="97"/>
      <c r="BT174" s="97"/>
      <c r="DE174" s="588" t="s">
        <v>544</v>
      </c>
      <c r="DF174" s="574"/>
      <c r="DG174" s="574"/>
      <c r="DH174" s="550"/>
      <c r="DI174" s="284" t="str">
        <f t="shared" si="159"/>
        <v>+1174</v>
      </c>
      <c r="DJ174" s="277">
        <f t="shared" ref="DJ174:DK174" si="194">B79</f>
        <v>6407</v>
      </c>
      <c r="DK174" s="285">
        <f t="shared" si="194"/>
        <v>72</v>
      </c>
      <c r="DL174" s="284" t="str">
        <f t="shared" si="161"/>
        <v>+17</v>
      </c>
      <c r="DO174" s="286" t="s">
        <v>510</v>
      </c>
      <c r="DP174" s="281">
        <v>43910</v>
      </c>
      <c r="DQ174" s="282" t="str">
        <f t="shared" si="162"/>
        <v>+220</v>
      </c>
      <c r="DR174" s="287">
        <v>1432</v>
      </c>
      <c r="DS174" s="288">
        <v>18</v>
      </c>
      <c r="DT174" s="282" t="str">
        <f t="shared" si="164"/>
        <v>+5</v>
      </c>
      <c r="ED174" s="217"/>
    </row>
    <row r="175" spans="11:134" ht="15">
      <c r="K175" s="289" t="s">
        <v>545</v>
      </c>
      <c r="L175" s="11"/>
      <c r="M175" s="583">
        <v>3</v>
      </c>
      <c r="N175" s="540"/>
      <c r="O175" s="540"/>
      <c r="P175" s="583">
        <v>0</v>
      </c>
      <c r="Q175" s="540"/>
      <c r="R175" s="540"/>
      <c r="S175" s="583">
        <v>0</v>
      </c>
      <c r="T175" s="540"/>
      <c r="U175" s="540"/>
      <c r="V175" s="540"/>
      <c r="W175" s="583">
        <v>3</v>
      </c>
      <c r="X175" s="540"/>
      <c r="Y175" s="542"/>
      <c r="AP175" s="286" t="s">
        <v>512</v>
      </c>
      <c r="AQ175" s="281">
        <v>43911</v>
      </c>
      <c r="AR175" s="282" t="str">
        <f t="shared" si="156"/>
        <v>+129</v>
      </c>
      <c r="AS175" s="275">
        <f t="shared" ref="AS175:AT175" si="195">AP80</f>
        <v>1261</v>
      </c>
      <c r="AT175" s="283">
        <f t="shared" si="195"/>
        <v>8</v>
      </c>
      <c r="AU175" s="282" t="str">
        <f t="shared" si="158"/>
        <v>+0</v>
      </c>
      <c r="BP175" s="97"/>
      <c r="BQ175" s="97"/>
      <c r="BR175" s="97"/>
      <c r="BS175" s="97"/>
      <c r="BT175" s="97"/>
      <c r="DE175" s="588" t="s">
        <v>546</v>
      </c>
      <c r="DF175" s="574"/>
      <c r="DG175" s="574"/>
      <c r="DH175" s="550"/>
      <c r="DI175" s="284" t="str">
        <f t="shared" si="159"/>
        <v>+581</v>
      </c>
      <c r="DJ175" s="277">
        <f t="shared" ref="DJ175:DK175" si="196">B80</f>
        <v>6988</v>
      </c>
      <c r="DK175" s="285">
        <f t="shared" si="196"/>
        <v>72</v>
      </c>
      <c r="DL175" s="284" t="str">
        <f t="shared" si="161"/>
        <v>+0</v>
      </c>
      <c r="DO175" s="286" t="s">
        <v>512</v>
      </c>
      <c r="DP175" s="281">
        <v>43911</v>
      </c>
      <c r="DQ175" s="282" t="str">
        <f t="shared" si="162"/>
        <v>+244</v>
      </c>
      <c r="DR175" s="287">
        <v>1676</v>
      </c>
      <c r="DS175" s="288">
        <v>20</v>
      </c>
      <c r="DT175" s="282" t="str">
        <f t="shared" si="164"/>
        <v>+2</v>
      </c>
      <c r="ED175" s="217"/>
    </row>
    <row r="176" spans="11:134" ht="12.75">
      <c r="K176" s="557"/>
      <c r="L176" s="531"/>
      <c r="M176" s="531"/>
      <c r="N176" s="531"/>
      <c r="O176" s="531"/>
      <c r="P176" s="531"/>
      <c r="Q176" s="531"/>
      <c r="R176" s="531"/>
      <c r="S176" s="544" t="s">
        <v>547</v>
      </c>
      <c r="T176" s="531"/>
      <c r="U176" s="531"/>
      <c r="V176" s="531"/>
      <c r="W176" s="584">
        <f>SUM(W166:W175)</f>
        <v>3305</v>
      </c>
      <c r="X176" s="531"/>
      <c r="Y176" s="532"/>
      <c r="AP176" s="286" t="s">
        <v>514</v>
      </c>
      <c r="AQ176" s="281">
        <v>43912</v>
      </c>
      <c r="AR176" s="282" t="str">
        <f t="shared" si="156"/>
        <v>+147</v>
      </c>
      <c r="AS176" s="275">
        <f t="shared" ref="AS176:AT176" si="197">AP81</f>
        <v>1408</v>
      </c>
      <c r="AT176" s="283">
        <f t="shared" si="197"/>
        <v>9</v>
      </c>
      <c r="AU176" s="282" t="str">
        <f t="shared" si="158"/>
        <v>+1</v>
      </c>
      <c r="BP176" s="97"/>
      <c r="BQ176" s="97"/>
      <c r="BR176" s="97"/>
      <c r="BS176" s="97"/>
      <c r="BT176" s="97"/>
      <c r="DE176" s="588" t="s">
        <v>548</v>
      </c>
      <c r="DF176" s="574"/>
      <c r="DG176" s="574"/>
      <c r="DH176" s="550"/>
      <c r="DI176" s="284" t="str">
        <f t="shared" si="159"/>
        <v>+1036</v>
      </c>
      <c r="DJ176" s="277">
        <f t="shared" ref="DJ176:DK176" si="198">B81</f>
        <v>8024</v>
      </c>
      <c r="DK176" s="285">
        <f t="shared" si="198"/>
        <v>107</v>
      </c>
      <c r="DL176" s="284" t="str">
        <f t="shared" si="161"/>
        <v>+35</v>
      </c>
      <c r="DO176" s="286" t="s">
        <v>514</v>
      </c>
      <c r="DP176" s="281">
        <v>43912</v>
      </c>
      <c r="DQ176" s="282" t="str">
        <f t="shared" si="162"/>
        <v>+106</v>
      </c>
      <c r="DR176" s="287">
        <v>1782</v>
      </c>
      <c r="DS176" s="288">
        <v>21</v>
      </c>
      <c r="DT176" s="282" t="str">
        <f t="shared" si="164"/>
        <v>+1</v>
      </c>
      <c r="ED176" s="217"/>
    </row>
    <row r="177" spans="11:134" ht="12.75">
      <c r="K177" s="585" t="s">
        <v>551</v>
      </c>
      <c r="L177" s="531"/>
      <c r="M177" s="531"/>
      <c r="N177" s="531"/>
      <c r="O177" s="531"/>
      <c r="P177" s="531"/>
      <c r="Q177" s="531"/>
      <c r="R177" s="531"/>
      <c r="S177" s="531"/>
      <c r="T177" s="531"/>
      <c r="U177" s="531"/>
      <c r="V177" s="531"/>
      <c r="W177" s="531"/>
      <c r="X177" s="531"/>
      <c r="Y177" s="532"/>
      <c r="AP177" s="286" t="s">
        <v>60</v>
      </c>
      <c r="AQ177" s="281">
        <v>43913</v>
      </c>
      <c r="AR177" s="282" t="str">
        <f t="shared" si="156"/>
        <v>+148</v>
      </c>
      <c r="AS177" s="275">
        <f t="shared" ref="AS177:AT177" si="199">AP82</f>
        <v>1556</v>
      </c>
      <c r="AT177" s="283">
        <f t="shared" si="199"/>
        <v>13</v>
      </c>
      <c r="AU177" s="282" t="str">
        <f t="shared" si="158"/>
        <v>+4</v>
      </c>
      <c r="BP177" s="97"/>
      <c r="BQ177" s="97"/>
      <c r="BR177" s="97"/>
      <c r="BS177" s="97"/>
      <c r="BT177" s="97"/>
      <c r="DE177" s="588" t="s">
        <v>552</v>
      </c>
      <c r="DF177" s="574"/>
      <c r="DG177" s="574"/>
      <c r="DH177" s="550"/>
      <c r="DI177" s="284" t="str">
        <f t="shared" si="159"/>
        <v>+1272</v>
      </c>
      <c r="DJ177" s="277">
        <f t="shared" ref="DJ177:DK177" si="200">B82</f>
        <v>9296</v>
      </c>
      <c r="DK177" s="285">
        <f t="shared" si="200"/>
        <v>137</v>
      </c>
      <c r="DL177" s="284" t="str">
        <f t="shared" si="161"/>
        <v>+30</v>
      </c>
      <c r="DO177" s="286" t="s">
        <v>60</v>
      </c>
      <c r="DP177" s="281">
        <v>43913</v>
      </c>
      <c r="DQ177" s="282" t="str">
        <f t="shared" si="162"/>
        <v>+40</v>
      </c>
      <c r="DR177" s="287">
        <v>1822</v>
      </c>
      <c r="DS177" s="288">
        <v>25</v>
      </c>
      <c r="DT177" s="282" t="str">
        <f t="shared" si="164"/>
        <v>+4</v>
      </c>
      <c r="ED177" s="217"/>
    </row>
    <row r="178" spans="11:134" ht="12.75">
      <c r="K178" s="539"/>
      <c r="L178" s="540"/>
      <c r="M178" s="540"/>
      <c r="N178" s="540"/>
      <c r="O178" s="540"/>
      <c r="P178" s="540"/>
      <c r="Q178" s="540"/>
      <c r="R178" s="540"/>
      <c r="S178" s="540"/>
      <c r="T178" s="540"/>
      <c r="U178" s="540"/>
      <c r="V178" s="540"/>
      <c r="W178" s="540"/>
      <c r="X178" s="540"/>
      <c r="Y178" s="542"/>
      <c r="AP178" s="286" t="s">
        <v>522</v>
      </c>
      <c r="AQ178" s="281">
        <v>43914</v>
      </c>
      <c r="AR178" s="282" t="str">
        <f t="shared" si="156"/>
        <v>+103</v>
      </c>
      <c r="AS178" s="275">
        <f t="shared" ref="AS178:AT178" si="201">AP83</f>
        <v>1659</v>
      </c>
      <c r="AT178" s="283">
        <f t="shared" si="201"/>
        <v>14</v>
      </c>
      <c r="AU178" s="282" t="str">
        <f t="shared" si="158"/>
        <v>+1</v>
      </c>
      <c r="BP178" s="97"/>
      <c r="BQ178" s="97"/>
      <c r="BR178" s="97"/>
      <c r="BS178" s="97"/>
      <c r="BT178" s="97"/>
      <c r="DE178" s="588" t="s">
        <v>553</v>
      </c>
      <c r="DF178" s="574"/>
      <c r="DG178" s="574"/>
      <c r="DH178" s="550"/>
      <c r="DI178" s="284" t="str">
        <f t="shared" si="159"/>
        <v>+1028</v>
      </c>
      <c r="DJ178" s="277">
        <f t="shared" ref="DJ178:DK178" si="202">B83</f>
        <v>10324</v>
      </c>
      <c r="DK178" s="285">
        <f t="shared" si="202"/>
        <v>158</v>
      </c>
      <c r="DL178" s="284" t="str">
        <f t="shared" si="161"/>
        <v>+21</v>
      </c>
      <c r="DO178" s="286" t="s">
        <v>522</v>
      </c>
      <c r="DP178" s="281">
        <v>43914</v>
      </c>
      <c r="DQ178" s="282" t="str">
        <f t="shared" si="162"/>
        <v>+340</v>
      </c>
      <c r="DR178" s="287">
        <v>2162</v>
      </c>
      <c r="DS178" s="288">
        <v>29</v>
      </c>
      <c r="DT178" s="282" t="str">
        <f t="shared" si="164"/>
        <v>+4</v>
      </c>
      <c r="ED178" s="217"/>
    </row>
    <row r="179" spans="11:134" ht="12.75">
      <c r="AP179" s="286" t="s">
        <v>501</v>
      </c>
      <c r="AQ179" s="281">
        <v>43915</v>
      </c>
      <c r="AR179" s="282" t="str">
        <f t="shared" si="156"/>
        <v>+121</v>
      </c>
      <c r="AS179" s="275">
        <f t="shared" ref="AS179:AT179" si="203">AP84</f>
        <v>1780</v>
      </c>
      <c r="AT179" s="283">
        <f t="shared" si="203"/>
        <v>21</v>
      </c>
      <c r="AU179" s="282" t="str">
        <f t="shared" si="158"/>
        <v>+7</v>
      </c>
      <c r="BP179" s="97"/>
      <c r="BQ179" s="97"/>
      <c r="BR179" s="97"/>
      <c r="BS179" s="97"/>
      <c r="BT179" s="97"/>
      <c r="DE179" s="588" t="s">
        <v>554</v>
      </c>
      <c r="DF179" s="574"/>
      <c r="DG179" s="574"/>
      <c r="DH179" s="550"/>
      <c r="DI179" s="284" t="str">
        <f t="shared" si="159"/>
        <v>+986</v>
      </c>
      <c r="DJ179" s="277">
        <f t="shared" ref="DJ179:DK179" si="204">B84</f>
        <v>11310</v>
      </c>
      <c r="DK179" s="285">
        <f t="shared" si="204"/>
        <v>193</v>
      </c>
      <c r="DL179" s="284" t="str">
        <f t="shared" si="161"/>
        <v>+35</v>
      </c>
      <c r="DO179" s="286" t="s">
        <v>501</v>
      </c>
      <c r="DP179" s="281">
        <v>43915</v>
      </c>
      <c r="DQ179" s="282" t="str">
        <f t="shared" si="162"/>
        <v>+53</v>
      </c>
      <c r="DR179" s="287">
        <v>2215</v>
      </c>
      <c r="DS179" s="288">
        <v>36</v>
      </c>
      <c r="DT179" s="282" t="str">
        <f t="shared" si="164"/>
        <v>+7</v>
      </c>
      <c r="ED179" s="217"/>
    </row>
    <row r="180" spans="11:134" ht="15">
      <c r="U180" s="290"/>
      <c r="AP180" s="286" t="s">
        <v>506</v>
      </c>
      <c r="AQ180" s="281">
        <v>43916</v>
      </c>
      <c r="AR180" s="291" t="str">
        <f t="shared" si="156"/>
        <v>+227</v>
      </c>
      <c r="AS180" s="275">
        <f t="shared" ref="AS180:AT180" si="205">AP85</f>
        <v>2007</v>
      </c>
      <c r="AT180" s="283">
        <f t="shared" si="205"/>
        <v>23</v>
      </c>
      <c r="AU180" s="282" t="str">
        <f t="shared" si="158"/>
        <v>+2</v>
      </c>
      <c r="BP180" s="97"/>
      <c r="BQ180" s="97"/>
      <c r="BR180" s="97"/>
      <c r="BS180" s="97"/>
      <c r="BT180" s="97"/>
      <c r="DE180" s="588" t="s">
        <v>555</v>
      </c>
      <c r="DF180" s="574"/>
      <c r="DG180" s="574"/>
      <c r="DH180" s="550"/>
      <c r="DI180" s="284" t="str">
        <f t="shared" si="159"/>
        <v>+1236</v>
      </c>
      <c r="DJ180" s="277">
        <f t="shared" ref="DJ180:DK180" si="206">B85</f>
        <v>12546</v>
      </c>
      <c r="DK180" s="285">
        <f t="shared" si="206"/>
        <v>230</v>
      </c>
      <c r="DL180" s="284" t="str">
        <f t="shared" si="161"/>
        <v>+37</v>
      </c>
      <c r="DO180" s="286" t="s">
        <v>506</v>
      </c>
      <c r="DP180" s="281">
        <v>43916</v>
      </c>
      <c r="DQ180" s="291" t="str">
        <f t="shared" si="162"/>
        <v>+317</v>
      </c>
      <c r="DR180" s="287">
        <v>2532</v>
      </c>
      <c r="DS180" s="288">
        <v>47</v>
      </c>
      <c r="DT180" s="282" t="str">
        <f t="shared" si="164"/>
        <v>+11</v>
      </c>
      <c r="ED180" s="217"/>
    </row>
    <row r="181" spans="11:134" ht="15">
      <c r="U181" s="290"/>
      <c r="AP181" s="286" t="s">
        <v>510</v>
      </c>
      <c r="AQ181" s="281">
        <v>43917</v>
      </c>
      <c r="AR181" s="291" t="str">
        <f t="shared" si="156"/>
        <v>+187</v>
      </c>
      <c r="AS181" s="275">
        <f t="shared" ref="AS181:AT181" si="207">AP86</f>
        <v>2194</v>
      </c>
      <c r="AT181" s="283">
        <f t="shared" si="207"/>
        <v>30</v>
      </c>
      <c r="AU181" s="282" t="str">
        <f t="shared" si="158"/>
        <v>+7</v>
      </c>
      <c r="BP181" s="97"/>
      <c r="BQ181" s="97"/>
      <c r="BR181" s="97"/>
      <c r="BS181" s="97"/>
      <c r="BT181" s="97"/>
      <c r="DE181" s="588" t="s">
        <v>556</v>
      </c>
      <c r="DF181" s="574"/>
      <c r="DG181" s="574"/>
      <c r="DH181" s="550"/>
      <c r="DI181" s="284" t="str">
        <f t="shared" si="159"/>
        <v>+1272</v>
      </c>
      <c r="DJ181" s="277">
        <f t="shared" ref="DJ181:DK181" si="208">B86</f>
        <v>13818</v>
      </c>
      <c r="DK181" s="285">
        <f t="shared" si="208"/>
        <v>262</v>
      </c>
      <c r="DL181" s="284" t="str">
        <f t="shared" si="161"/>
        <v>+32</v>
      </c>
      <c r="DO181" s="286" t="s">
        <v>510</v>
      </c>
      <c r="DP181" s="281">
        <v>43917</v>
      </c>
      <c r="DQ181" s="291" t="str">
        <f t="shared" si="162"/>
        <v>+213</v>
      </c>
      <c r="DR181" s="287">
        <v>2745</v>
      </c>
      <c r="DS181" s="288">
        <v>48</v>
      </c>
      <c r="DT181" s="282" t="str">
        <f t="shared" si="164"/>
        <v>+1</v>
      </c>
      <c r="ED181" s="217"/>
    </row>
    <row r="182" spans="11:134" ht="15">
      <c r="U182" s="290"/>
      <c r="AP182" s="286" t="s">
        <v>512</v>
      </c>
      <c r="AQ182" s="281">
        <v>43918</v>
      </c>
      <c r="AR182" s="282" t="str">
        <f t="shared" si="156"/>
        <v>+199</v>
      </c>
      <c r="AS182" s="275">
        <f t="shared" ref="AS182:AT182" si="209">AP87</f>
        <v>2393</v>
      </c>
      <c r="AT182" s="283">
        <f t="shared" si="209"/>
        <v>37</v>
      </c>
      <c r="AU182" s="282" t="str">
        <f t="shared" si="158"/>
        <v>+7</v>
      </c>
      <c r="BP182" s="97"/>
      <c r="BQ182" s="97"/>
      <c r="BR182" s="97"/>
      <c r="BS182" s="97"/>
      <c r="BT182" s="97"/>
      <c r="DE182" s="588" t="s">
        <v>557</v>
      </c>
      <c r="DF182" s="574"/>
      <c r="DG182" s="574"/>
      <c r="DH182" s="550"/>
      <c r="DI182" s="284" t="str">
        <f t="shared" si="159"/>
        <v>+936</v>
      </c>
      <c r="DJ182" s="277">
        <f t="shared" ref="DJ182:DK182" si="210">B87</f>
        <v>14754</v>
      </c>
      <c r="DK182" s="285">
        <f t="shared" si="210"/>
        <v>306</v>
      </c>
      <c r="DL182" s="284" t="str">
        <f t="shared" si="161"/>
        <v>+44</v>
      </c>
      <c r="DO182" s="286" t="s">
        <v>512</v>
      </c>
      <c r="DP182" s="281">
        <v>43918</v>
      </c>
      <c r="DQ182" s="282" t="str">
        <f t="shared" si="162"/>
        <v>+191</v>
      </c>
      <c r="DR182" s="287">
        <v>2936</v>
      </c>
      <c r="DS182" s="288">
        <v>55</v>
      </c>
      <c r="DT182" s="282" t="str">
        <f t="shared" si="164"/>
        <v>+7</v>
      </c>
      <c r="ED182" s="217"/>
    </row>
    <row r="183" spans="11:134" ht="15">
      <c r="U183" s="290"/>
      <c r="AP183" s="286" t="s">
        <v>514</v>
      </c>
      <c r="AQ183" s="281">
        <v>43919</v>
      </c>
      <c r="AR183" s="282" t="str">
        <f t="shared" si="156"/>
        <v>+110</v>
      </c>
      <c r="AS183" s="275">
        <f t="shared" ref="AS183:AT183" si="211">AP88</f>
        <v>2503</v>
      </c>
      <c r="AT183" s="283">
        <f t="shared" si="211"/>
        <v>44</v>
      </c>
      <c r="AU183" s="282" t="str">
        <f t="shared" si="158"/>
        <v>+7</v>
      </c>
      <c r="BP183" s="97"/>
      <c r="BQ183" s="97"/>
      <c r="BR183" s="97"/>
      <c r="BS183" s="97"/>
      <c r="BT183" s="97"/>
      <c r="DE183" s="588" t="s">
        <v>558</v>
      </c>
      <c r="DF183" s="574"/>
      <c r="DG183" s="574"/>
      <c r="DH183" s="550"/>
      <c r="DI183" s="284" t="str">
        <f t="shared" si="159"/>
        <v>+740</v>
      </c>
      <c r="DJ183" s="277">
        <f t="shared" ref="DJ183:DK183" si="212">B88</f>
        <v>15494</v>
      </c>
      <c r="DK183" s="285">
        <f t="shared" si="212"/>
        <v>345</v>
      </c>
      <c r="DL183" s="284" t="str">
        <f t="shared" si="161"/>
        <v>+39</v>
      </c>
      <c r="DO183" s="286" t="s">
        <v>514</v>
      </c>
      <c r="DP183" s="281">
        <v>43919</v>
      </c>
      <c r="DQ183" s="282" t="str">
        <f t="shared" si="162"/>
        <v>+232</v>
      </c>
      <c r="DR183" s="287">
        <v>3168</v>
      </c>
      <c r="DS183" s="288">
        <v>66</v>
      </c>
      <c r="DT183" s="282" t="str">
        <f t="shared" si="164"/>
        <v>+11</v>
      </c>
      <c r="ED183" s="217"/>
    </row>
    <row r="184" spans="11:134" ht="21.75" customHeight="1">
      <c r="AP184" s="286" t="s">
        <v>60</v>
      </c>
      <c r="AQ184" s="281">
        <v>43920</v>
      </c>
      <c r="AR184" s="282" t="str">
        <f t="shared" si="156"/>
        <v>+209</v>
      </c>
      <c r="AS184" s="275">
        <f t="shared" ref="AS184:AT184" si="213">AP89</f>
        <v>2712</v>
      </c>
      <c r="AT184" s="283">
        <f t="shared" si="213"/>
        <v>53</v>
      </c>
      <c r="AU184" s="282" t="str">
        <f t="shared" si="158"/>
        <v>+9</v>
      </c>
      <c r="BP184" s="97"/>
      <c r="BQ184" s="97"/>
      <c r="BR184" s="97"/>
      <c r="BS184" s="97"/>
      <c r="BT184" s="97"/>
      <c r="DE184" s="588" t="s">
        <v>559</v>
      </c>
      <c r="DF184" s="574"/>
      <c r="DG184" s="574"/>
      <c r="DH184" s="550"/>
      <c r="DI184" s="284" t="str">
        <f t="shared" si="159"/>
        <v>+1061</v>
      </c>
      <c r="DJ184" s="277">
        <f t="shared" ref="DJ184:DK184" si="214">B89</f>
        <v>16555</v>
      </c>
      <c r="DK184" s="285">
        <f t="shared" si="214"/>
        <v>405</v>
      </c>
      <c r="DL184" s="284" t="str">
        <f t="shared" si="161"/>
        <v>+60</v>
      </c>
      <c r="DO184" s="286" t="s">
        <v>60</v>
      </c>
      <c r="DP184" s="281">
        <v>43920</v>
      </c>
      <c r="DQ184" s="282" t="str">
        <f t="shared" si="162"/>
        <v>+104</v>
      </c>
      <c r="DR184" s="279">
        <f t="shared" ref="DR184:DS184" si="215">DO89</f>
        <v>3272</v>
      </c>
      <c r="DS184" s="283">
        <f t="shared" si="215"/>
        <v>77</v>
      </c>
      <c r="DT184" s="282" t="str">
        <f t="shared" si="164"/>
        <v>+11</v>
      </c>
      <c r="ED184" s="217"/>
    </row>
    <row r="185" spans="11:134" ht="21.75" customHeight="1">
      <c r="AP185" s="286" t="s">
        <v>522</v>
      </c>
      <c r="AQ185" s="281">
        <v>43921</v>
      </c>
      <c r="AR185" s="282" t="str">
        <f t="shared" si="156"/>
        <v>+232</v>
      </c>
      <c r="AS185" s="275">
        <f t="shared" ref="AS185:AT185" si="216">AP90</f>
        <v>2944</v>
      </c>
      <c r="AT185" s="283">
        <f t="shared" si="216"/>
        <v>61</v>
      </c>
      <c r="AU185" s="282" t="str">
        <f t="shared" si="158"/>
        <v>+8</v>
      </c>
      <c r="BP185" s="97"/>
      <c r="BQ185" s="97"/>
      <c r="BR185" s="97"/>
      <c r="BS185" s="97"/>
      <c r="BT185" s="97"/>
      <c r="DE185" s="588" t="s">
        <v>560</v>
      </c>
      <c r="DF185" s="574"/>
      <c r="DG185" s="574"/>
      <c r="DH185" s="550"/>
      <c r="DI185" s="284" t="str">
        <f t="shared" si="159"/>
        <v>+954</v>
      </c>
      <c r="DJ185" s="277">
        <f t="shared" ref="DJ185:DK185" si="217">B90</f>
        <v>17509</v>
      </c>
      <c r="DK185" s="285">
        <f t="shared" si="217"/>
        <v>470</v>
      </c>
      <c r="DL185" s="284" t="str">
        <f t="shared" si="161"/>
        <v>+65</v>
      </c>
      <c r="DO185" s="286" t="s">
        <v>522</v>
      </c>
      <c r="DP185" s="281">
        <v>43921</v>
      </c>
      <c r="DQ185" s="282" t="str">
        <f t="shared" si="162"/>
        <v>+193</v>
      </c>
      <c r="DR185" s="287">
        <f t="shared" ref="DR185:DS185" si="218">DO90</f>
        <v>3465</v>
      </c>
      <c r="DS185" s="288">
        <f t="shared" si="218"/>
        <v>84</v>
      </c>
      <c r="DT185" s="282" t="str">
        <f t="shared" si="164"/>
        <v>+7</v>
      </c>
      <c r="ED185" s="217"/>
    </row>
    <row r="186" spans="11:134" ht="21.75" customHeight="1">
      <c r="AP186" s="272" t="s">
        <v>501</v>
      </c>
      <c r="AQ186" s="273">
        <v>43922</v>
      </c>
      <c r="AR186" s="282" t="str">
        <f t="shared" si="156"/>
        <v>+159</v>
      </c>
      <c r="AS186" s="275">
        <f t="shared" ref="AS186:AT186" si="219">AP91</f>
        <v>3103</v>
      </c>
      <c r="AT186" s="283">
        <f t="shared" si="219"/>
        <v>69</v>
      </c>
      <c r="AU186" s="282" t="str">
        <f t="shared" si="158"/>
        <v>+8</v>
      </c>
      <c r="BP186" s="97"/>
      <c r="BQ186" s="97"/>
      <c r="BR186" s="97"/>
      <c r="BS186" s="97"/>
      <c r="BT186" s="97"/>
      <c r="DE186" s="588" t="s">
        <v>561</v>
      </c>
      <c r="DF186" s="574"/>
      <c r="DG186" s="574"/>
      <c r="DH186" s="550"/>
      <c r="DI186" s="284" t="str">
        <f t="shared" si="159"/>
        <v>+1073</v>
      </c>
      <c r="DJ186" s="277">
        <f t="shared" ref="DJ186:DK186" si="220">B91</f>
        <v>18582</v>
      </c>
      <c r="DK186" s="285">
        <f t="shared" si="220"/>
        <v>525</v>
      </c>
      <c r="DL186" s="284" t="str">
        <f t="shared" si="161"/>
        <v>+55</v>
      </c>
      <c r="DO186" s="272" t="s">
        <v>501</v>
      </c>
      <c r="DP186" s="273">
        <v>43922</v>
      </c>
      <c r="DQ186" s="282" t="str">
        <f t="shared" si="162"/>
        <v>+174</v>
      </c>
      <c r="DR186" s="287">
        <f t="shared" ref="DR186:DS186" si="221">DO91</f>
        <v>3639</v>
      </c>
      <c r="DS186" s="288">
        <f t="shared" si="221"/>
        <v>92</v>
      </c>
      <c r="DT186" s="282" t="str">
        <f t="shared" si="164"/>
        <v>+8</v>
      </c>
      <c r="ED186" s="217"/>
    </row>
    <row r="187" spans="11:134" ht="21.75" customHeight="1">
      <c r="AP187" s="272" t="s">
        <v>506</v>
      </c>
      <c r="AQ187" s="273">
        <v>43923</v>
      </c>
      <c r="AR187" s="282" t="str">
        <f t="shared" si="156"/>
        <v>+211</v>
      </c>
      <c r="AS187" s="275">
        <f t="shared" ref="AS187:AT187" si="222">AP92</f>
        <v>3314</v>
      </c>
      <c r="AT187" s="283">
        <f t="shared" si="222"/>
        <v>77</v>
      </c>
      <c r="AU187" s="282" t="str">
        <f t="shared" si="158"/>
        <v>+8</v>
      </c>
      <c r="BP187" s="97"/>
      <c r="BQ187" s="97"/>
      <c r="BR187" s="97"/>
      <c r="BS187" s="97"/>
      <c r="BT187" s="97"/>
      <c r="DE187" s="588" t="s">
        <v>562</v>
      </c>
      <c r="DF187" s="574"/>
      <c r="DG187" s="574"/>
      <c r="DH187" s="550"/>
      <c r="DI187" s="284" t="str">
        <f t="shared" si="159"/>
        <v>+1029</v>
      </c>
      <c r="DJ187" s="277">
        <f t="shared" ref="DJ187:DK187" si="223">B92</f>
        <v>19611</v>
      </c>
      <c r="DK187" s="285">
        <f t="shared" si="223"/>
        <v>585</v>
      </c>
      <c r="DL187" s="284" t="str">
        <f t="shared" si="161"/>
        <v>+60</v>
      </c>
      <c r="DO187" s="272" t="s">
        <v>506</v>
      </c>
      <c r="DP187" s="273">
        <v>43923</v>
      </c>
      <c r="DQ187" s="282" t="str">
        <f t="shared" si="162"/>
        <v>+157</v>
      </c>
      <c r="DR187" s="287">
        <f t="shared" ref="DR187:DS187" si="224">DO92</f>
        <v>3796</v>
      </c>
      <c r="DS187" s="288">
        <f t="shared" si="224"/>
        <v>107</v>
      </c>
      <c r="DT187" s="282" t="str">
        <f t="shared" si="164"/>
        <v>+15</v>
      </c>
      <c r="ED187" s="217"/>
    </row>
    <row r="188" spans="11:134" ht="21.75" customHeight="1">
      <c r="AP188" s="272" t="s">
        <v>510</v>
      </c>
      <c r="AQ188" s="273">
        <v>43924</v>
      </c>
      <c r="AR188" s="282" t="str">
        <f t="shared" si="156"/>
        <v>+190</v>
      </c>
      <c r="AS188" s="275">
        <f t="shared" ref="AS188:AT188" si="225">AP93</f>
        <v>3504</v>
      </c>
      <c r="AT188" s="283">
        <f t="shared" si="225"/>
        <v>81</v>
      </c>
      <c r="AU188" s="282" t="str">
        <f t="shared" si="158"/>
        <v>+4</v>
      </c>
      <c r="BP188" s="97"/>
      <c r="BQ188" s="97"/>
      <c r="BR188" s="97"/>
      <c r="BS188" s="97"/>
      <c r="BT188" s="97"/>
      <c r="DE188" s="588" t="s">
        <v>563</v>
      </c>
      <c r="DF188" s="574"/>
      <c r="DG188" s="574"/>
      <c r="DH188" s="550"/>
      <c r="DI188" s="284" t="str">
        <f t="shared" si="159"/>
        <v>+933</v>
      </c>
      <c r="DJ188" s="277">
        <f t="shared" ref="DJ188:DK188" si="226">B93</f>
        <v>20544</v>
      </c>
      <c r="DK188" s="285">
        <f t="shared" si="226"/>
        <v>644</v>
      </c>
      <c r="DL188" s="284" t="str">
        <f t="shared" si="161"/>
        <v>+59</v>
      </c>
      <c r="DO188" s="272" t="s">
        <v>510</v>
      </c>
      <c r="DP188" s="273">
        <v>43924</v>
      </c>
      <c r="DQ188" s="282" t="str">
        <f t="shared" si="162"/>
        <v>+119</v>
      </c>
      <c r="DR188" s="287">
        <f t="shared" ref="DR188:DS188" si="227">DO93</f>
        <v>3915</v>
      </c>
      <c r="DS188" s="288">
        <f t="shared" si="227"/>
        <v>123</v>
      </c>
      <c r="DT188" s="282" t="str">
        <f t="shared" si="164"/>
        <v>+16</v>
      </c>
    </row>
    <row r="189" spans="11:134" ht="12.75">
      <c r="AP189" s="272" t="s">
        <v>512</v>
      </c>
      <c r="AQ189" s="273">
        <v>43925</v>
      </c>
      <c r="AR189" s="282" t="str">
        <f t="shared" si="156"/>
        <v>+128</v>
      </c>
      <c r="AS189" s="275">
        <f t="shared" ref="AS189:AT189" si="228">AP94</f>
        <v>3632</v>
      </c>
      <c r="AT189" s="283">
        <f t="shared" si="228"/>
        <v>94</v>
      </c>
      <c r="AU189" s="282" t="str">
        <f t="shared" si="158"/>
        <v>+13</v>
      </c>
      <c r="BP189" s="97"/>
      <c r="BQ189" s="97"/>
      <c r="BR189" s="97"/>
      <c r="BS189" s="97"/>
      <c r="BT189" s="97"/>
      <c r="DE189" s="588" t="s">
        <v>564</v>
      </c>
      <c r="DF189" s="574"/>
      <c r="DG189" s="574"/>
      <c r="DH189" s="550"/>
      <c r="DI189" s="284" t="str">
        <f t="shared" si="159"/>
        <v>+614</v>
      </c>
      <c r="DJ189" s="277">
        <f t="shared" ref="DJ189:DK189" si="229">B94</f>
        <v>21158</v>
      </c>
      <c r="DK189" s="285">
        <f t="shared" si="229"/>
        <v>707</v>
      </c>
      <c r="DL189" s="284" t="str">
        <f t="shared" si="161"/>
        <v>+63</v>
      </c>
      <c r="DO189" s="272" t="s">
        <v>512</v>
      </c>
      <c r="DP189" s="273">
        <v>43925</v>
      </c>
      <c r="DQ189" s="282" t="str">
        <f t="shared" si="162"/>
        <v>+120</v>
      </c>
      <c r="DR189" s="287">
        <f t="shared" ref="DR189:DS189" si="230">DO94</f>
        <v>4035</v>
      </c>
      <c r="DS189" s="288">
        <f t="shared" si="230"/>
        <v>138</v>
      </c>
      <c r="DT189" s="282" t="str">
        <f t="shared" si="164"/>
        <v>+15</v>
      </c>
      <c r="ED189" s="217"/>
    </row>
    <row r="190" spans="11:134" ht="12.75">
      <c r="AP190" s="272" t="s">
        <v>514</v>
      </c>
      <c r="AQ190" s="273">
        <v>43926</v>
      </c>
      <c r="AR190" s="282" t="str">
        <f t="shared" si="156"/>
        <v>+67</v>
      </c>
      <c r="AS190" s="275">
        <f t="shared" ref="AS190:AT190" si="231">AP95</f>
        <v>3699</v>
      </c>
      <c r="AT190" s="283">
        <f t="shared" si="231"/>
        <v>101</v>
      </c>
      <c r="AU190" s="282" t="str">
        <f t="shared" si="158"/>
        <v>+7</v>
      </c>
      <c r="BP190" s="97"/>
      <c r="BQ190" s="97"/>
      <c r="BR190" s="97"/>
      <c r="BS190" s="97"/>
      <c r="BT190" s="97"/>
      <c r="DE190" s="588" t="s">
        <v>565</v>
      </c>
      <c r="DF190" s="574"/>
      <c r="DG190" s="574"/>
      <c r="DH190" s="550"/>
      <c r="DI190" s="284" t="str">
        <f t="shared" si="159"/>
        <v>+468</v>
      </c>
      <c r="DJ190" s="277">
        <f t="shared" ref="DJ190:DK190" si="232">B95</f>
        <v>21626</v>
      </c>
      <c r="DK190" s="285">
        <f t="shared" si="232"/>
        <v>757</v>
      </c>
      <c r="DL190" s="284" t="str">
        <f t="shared" si="161"/>
        <v>+50</v>
      </c>
      <c r="DO190" s="272" t="s">
        <v>514</v>
      </c>
      <c r="DP190" s="273">
        <v>43926</v>
      </c>
      <c r="DQ190" s="282" t="str">
        <f t="shared" si="162"/>
        <v>+80</v>
      </c>
      <c r="DR190" s="287">
        <f t="shared" ref="DR190:DS190" si="233">DO95</f>
        <v>4115</v>
      </c>
      <c r="DS190" s="288">
        <f t="shared" si="233"/>
        <v>147</v>
      </c>
      <c r="DT190" s="282" t="str">
        <f t="shared" si="164"/>
        <v>+9</v>
      </c>
      <c r="ED190" s="217"/>
    </row>
    <row r="191" spans="11:134" ht="12.75">
      <c r="AP191" s="272" t="s">
        <v>60</v>
      </c>
      <c r="AQ191" s="273">
        <v>43927</v>
      </c>
      <c r="AR191" s="282" t="str">
        <f t="shared" si="156"/>
        <v>+122</v>
      </c>
      <c r="AS191" s="275">
        <f t="shared" ref="AS191:AT191" si="234">AP96</f>
        <v>3821</v>
      </c>
      <c r="AT191" s="283">
        <f t="shared" si="234"/>
        <v>112</v>
      </c>
      <c r="AU191" s="282" t="str">
        <f t="shared" si="158"/>
        <v>+11</v>
      </c>
      <c r="DE191" s="588" t="s">
        <v>566</v>
      </c>
      <c r="DF191" s="574"/>
      <c r="DG191" s="574"/>
      <c r="DH191" s="550"/>
      <c r="DI191" s="284" t="str">
        <f t="shared" si="159"/>
        <v>+623</v>
      </c>
      <c r="DJ191" s="277">
        <f t="shared" ref="DJ191:DK191" si="235">B96</f>
        <v>22249</v>
      </c>
      <c r="DK191" s="285">
        <f t="shared" si="235"/>
        <v>811</v>
      </c>
      <c r="DL191" s="284" t="str">
        <f t="shared" si="161"/>
        <v>+54</v>
      </c>
      <c r="DO191" s="272" t="s">
        <v>60</v>
      </c>
      <c r="DP191" s="273">
        <v>43927</v>
      </c>
      <c r="DQ191" s="282" t="str">
        <f t="shared" si="162"/>
        <v>+40</v>
      </c>
      <c r="DR191" s="287">
        <f t="shared" ref="DR191:DS191" si="236">DO96</f>
        <v>4155</v>
      </c>
      <c r="DS191" s="288">
        <f t="shared" si="236"/>
        <v>160</v>
      </c>
      <c r="DT191" s="282" t="str">
        <f t="shared" si="164"/>
        <v>+13</v>
      </c>
      <c r="ED191" s="217"/>
    </row>
    <row r="192" spans="11:134" ht="12.75">
      <c r="AP192" s="272" t="s">
        <v>522</v>
      </c>
      <c r="AQ192" s="273">
        <v>43928</v>
      </c>
      <c r="AR192" s="282" t="str">
        <f t="shared" si="156"/>
        <v>+161</v>
      </c>
      <c r="AS192" s="275">
        <f t="shared" ref="AS192:AT192" si="237">AP97</f>
        <v>3982</v>
      </c>
      <c r="AT192" s="283">
        <f t="shared" si="237"/>
        <v>123</v>
      </c>
      <c r="AU192" s="282" t="str">
        <f t="shared" si="158"/>
        <v>+11</v>
      </c>
      <c r="DE192" s="588" t="s">
        <v>567</v>
      </c>
      <c r="DF192" s="574"/>
      <c r="DG192" s="574"/>
      <c r="DH192" s="550"/>
      <c r="DI192" s="284" t="str">
        <f t="shared" si="159"/>
        <v>+710</v>
      </c>
      <c r="DJ192" s="277">
        <f t="shared" ref="DJ192:DK192" si="238">B97</f>
        <v>22959</v>
      </c>
      <c r="DK192" s="285">
        <f t="shared" si="238"/>
        <v>874</v>
      </c>
      <c r="DL192" s="284" t="str">
        <f t="shared" si="161"/>
        <v>+63</v>
      </c>
      <c r="DO192" s="272" t="s">
        <v>522</v>
      </c>
      <c r="DP192" s="273">
        <v>43928</v>
      </c>
      <c r="DQ192" s="282" t="str">
        <f t="shared" si="162"/>
        <v>+80</v>
      </c>
      <c r="DR192" s="287">
        <f t="shared" ref="DR192:DS192" si="239">DO97</f>
        <v>4235</v>
      </c>
      <c r="DS192" s="288">
        <f t="shared" si="239"/>
        <v>172</v>
      </c>
      <c r="DT192" s="282" t="str">
        <f t="shared" si="164"/>
        <v>+12</v>
      </c>
      <c r="ED192" s="217"/>
    </row>
    <row r="193" spans="42:134" ht="12.75">
      <c r="AP193" s="272" t="s">
        <v>501</v>
      </c>
      <c r="AQ193" s="273">
        <v>43929</v>
      </c>
      <c r="AR193" s="282" t="str">
        <f t="shared" si="156"/>
        <v>+133</v>
      </c>
      <c r="AS193" s="275">
        <f t="shared" ref="AS193:AT193" si="240">AP98</f>
        <v>4115</v>
      </c>
      <c r="AT193" s="283">
        <f t="shared" si="240"/>
        <v>136</v>
      </c>
      <c r="AU193" s="282" t="str">
        <f t="shared" si="158"/>
        <v>+13</v>
      </c>
      <c r="DE193" s="588" t="s">
        <v>568</v>
      </c>
      <c r="DF193" s="574"/>
      <c r="DG193" s="574"/>
      <c r="DH193" s="550"/>
      <c r="DI193" s="284" t="str">
        <f t="shared" si="159"/>
        <v>+635</v>
      </c>
      <c r="DJ193" s="277">
        <f t="shared" ref="DJ193:DK193" si="241">B98</f>
        <v>23594</v>
      </c>
      <c r="DK193" s="285">
        <f t="shared" si="241"/>
        <v>939</v>
      </c>
      <c r="DL193" s="284" t="str">
        <f t="shared" si="161"/>
        <v>+65</v>
      </c>
      <c r="DO193" s="272" t="s">
        <v>501</v>
      </c>
      <c r="DP193" s="273">
        <v>43929</v>
      </c>
      <c r="DQ193" s="282" t="str">
        <f t="shared" si="162"/>
        <v>+80</v>
      </c>
      <c r="DR193" s="287">
        <f t="shared" ref="DR193:DS193" si="242">DO98</f>
        <v>4315</v>
      </c>
      <c r="DS193" s="288">
        <f t="shared" si="242"/>
        <v>185</v>
      </c>
      <c r="DT193" s="282" t="str">
        <f t="shared" si="164"/>
        <v>+13</v>
      </c>
      <c r="ED193" s="217"/>
    </row>
    <row r="194" spans="42:134" ht="12.75">
      <c r="AP194" s="272" t="s">
        <v>506</v>
      </c>
      <c r="AQ194" s="273">
        <v>43930</v>
      </c>
      <c r="AR194" s="282" t="str">
        <f t="shared" si="156"/>
        <v>+94</v>
      </c>
      <c r="AS194" s="275">
        <f t="shared" ref="AS194:AT194" si="243">AP99</f>
        <v>4209</v>
      </c>
      <c r="AT194" s="283">
        <f t="shared" si="243"/>
        <v>145</v>
      </c>
      <c r="AU194" s="282" t="str">
        <f t="shared" si="158"/>
        <v>+9</v>
      </c>
      <c r="DE194" s="588" t="s">
        <v>569</v>
      </c>
      <c r="DF194" s="574"/>
      <c r="DG194" s="574"/>
      <c r="DH194" s="550"/>
      <c r="DI194" s="284" t="str">
        <f t="shared" si="159"/>
        <v>+666</v>
      </c>
      <c r="DJ194" s="277">
        <f t="shared" ref="DJ194:DK194" si="244">B99</f>
        <v>24260</v>
      </c>
      <c r="DK194" s="285">
        <f t="shared" si="244"/>
        <v>998</v>
      </c>
      <c r="DL194" s="284" t="str">
        <f t="shared" si="161"/>
        <v>+59</v>
      </c>
      <c r="DO194" s="272" t="s">
        <v>506</v>
      </c>
      <c r="DP194" s="273">
        <v>43930</v>
      </c>
      <c r="DQ194" s="282" t="str">
        <f t="shared" si="162"/>
        <v>+109</v>
      </c>
      <c r="DR194" s="287">
        <f t="shared" ref="DR194:DS194" si="245">DO99</f>
        <v>4424</v>
      </c>
      <c r="DS194" s="288">
        <f t="shared" si="245"/>
        <v>204</v>
      </c>
      <c r="DT194" s="282" t="str">
        <f t="shared" si="164"/>
        <v>+19</v>
      </c>
      <c r="ED194" s="217"/>
    </row>
    <row r="195" spans="42:134" ht="12.75">
      <c r="AP195" s="272" t="s">
        <v>510</v>
      </c>
      <c r="AQ195" s="273">
        <v>43931</v>
      </c>
      <c r="AR195" s="282" t="str">
        <f t="shared" si="156"/>
        <v>+42</v>
      </c>
      <c r="AS195" s="275">
        <f t="shared" ref="AS195:AT195" si="246">AP100</f>
        <v>4251</v>
      </c>
      <c r="AT195" s="283">
        <f t="shared" si="246"/>
        <v>154</v>
      </c>
      <c r="AU195" s="282" t="str">
        <f t="shared" si="158"/>
        <v>+9</v>
      </c>
      <c r="DE195" s="588" t="s">
        <v>570</v>
      </c>
      <c r="DF195" s="574"/>
      <c r="DG195" s="574"/>
      <c r="DH195" s="550"/>
      <c r="DI195" s="284" t="str">
        <f t="shared" si="159"/>
        <v>+495</v>
      </c>
      <c r="DJ195" s="277">
        <f t="shared" ref="DJ195:DK195" si="247">B100</f>
        <v>24755</v>
      </c>
      <c r="DK195" s="285">
        <f t="shared" si="247"/>
        <v>1056</v>
      </c>
      <c r="DL195" s="284" t="str">
        <f t="shared" si="161"/>
        <v>+58</v>
      </c>
      <c r="DO195" s="272" t="s">
        <v>510</v>
      </c>
      <c r="DP195" s="273">
        <v>43931</v>
      </c>
      <c r="DQ195" s="282" t="str">
        <f t="shared" si="162"/>
        <v>+100</v>
      </c>
      <c r="DR195" s="287">
        <f t="shared" ref="DR195:DS195" si="248">DO100</f>
        <v>4524</v>
      </c>
      <c r="DS195" s="288">
        <f t="shared" si="248"/>
        <v>224</v>
      </c>
      <c r="DT195" s="282" t="str">
        <f t="shared" si="164"/>
        <v>+20</v>
      </c>
      <c r="ED195" s="217"/>
    </row>
    <row r="196" spans="42:134" ht="12.75">
      <c r="AP196" s="272" t="s">
        <v>512</v>
      </c>
      <c r="AQ196" s="273">
        <v>43932</v>
      </c>
      <c r="AR196" s="282" t="str">
        <f t="shared" si="156"/>
        <v>+49</v>
      </c>
      <c r="AS196" s="275">
        <f t="shared" ref="AS196:AT196" si="249">AP101</f>
        <v>4300</v>
      </c>
      <c r="AT196" s="283">
        <f t="shared" si="249"/>
        <v>161</v>
      </c>
      <c r="AU196" s="282" t="str">
        <f t="shared" si="158"/>
        <v>+7</v>
      </c>
      <c r="DE196" s="588" t="s">
        <v>571</v>
      </c>
      <c r="DF196" s="574"/>
      <c r="DG196" s="574"/>
      <c r="DH196" s="550"/>
      <c r="DI196" s="284" t="str">
        <f t="shared" si="159"/>
        <v>+466</v>
      </c>
      <c r="DJ196" s="277">
        <f t="shared" ref="DJ196:DK196" si="250">B101</f>
        <v>25221</v>
      </c>
      <c r="DK196" s="285">
        <f t="shared" si="250"/>
        <v>1085</v>
      </c>
      <c r="DL196" s="284" t="str">
        <f t="shared" si="161"/>
        <v>+29</v>
      </c>
      <c r="DO196" s="272" t="s">
        <v>512</v>
      </c>
      <c r="DP196" s="273">
        <v>43932</v>
      </c>
      <c r="DQ196" s="282" t="str">
        <f t="shared" si="162"/>
        <v>+36</v>
      </c>
      <c r="DR196" s="287">
        <f t="shared" ref="DR196:DS196" si="251">DO101</f>
        <v>4560</v>
      </c>
      <c r="DS196" s="288">
        <f t="shared" si="251"/>
        <v>228</v>
      </c>
      <c r="DT196" s="282" t="str">
        <f t="shared" si="164"/>
        <v>+4</v>
      </c>
      <c r="ED196" s="217"/>
    </row>
    <row r="197" spans="42:134" ht="12.75">
      <c r="AP197" s="272" t="s">
        <v>514</v>
      </c>
      <c r="AQ197" s="273">
        <v>43933</v>
      </c>
      <c r="AR197" s="282" t="str">
        <f t="shared" si="156"/>
        <v>+22</v>
      </c>
      <c r="AS197" s="275">
        <f t="shared" ref="AS197:AT197" si="252">AP102</f>
        <v>4322</v>
      </c>
      <c r="AT197" s="283">
        <f t="shared" si="252"/>
        <v>167</v>
      </c>
      <c r="AU197" s="282" t="str">
        <f t="shared" si="158"/>
        <v>+6</v>
      </c>
      <c r="DE197" s="588" t="s">
        <v>572</v>
      </c>
      <c r="DF197" s="574"/>
      <c r="DG197" s="574"/>
      <c r="DH197" s="550"/>
      <c r="DI197" s="284" t="str">
        <f t="shared" si="159"/>
        <v>+337</v>
      </c>
      <c r="DJ197" s="277">
        <f t="shared" ref="DJ197:DK197" si="253">B102</f>
        <v>25558</v>
      </c>
      <c r="DK197" s="285">
        <f t="shared" si="253"/>
        <v>1139</v>
      </c>
      <c r="DL197" s="284" t="str">
        <f t="shared" si="161"/>
        <v>+54</v>
      </c>
      <c r="DO197" s="272" t="s">
        <v>514</v>
      </c>
      <c r="DP197" s="273">
        <v>43933</v>
      </c>
      <c r="DQ197" s="282" t="str">
        <f t="shared" si="162"/>
        <v>+89</v>
      </c>
      <c r="DR197" s="287">
        <f t="shared" ref="DR197:DS197" si="254">DO102</f>
        <v>4649</v>
      </c>
      <c r="DS197" s="288">
        <f t="shared" si="254"/>
        <v>233</v>
      </c>
      <c r="DT197" s="282" t="str">
        <f t="shared" si="164"/>
        <v>+5</v>
      </c>
      <c r="ED197" s="217"/>
    </row>
    <row r="198" spans="42:134" ht="12.75">
      <c r="AP198" s="272" t="s">
        <v>60</v>
      </c>
      <c r="AQ198" s="273">
        <v>43934</v>
      </c>
      <c r="AR198" s="282" t="str">
        <f t="shared" si="156"/>
        <v>+50</v>
      </c>
      <c r="AS198" s="275">
        <f t="shared" ref="AS198:AT198" si="255">AP103</f>
        <v>4372</v>
      </c>
      <c r="AT198" s="283">
        <f t="shared" si="255"/>
        <v>170</v>
      </c>
      <c r="AU198" s="282" t="str">
        <f t="shared" si="158"/>
        <v>+3</v>
      </c>
      <c r="DE198" s="588" t="s">
        <v>573</v>
      </c>
      <c r="DF198" s="574"/>
      <c r="DG198" s="574"/>
      <c r="DH198" s="550"/>
      <c r="DI198" s="284" t="str">
        <f t="shared" si="159"/>
        <v>+239</v>
      </c>
      <c r="DJ198" s="277">
        <f t="shared" ref="DJ198:DK198" si="256">B103</f>
        <v>25797</v>
      </c>
      <c r="DK198" s="285">
        <f t="shared" si="256"/>
        <v>1168</v>
      </c>
      <c r="DL198" s="284" t="str">
        <f t="shared" si="161"/>
        <v>+29</v>
      </c>
      <c r="DO198" s="272" t="s">
        <v>60</v>
      </c>
      <c r="DP198" s="273">
        <v>43934</v>
      </c>
      <c r="DQ198" s="282" t="str">
        <f t="shared" si="162"/>
        <v>+35</v>
      </c>
      <c r="DR198" s="287">
        <f t="shared" ref="DR198:DS198" si="257">DO103</f>
        <v>4684</v>
      </c>
      <c r="DS198" s="288">
        <f t="shared" si="257"/>
        <v>237</v>
      </c>
      <c r="DT198" s="282" t="str">
        <f t="shared" si="164"/>
        <v>+4</v>
      </c>
    </row>
    <row r="199" spans="42:134" ht="12.75">
      <c r="AP199" s="272" t="s">
        <v>522</v>
      </c>
      <c r="AQ199" s="273">
        <v>43935</v>
      </c>
      <c r="AR199" s="282" t="str">
        <f t="shared" si="156"/>
        <v>+52</v>
      </c>
      <c r="AS199" s="275">
        <f t="shared" ref="AS199:AT199" si="258">AP104</f>
        <v>4424</v>
      </c>
      <c r="AT199" s="283">
        <f t="shared" si="258"/>
        <v>174</v>
      </c>
      <c r="AU199" s="282" t="str">
        <f t="shared" si="158"/>
        <v>+4</v>
      </c>
      <c r="DE199" s="588" t="s">
        <v>574</v>
      </c>
      <c r="DF199" s="574"/>
      <c r="DG199" s="574"/>
      <c r="DH199" s="550"/>
      <c r="DI199" s="284" t="str">
        <f t="shared" si="159"/>
        <v>+314</v>
      </c>
      <c r="DJ199" s="277">
        <f t="shared" ref="DJ199:DK199" si="259">B104</f>
        <v>26111</v>
      </c>
      <c r="DK199" s="285">
        <f t="shared" si="259"/>
        <v>1212</v>
      </c>
      <c r="DL199" s="284" t="str">
        <f t="shared" si="161"/>
        <v>+44</v>
      </c>
      <c r="DO199" s="272" t="s">
        <v>522</v>
      </c>
      <c r="DP199" s="273">
        <v>43935</v>
      </c>
      <c r="DQ199" s="282" t="str">
        <f t="shared" si="162"/>
        <v>+57</v>
      </c>
      <c r="DR199" s="287">
        <f t="shared" ref="DR199:DS199" si="260">DO104</f>
        <v>4741</v>
      </c>
      <c r="DS199" s="288">
        <f t="shared" si="260"/>
        <v>254</v>
      </c>
      <c r="DT199" s="282" t="str">
        <f t="shared" si="164"/>
        <v>+17</v>
      </c>
      <c r="ED199" s="217"/>
    </row>
    <row r="200" spans="42:134" ht="12.75">
      <c r="AP200" s="272" t="s">
        <v>501</v>
      </c>
      <c r="AQ200" s="273">
        <v>43936</v>
      </c>
      <c r="AR200" s="282" t="str">
        <f t="shared" si="156"/>
        <v>+65</v>
      </c>
      <c r="AS200" s="275">
        <f t="shared" ref="AS200:AT200" si="261">AP105</f>
        <v>4489</v>
      </c>
      <c r="AT200" s="283">
        <f t="shared" si="261"/>
        <v>178</v>
      </c>
      <c r="AU200" s="282" t="str">
        <f t="shared" si="158"/>
        <v>+4</v>
      </c>
      <c r="DE200" s="588" t="s">
        <v>575</v>
      </c>
      <c r="DF200" s="574"/>
      <c r="DG200" s="574"/>
      <c r="DH200" s="550"/>
      <c r="DI200" s="284" t="str">
        <f t="shared" si="159"/>
        <v>+323</v>
      </c>
      <c r="DJ200" s="277">
        <f t="shared" ref="DJ200:DK200" si="262">B105</f>
        <v>26434</v>
      </c>
      <c r="DK200" s="285">
        <f t="shared" si="262"/>
        <v>1262</v>
      </c>
      <c r="DL200" s="284" t="str">
        <f t="shared" si="161"/>
        <v>+50</v>
      </c>
      <c r="DO200" s="272" t="s">
        <v>501</v>
      </c>
      <c r="DP200" s="273">
        <v>43936</v>
      </c>
      <c r="DQ200" s="282" t="str">
        <f t="shared" si="162"/>
        <v>+53</v>
      </c>
      <c r="DR200" s="287">
        <f t="shared" ref="DR200:DS200" si="263">DO105</f>
        <v>4794</v>
      </c>
      <c r="DS200" s="288">
        <f t="shared" si="263"/>
        <v>266</v>
      </c>
      <c r="DT200" s="282" t="str">
        <f t="shared" si="164"/>
        <v>+12</v>
      </c>
      <c r="ED200" s="217"/>
    </row>
    <row r="201" spans="42:134" ht="12.75">
      <c r="AP201" s="272" t="s">
        <v>506</v>
      </c>
      <c r="AQ201" s="273">
        <v>43937</v>
      </c>
      <c r="AR201" s="282" t="str">
        <f t="shared" si="156"/>
        <v>+64</v>
      </c>
      <c r="AS201" s="275">
        <f t="shared" ref="AS201:AT201" si="264">AP106</f>
        <v>4553</v>
      </c>
      <c r="AT201" s="283">
        <f t="shared" si="264"/>
        <v>184</v>
      </c>
      <c r="AU201" s="282" t="str">
        <f t="shared" si="158"/>
        <v>+6</v>
      </c>
      <c r="DE201" s="588" t="s">
        <v>576</v>
      </c>
      <c r="DF201" s="574"/>
      <c r="DG201" s="574"/>
      <c r="DH201" s="550"/>
      <c r="DI201" s="284" t="str">
        <f t="shared" si="159"/>
        <v>+315</v>
      </c>
      <c r="DJ201" s="277">
        <f t="shared" ref="DJ201:DK201" si="265">B106</f>
        <v>26749</v>
      </c>
      <c r="DK201" s="285">
        <f t="shared" si="265"/>
        <v>1307</v>
      </c>
      <c r="DL201" s="284" t="str">
        <f t="shared" si="161"/>
        <v>+45</v>
      </c>
      <c r="DO201" s="272" t="s">
        <v>506</v>
      </c>
      <c r="DP201" s="273">
        <v>43937</v>
      </c>
      <c r="DQ201" s="282" t="str">
        <f t="shared" si="162"/>
        <v>+50</v>
      </c>
      <c r="DR201" s="287">
        <f t="shared" ref="DR201:DS201" si="266">DO106</f>
        <v>4844</v>
      </c>
      <c r="DS201" s="288">
        <f t="shared" si="266"/>
        <v>279</v>
      </c>
      <c r="DT201" s="282" t="str">
        <f t="shared" si="164"/>
        <v>+13</v>
      </c>
      <c r="ED201" s="217"/>
    </row>
    <row r="202" spans="42:134" ht="12.75">
      <c r="AP202" s="272" t="s">
        <v>510</v>
      </c>
      <c r="AQ202" s="273">
        <v>43938</v>
      </c>
      <c r="AR202" s="282" t="str">
        <f t="shared" si="156"/>
        <v>+60</v>
      </c>
      <c r="AS202" s="275">
        <f t="shared" ref="AS202:AT202" si="267">AP107</f>
        <v>4613</v>
      </c>
      <c r="AT202" s="283">
        <f t="shared" si="267"/>
        <v>190</v>
      </c>
      <c r="AU202" s="282" t="str">
        <f t="shared" si="158"/>
        <v>+6</v>
      </c>
      <c r="DE202" s="588" t="s">
        <v>577</v>
      </c>
      <c r="DF202" s="574"/>
      <c r="DG202" s="574"/>
      <c r="DH202" s="550"/>
      <c r="DI202" s="284" t="str">
        <f t="shared" si="159"/>
        <v>+312</v>
      </c>
      <c r="DJ202" s="277">
        <f t="shared" ref="DJ202:DK202" si="268">B107</f>
        <v>27061</v>
      </c>
      <c r="DK202" s="285">
        <f t="shared" si="268"/>
        <v>1354</v>
      </c>
      <c r="DL202" s="284" t="str">
        <f t="shared" si="161"/>
        <v>+47</v>
      </c>
      <c r="DO202" s="272" t="s">
        <v>510</v>
      </c>
      <c r="DP202" s="273">
        <v>43938</v>
      </c>
      <c r="DQ202" s="282" t="str">
        <f t="shared" si="162"/>
        <v>+36</v>
      </c>
      <c r="DR202" s="287">
        <f t="shared" ref="DR202:DS202" si="269">DO107</f>
        <v>4880</v>
      </c>
      <c r="DS202" s="288">
        <f t="shared" si="269"/>
        <v>291</v>
      </c>
      <c r="DT202" s="282" t="str">
        <f t="shared" si="164"/>
        <v>+12</v>
      </c>
      <c r="ED202" s="217"/>
    </row>
    <row r="203" spans="42:134" ht="12.75">
      <c r="AP203" s="272" t="s">
        <v>512</v>
      </c>
      <c r="AQ203" s="273">
        <v>43939</v>
      </c>
      <c r="AR203" s="282" t="str">
        <f t="shared" si="156"/>
        <v>+48</v>
      </c>
      <c r="AS203" s="275">
        <f t="shared" ref="AS203:AT203" si="270">AP108</f>
        <v>4661</v>
      </c>
      <c r="AT203" s="283">
        <f t="shared" si="270"/>
        <v>193</v>
      </c>
      <c r="AU203" s="282" t="str">
        <f t="shared" si="158"/>
        <v>+3</v>
      </c>
      <c r="DE203" s="588" t="s">
        <v>578</v>
      </c>
      <c r="DF203" s="574"/>
      <c r="DG203" s="574"/>
      <c r="DH203" s="550"/>
      <c r="DI203" s="284" t="str">
        <f t="shared" si="159"/>
        <v>+329</v>
      </c>
      <c r="DJ203" s="277">
        <f t="shared" ref="DJ203:DK203" si="271">B108</f>
        <v>27390</v>
      </c>
      <c r="DK203" s="285">
        <f t="shared" si="271"/>
        <v>1387</v>
      </c>
      <c r="DL203" s="284" t="str">
        <f t="shared" si="161"/>
        <v>+33</v>
      </c>
      <c r="DO203" s="272" t="s">
        <v>512</v>
      </c>
      <c r="DP203" s="273">
        <v>43939</v>
      </c>
      <c r="DQ203" s="282" t="str">
        <f t="shared" si="162"/>
        <v>+65</v>
      </c>
      <c r="DR203" s="287">
        <f t="shared" ref="DR203:DS203" si="272">DO108</f>
        <v>4945</v>
      </c>
      <c r="DS203" s="288">
        <f t="shared" si="272"/>
        <v>292</v>
      </c>
      <c r="DT203" s="282" t="str">
        <f t="shared" si="164"/>
        <v>+1</v>
      </c>
      <c r="ED203" s="217"/>
    </row>
    <row r="204" spans="42:134" ht="12.75">
      <c r="AP204" s="272" t="s">
        <v>514</v>
      </c>
      <c r="AQ204" s="273">
        <v>43940</v>
      </c>
      <c r="AR204" s="282" t="str">
        <f t="shared" si="156"/>
        <v>+10</v>
      </c>
      <c r="AS204" s="275">
        <f t="shared" ref="AS204:AT204" si="273">AP109</f>
        <v>4671</v>
      </c>
      <c r="AT204" s="283">
        <f t="shared" si="273"/>
        <v>195</v>
      </c>
      <c r="AU204" s="282" t="str">
        <f t="shared" si="158"/>
        <v>+2</v>
      </c>
      <c r="DE204" s="588" t="s">
        <v>579</v>
      </c>
      <c r="DF204" s="574"/>
      <c r="DG204" s="574"/>
      <c r="DH204" s="550"/>
      <c r="DI204" s="284" t="str">
        <f t="shared" si="159"/>
        <v>+195</v>
      </c>
      <c r="DJ204" s="277">
        <f t="shared" ref="DJ204:DK204" si="274">B109</f>
        <v>27585</v>
      </c>
      <c r="DK204" s="285">
        <f t="shared" si="274"/>
        <v>1412</v>
      </c>
      <c r="DL204" s="284" t="str">
        <f t="shared" si="161"/>
        <v>+25</v>
      </c>
      <c r="DO204" s="272" t="s">
        <v>514</v>
      </c>
      <c r="DP204" s="273">
        <v>43940</v>
      </c>
      <c r="DQ204" s="282" t="str">
        <f t="shared" si="162"/>
        <v>+21</v>
      </c>
      <c r="DR204" s="287">
        <f t="shared" ref="DR204:DS204" si="275">DO109</f>
        <v>4966</v>
      </c>
      <c r="DS204" s="288">
        <f t="shared" si="275"/>
        <v>298</v>
      </c>
      <c r="DT204" s="282" t="str">
        <f t="shared" si="164"/>
        <v>+6</v>
      </c>
      <c r="ED204" s="217"/>
    </row>
    <row r="205" spans="42:134" ht="12.75">
      <c r="DE205" s="588" t="s">
        <v>581</v>
      </c>
      <c r="DF205" s="574"/>
      <c r="DG205" s="574"/>
      <c r="DH205" s="550"/>
      <c r="DI205" s="284" t="str">
        <f t="shared" si="159"/>
        <v>+110</v>
      </c>
      <c r="DJ205" s="277">
        <f t="shared" ref="DJ205:DK205" si="276">B110</f>
        <v>27695</v>
      </c>
      <c r="DK205" s="285">
        <f t="shared" si="276"/>
        <v>1434</v>
      </c>
      <c r="DL205" s="284" t="str">
        <f t="shared" si="161"/>
        <v>+22</v>
      </c>
      <c r="DO205" s="272" t="s">
        <v>60</v>
      </c>
      <c r="DP205" s="273">
        <v>43941</v>
      </c>
      <c r="DQ205" s="282" t="str">
        <f t="shared" si="162"/>
        <v>+0</v>
      </c>
      <c r="DR205" s="287">
        <f t="shared" ref="DR205:DS205" si="277">DO110</f>
        <v>4966</v>
      </c>
      <c r="DS205" s="288">
        <f t="shared" si="277"/>
        <v>298</v>
      </c>
      <c r="DT205" s="282" t="str">
        <f t="shared" si="164"/>
        <v>+0</v>
      </c>
      <c r="ED205" s="217"/>
    </row>
    <row r="206" spans="42:134" ht="12.75">
      <c r="DE206" s="604" t="s">
        <v>593</v>
      </c>
      <c r="DF206" s="531"/>
      <c r="DG206" s="531"/>
      <c r="DH206" s="531"/>
      <c r="DI206" s="531"/>
      <c r="DJ206" s="531"/>
      <c r="DK206" s="531"/>
      <c r="DL206" s="531"/>
      <c r="DO206" s="605" t="s">
        <v>604</v>
      </c>
      <c r="DP206" s="531"/>
      <c r="DQ206" s="531"/>
      <c r="DR206" s="531"/>
      <c r="DS206" s="531"/>
      <c r="DT206" s="531"/>
      <c r="ED206" s="217"/>
    </row>
    <row r="207" spans="42:134" ht="12.75">
      <c r="ED207" s="217"/>
    </row>
    <row r="208" spans="42:134" ht="12.75">
      <c r="ED208" s="217"/>
    </row>
    <row r="209" spans="134:134" ht="12.75">
      <c r="ED209" s="217"/>
    </row>
    <row r="210" spans="134:134" ht="12.75">
      <c r="ED210" s="217"/>
    </row>
    <row r="211" spans="134:134" ht="12.75">
      <c r="ED211" s="217"/>
    </row>
    <row r="212" spans="134:134" ht="12.75">
      <c r="ED212" s="217"/>
    </row>
    <row r="213" spans="134:134" ht="12.75">
      <c r="ED213" s="217"/>
    </row>
    <row r="214" spans="134:134" ht="12.75">
      <c r="ED214" s="217"/>
    </row>
    <row r="215" spans="134:134" ht="12.75">
      <c r="ED215" s="217"/>
    </row>
    <row r="216" spans="134:134" ht="12.75">
      <c r="ED216" s="217"/>
    </row>
    <row r="217" spans="134:134" ht="12.75">
      <c r="ED217" s="217"/>
    </row>
    <row r="218" spans="134:134" ht="12.75">
      <c r="ED218" s="217"/>
    </row>
    <row r="219" spans="134:134" ht="12.75">
      <c r="ED219" s="217"/>
    </row>
    <row r="220" spans="134:134" ht="12.75">
      <c r="ED220" s="217"/>
    </row>
    <row r="221" spans="134:134" ht="12.75">
      <c r="ED221" s="217"/>
    </row>
    <row r="222" spans="134:134" ht="12.75">
      <c r="ED222" s="217"/>
    </row>
    <row r="223" spans="134:134" ht="12.75">
      <c r="ED223" s="217"/>
    </row>
    <row r="224" spans="134:134" ht="12.75">
      <c r="ED224" s="217"/>
    </row>
    <row r="225" spans="134:134" ht="12.75">
      <c r="ED225" s="217"/>
    </row>
    <row r="226" spans="134:134" ht="12.75">
      <c r="ED226" s="217"/>
    </row>
    <row r="227" spans="134:134" ht="12.75">
      <c r="ED227" s="217"/>
    </row>
    <row r="228" spans="134:134" ht="12.75">
      <c r="ED228" s="217"/>
    </row>
    <row r="229" spans="134:134" ht="12.75">
      <c r="ED229" s="217"/>
    </row>
    <row r="230" spans="134:134" ht="12.75">
      <c r="ED230" s="217"/>
    </row>
    <row r="231" spans="134:134" ht="12.75">
      <c r="ED231" s="217"/>
    </row>
    <row r="232" spans="134:134" ht="12.75">
      <c r="ED232" s="217"/>
    </row>
    <row r="233" spans="134:134" ht="12.75">
      <c r="ED233" s="217"/>
    </row>
    <row r="234" spans="134:134" ht="12.75">
      <c r="ED234" s="217"/>
    </row>
    <row r="235" spans="134:134" ht="12.75">
      <c r="ED235" s="217"/>
    </row>
    <row r="236" spans="134:134" ht="12.75">
      <c r="ED236" s="217"/>
    </row>
    <row r="237" spans="134:134" ht="12.75">
      <c r="ED237" s="217"/>
    </row>
    <row r="238" spans="134:134" ht="12.75">
      <c r="ED238" s="217"/>
    </row>
    <row r="239" spans="134:134" ht="12.75">
      <c r="ED239" s="217"/>
    </row>
    <row r="240" spans="134:134" ht="12.75">
      <c r="ED240" s="217"/>
    </row>
    <row r="241" spans="134:134" ht="12.75">
      <c r="ED241" s="217"/>
    </row>
    <row r="242" spans="134:134" ht="12.75">
      <c r="ED242" s="217"/>
    </row>
    <row r="243" spans="134:134" ht="12.75">
      <c r="ED243" s="217"/>
    </row>
    <row r="244" spans="134:134" ht="12.75">
      <c r="ED244" s="217"/>
    </row>
    <row r="245" spans="134:134" ht="12.75">
      <c r="ED245" s="217"/>
    </row>
    <row r="246" spans="134:134" ht="12.75">
      <c r="ED246" s="217"/>
    </row>
    <row r="247" spans="134:134" ht="12.75">
      <c r="ED247" s="217"/>
    </row>
    <row r="248" spans="134:134" ht="12.75">
      <c r="ED248" s="217"/>
    </row>
    <row r="249" spans="134:134" ht="12.75">
      <c r="ED249" s="217"/>
    </row>
    <row r="250" spans="134:134" ht="12.75">
      <c r="ED250" s="217"/>
    </row>
    <row r="251" spans="134:134" ht="12.75">
      <c r="ED251" s="217"/>
    </row>
    <row r="252" spans="134:134" ht="12.75">
      <c r="ED252" s="217"/>
    </row>
    <row r="253" spans="134:134" ht="12.75">
      <c r="ED253" s="217"/>
    </row>
    <row r="254" spans="134:134" ht="12.75">
      <c r="ED254" s="217"/>
    </row>
    <row r="255" spans="134:134" ht="12.75">
      <c r="ED255" s="217"/>
    </row>
    <row r="256" spans="134:134" ht="12.75">
      <c r="ED256" s="217"/>
    </row>
    <row r="257" spans="125:134" ht="12.75">
      <c r="ED257" s="217"/>
    </row>
    <row r="258" spans="125:134" ht="12.75">
      <c r="ED258" s="217"/>
    </row>
    <row r="259" spans="125:134" ht="12.75">
      <c r="ED259" s="217"/>
    </row>
    <row r="260" spans="125:134" ht="12.75">
      <c r="ED260" s="217"/>
    </row>
    <row r="261" spans="125:134" ht="12.75">
      <c r="ED261" s="217"/>
    </row>
    <row r="262" spans="125:134" ht="12.75">
      <c r="DU262" s="123"/>
      <c r="DV262" s="123"/>
      <c r="ED262" s="217"/>
    </row>
    <row r="263" spans="125:134" ht="12.75">
      <c r="ED263" s="217"/>
    </row>
    <row r="264" spans="125:134" ht="12.75">
      <c r="ED264" s="217"/>
    </row>
    <row r="265" spans="125:134" ht="12.75">
      <c r="ED265" s="217"/>
    </row>
    <row r="266" spans="125:134" ht="12.75">
      <c r="ED266" s="217"/>
    </row>
    <row r="267" spans="125:134" ht="12.75">
      <c r="ED267" s="217"/>
    </row>
    <row r="268" spans="125:134" ht="12.75">
      <c r="ED268" s="217"/>
    </row>
    <row r="269" spans="125:134" ht="12.75">
      <c r="ED269" s="217"/>
    </row>
    <row r="270" spans="125:134" ht="12.75">
      <c r="ED270" s="217"/>
    </row>
    <row r="271" spans="125:134" ht="12.75">
      <c r="ED271" s="217"/>
    </row>
    <row r="272" spans="125:134" ht="12.75">
      <c r="ED272" s="217"/>
    </row>
    <row r="273" spans="134:134" ht="12.75">
      <c r="ED273" s="217"/>
    </row>
    <row r="274" spans="134:134" ht="12.75">
      <c r="ED274" s="217"/>
    </row>
    <row r="275" spans="134:134" ht="12.75">
      <c r="ED275" s="217"/>
    </row>
    <row r="276" spans="134:134" ht="12.75">
      <c r="ED276" s="217"/>
    </row>
    <row r="277" spans="134:134" ht="12.75">
      <c r="ED277" s="217"/>
    </row>
    <row r="278" spans="134:134" ht="12.75">
      <c r="ED278" s="217"/>
    </row>
    <row r="279" spans="134:134" ht="12.75">
      <c r="ED279" s="217"/>
    </row>
    <row r="280" spans="134:134" ht="12.75">
      <c r="ED280" s="217"/>
    </row>
    <row r="281" spans="134:134" ht="12.75">
      <c r="ED281" s="217"/>
    </row>
    <row r="282" spans="134:134" ht="12.75">
      <c r="ED282" s="217"/>
    </row>
    <row r="283" spans="134:134" ht="12.75">
      <c r="ED283" s="217"/>
    </row>
    <row r="284" spans="134:134" ht="12.75">
      <c r="ED284" s="217"/>
    </row>
    <row r="285" spans="134:134" ht="12.75">
      <c r="ED285" s="217"/>
    </row>
    <row r="286" spans="134:134" ht="12.75">
      <c r="ED286" s="217"/>
    </row>
    <row r="287" spans="134:134" ht="12.75">
      <c r="ED287" s="217"/>
    </row>
    <row r="288" spans="134:134" ht="12.75">
      <c r="ED288" s="217"/>
    </row>
    <row r="289" spans="134:134" ht="12.75">
      <c r="ED289" s="217"/>
    </row>
    <row r="290" spans="134:134" ht="12.75">
      <c r="ED290" s="217"/>
    </row>
    <row r="291" spans="134:134" ht="12.75">
      <c r="ED291" s="217"/>
    </row>
    <row r="292" spans="134:134" ht="12.75">
      <c r="ED292" s="217"/>
    </row>
    <row r="293" spans="134:134" ht="12.75">
      <c r="ED293" s="217"/>
    </row>
    <row r="294" spans="134:134" ht="12.75">
      <c r="ED294" s="217"/>
    </row>
    <row r="295" spans="134:134" ht="12.75">
      <c r="ED295" s="217"/>
    </row>
    <row r="296" spans="134:134" ht="12.75">
      <c r="ED296" s="217"/>
    </row>
    <row r="297" spans="134:134" ht="12.75">
      <c r="ED297" s="217"/>
    </row>
    <row r="298" spans="134:134" ht="12.75">
      <c r="ED298" s="217"/>
    </row>
    <row r="299" spans="134:134" ht="12.75">
      <c r="ED299" s="217"/>
    </row>
    <row r="300" spans="134:134" ht="12.75">
      <c r="ED300" s="217"/>
    </row>
    <row r="301" spans="134:134" ht="12.75">
      <c r="ED301" s="217"/>
    </row>
    <row r="302" spans="134:134" ht="12.75">
      <c r="ED302" s="217"/>
    </row>
    <row r="303" spans="134:134" ht="12.75">
      <c r="ED303" s="217"/>
    </row>
    <row r="304" spans="134:134" ht="12.75">
      <c r="ED304" s="217"/>
    </row>
    <row r="305" spans="134:134" ht="12.75">
      <c r="ED305" s="217"/>
    </row>
    <row r="306" spans="134:134" ht="12.75">
      <c r="ED306" s="217"/>
    </row>
    <row r="307" spans="134:134" ht="12.75">
      <c r="ED307" s="217"/>
    </row>
    <row r="308" spans="134:134" ht="12.75">
      <c r="ED308" s="217"/>
    </row>
    <row r="309" spans="134:134" ht="12.75">
      <c r="ED309" s="217"/>
    </row>
    <row r="310" spans="134:134" ht="12.75">
      <c r="ED310" s="217"/>
    </row>
    <row r="311" spans="134:134" ht="12.75">
      <c r="ED311" s="217"/>
    </row>
    <row r="312" spans="134:134" ht="12.75">
      <c r="ED312" s="217"/>
    </row>
    <row r="313" spans="134:134" ht="12.75">
      <c r="ED313" s="217"/>
    </row>
    <row r="314" spans="134:134" ht="12.75">
      <c r="ED314" s="217"/>
    </row>
    <row r="315" spans="134:134" ht="12.75">
      <c r="ED315" s="217"/>
    </row>
    <row r="316" spans="134:134" ht="12.75">
      <c r="ED316" s="217"/>
    </row>
    <row r="317" spans="134:134" ht="12.75">
      <c r="ED317" s="217"/>
    </row>
    <row r="318" spans="134:134" ht="12.75">
      <c r="ED318" s="217"/>
    </row>
    <row r="319" spans="134:134" ht="12.75">
      <c r="ED319" s="217"/>
    </row>
    <row r="320" spans="134:134" ht="12.75">
      <c r="ED320" s="217"/>
    </row>
    <row r="321" spans="134:134" ht="12.75">
      <c r="ED321" s="217"/>
    </row>
    <row r="322" spans="134:134" ht="12.75">
      <c r="ED322" s="217"/>
    </row>
    <row r="323" spans="134:134" ht="12.75">
      <c r="ED323" s="217"/>
    </row>
    <row r="324" spans="134:134" ht="12.75">
      <c r="ED324" s="217"/>
    </row>
    <row r="325" spans="134:134" ht="12.75">
      <c r="ED325" s="217"/>
    </row>
    <row r="326" spans="134:134" ht="12.75">
      <c r="ED326" s="217"/>
    </row>
    <row r="327" spans="134:134" ht="12.75">
      <c r="ED327" s="217"/>
    </row>
    <row r="328" spans="134:134" ht="12.75">
      <c r="ED328" s="217"/>
    </row>
    <row r="329" spans="134:134" ht="12.75">
      <c r="ED329" s="217"/>
    </row>
    <row r="330" spans="134:134" ht="12.75">
      <c r="ED330" s="217"/>
    </row>
    <row r="331" spans="134:134" ht="12.75">
      <c r="ED331" s="217"/>
    </row>
    <row r="332" spans="134:134" ht="12.75">
      <c r="ED332" s="217"/>
    </row>
    <row r="333" spans="134:134" ht="12.75">
      <c r="ED333" s="217"/>
    </row>
    <row r="334" spans="134:134" ht="12.75">
      <c r="ED334" s="217"/>
    </row>
    <row r="335" spans="134:134" ht="12.75">
      <c r="ED335" s="217"/>
    </row>
    <row r="336" spans="134:134" ht="12.75">
      <c r="ED336" s="217"/>
    </row>
    <row r="337" spans="134:134" ht="12.75">
      <c r="ED337" s="217"/>
    </row>
    <row r="338" spans="134:134" ht="12.75">
      <c r="ED338" s="217"/>
    </row>
    <row r="339" spans="134:134" ht="12.75">
      <c r="ED339" s="217"/>
    </row>
    <row r="340" spans="134:134" ht="12.75">
      <c r="ED340" s="217"/>
    </row>
    <row r="341" spans="134:134" ht="12.75">
      <c r="ED341" s="217"/>
    </row>
    <row r="342" spans="134:134" ht="12.75">
      <c r="ED342" s="217"/>
    </row>
    <row r="343" spans="134:134" ht="12.75">
      <c r="ED343" s="217"/>
    </row>
    <row r="344" spans="134:134" ht="12.75">
      <c r="ED344" s="217"/>
    </row>
    <row r="345" spans="134:134" ht="12.75">
      <c r="ED345" s="217"/>
    </row>
    <row r="346" spans="134:134" ht="12.75">
      <c r="ED346" s="217"/>
    </row>
    <row r="347" spans="134:134" ht="12.75">
      <c r="ED347" s="217"/>
    </row>
    <row r="348" spans="134:134" ht="12.75">
      <c r="ED348" s="217"/>
    </row>
    <row r="349" spans="134:134" ht="12.75">
      <c r="ED349" s="217"/>
    </row>
    <row r="350" spans="134:134" ht="12.75">
      <c r="ED350" s="217"/>
    </row>
    <row r="351" spans="134:134" ht="12.75">
      <c r="ED351" s="217"/>
    </row>
    <row r="352" spans="134:134" ht="12.75">
      <c r="ED352" s="217"/>
    </row>
    <row r="353" spans="134:134" ht="12.75">
      <c r="ED353" s="217"/>
    </row>
    <row r="354" spans="134:134" ht="12.75">
      <c r="ED354" s="217"/>
    </row>
    <row r="355" spans="134:134" ht="12.75">
      <c r="ED355" s="217"/>
    </row>
    <row r="356" spans="134:134" ht="12.75">
      <c r="ED356" s="217"/>
    </row>
    <row r="357" spans="134:134" ht="12.75">
      <c r="ED357" s="217"/>
    </row>
    <row r="358" spans="134:134" ht="12.75">
      <c r="ED358" s="217"/>
    </row>
    <row r="359" spans="134:134" ht="12.75">
      <c r="ED359" s="217"/>
    </row>
    <row r="360" spans="134:134" ht="12.75">
      <c r="ED360" s="217"/>
    </row>
    <row r="361" spans="134:134" ht="12.75">
      <c r="ED361" s="217"/>
    </row>
    <row r="362" spans="134:134" ht="12.75">
      <c r="ED362" s="217"/>
    </row>
    <row r="363" spans="134:134" ht="12.75">
      <c r="ED363" s="217"/>
    </row>
    <row r="364" spans="134:134" ht="12.75">
      <c r="ED364" s="217"/>
    </row>
    <row r="365" spans="134:134" ht="12.75">
      <c r="ED365" s="217"/>
    </row>
    <row r="366" spans="134:134" ht="12.75">
      <c r="ED366" s="217"/>
    </row>
    <row r="367" spans="134:134" ht="12.75">
      <c r="ED367" s="217"/>
    </row>
    <row r="368" spans="134:134" ht="12.75">
      <c r="ED368" s="217"/>
    </row>
    <row r="369" spans="134:134" ht="12.75">
      <c r="ED369" s="217"/>
    </row>
    <row r="370" spans="134:134" ht="12.75">
      <c r="ED370" s="217"/>
    </row>
    <row r="371" spans="134:134" ht="12.75">
      <c r="ED371" s="217"/>
    </row>
    <row r="372" spans="134:134" ht="12.75">
      <c r="ED372" s="217"/>
    </row>
    <row r="373" spans="134:134" ht="12.75">
      <c r="ED373" s="217"/>
    </row>
    <row r="374" spans="134:134" ht="12.75">
      <c r="ED374" s="217"/>
    </row>
    <row r="375" spans="134:134" ht="12.75">
      <c r="ED375" s="217"/>
    </row>
    <row r="376" spans="134:134" ht="12.75">
      <c r="ED376" s="217"/>
    </row>
    <row r="377" spans="134:134" ht="12.75">
      <c r="ED377" s="217"/>
    </row>
    <row r="378" spans="134:134" ht="12.75">
      <c r="ED378" s="217"/>
    </row>
    <row r="379" spans="134:134" ht="12.75">
      <c r="ED379" s="217"/>
    </row>
    <row r="380" spans="134:134" ht="12.75">
      <c r="ED380" s="217"/>
    </row>
    <row r="381" spans="134:134" ht="12.75">
      <c r="ED381" s="217"/>
    </row>
    <row r="382" spans="134:134" ht="12.75">
      <c r="ED382" s="217"/>
    </row>
    <row r="383" spans="134:134" ht="12.75">
      <c r="ED383" s="217"/>
    </row>
    <row r="384" spans="134:134" ht="12.75">
      <c r="ED384" s="217"/>
    </row>
    <row r="385" spans="134:134" ht="12.75">
      <c r="ED385" s="217"/>
    </row>
    <row r="386" spans="134:134" ht="12.75">
      <c r="ED386" s="217"/>
    </row>
    <row r="387" spans="134:134" ht="12.75">
      <c r="ED387" s="217"/>
    </row>
    <row r="388" spans="134:134" ht="12.75">
      <c r="ED388" s="217"/>
    </row>
    <row r="389" spans="134:134" ht="12.75">
      <c r="ED389" s="217"/>
    </row>
    <row r="390" spans="134:134" ht="12.75">
      <c r="ED390" s="217"/>
    </row>
    <row r="391" spans="134:134" ht="12.75">
      <c r="ED391" s="217"/>
    </row>
    <row r="392" spans="134:134" ht="12.75">
      <c r="ED392" s="217"/>
    </row>
    <row r="393" spans="134:134" ht="12.75">
      <c r="ED393" s="217"/>
    </row>
    <row r="394" spans="134:134" ht="12.75">
      <c r="ED394" s="217"/>
    </row>
    <row r="395" spans="134:134" ht="12.75">
      <c r="ED395" s="217"/>
    </row>
    <row r="396" spans="134:134" ht="12.75">
      <c r="ED396" s="217"/>
    </row>
    <row r="397" spans="134:134" ht="12.75">
      <c r="ED397" s="217"/>
    </row>
    <row r="398" spans="134:134" ht="12.75">
      <c r="ED398" s="217"/>
    </row>
    <row r="399" spans="134:134" ht="12.75">
      <c r="ED399" s="217"/>
    </row>
    <row r="400" spans="134:134" ht="12.75">
      <c r="ED400" s="217"/>
    </row>
    <row r="401" spans="134:134" ht="12.75">
      <c r="ED401" s="217"/>
    </row>
    <row r="402" spans="134:134" ht="12.75">
      <c r="ED402" s="217"/>
    </row>
    <row r="403" spans="134:134" ht="12.75">
      <c r="ED403" s="217"/>
    </row>
    <row r="404" spans="134:134" ht="12.75">
      <c r="ED404" s="217"/>
    </row>
    <row r="405" spans="134:134" ht="12.75">
      <c r="ED405" s="217"/>
    </row>
    <row r="406" spans="134:134" ht="12.75">
      <c r="ED406" s="217"/>
    </row>
    <row r="407" spans="134:134" ht="12.75">
      <c r="ED407" s="217"/>
    </row>
    <row r="408" spans="134:134" ht="12.75">
      <c r="ED408" s="217"/>
    </row>
    <row r="409" spans="134:134" ht="12.75">
      <c r="ED409" s="217"/>
    </row>
    <row r="410" spans="134:134" ht="12.75">
      <c r="ED410" s="217"/>
    </row>
    <row r="411" spans="134:134" ht="12.75">
      <c r="ED411" s="217"/>
    </row>
    <row r="412" spans="134:134" ht="12.75">
      <c r="ED412" s="217"/>
    </row>
    <row r="413" spans="134:134" ht="12.75">
      <c r="ED413" s="217"/>
    </row>
    <row r="414" spans="134:134" ht="12.75">
      <c r="ED414" s="217"/>
    </row>
    <row r="415" spans="134:134" ht="12.75">
      <c r="ED415" s="217"/>
    </row>
    <row r="416" spans="134:134" ht="12.75">
      <c r="ED416" s="217"/>
    </row>
    <row r="417" spans="134:134" ht="12.75">
      <c r="ED417" s="217"/>
    </row>
    <row r="418" spans="134:134" ht="12.75">
      <c r="ED418" s="217"/>
    </row>
    <row r="419" spans="134:134" ht="12.75">
      <c r="ED419" s="217"/>
    </row>
    <row r="420" spans="134:134" ht="12.75">
      <c r="ED420" s="217"/>
    </row>
    <row r="421" spans="134:134" ht="12.75">
      <c r="ED421" s="217"/>
    </row>
    <row r="422" spans="134:134" ht="12.75">
      <c r="ED422" s="217"/>
    </row>
    <row r="423" spans="134:134" ht="12.75">
      <c r="ED423" s="217"/>
    </row>
    <row r="424" spans="134:134" ht="12.75">
      <c r="ED424" s="217"/>
    </row>
    <row r="425" spans="134:134" ht="12.75">
      <c r="ED425" s="217"/>
    </row>
    <row r="426" spans="134:134" ht="12.75">
      <c r="ED426" s="217"/>
    </row>
    <row r="427" spans="134:134" ht="12.75">
      <c r="ED427" s="217"/>
    </row>
    <row r="428" spans="134:134" ht="12.75">
      <c r="ED428" s="217"/>
    </row>
    <row r="429" spans="134:134" ht="12.75">
      <c r="ED429" s="217"/>
    </row>
    <row r="430" spans="134:134" ht="12.75">
      <c r="ED430" s="217"/>
    </row>
    <row r="431" spans="134:134" ht="12.75">
      <c r="ED431" s="217"/>
    </row>
    <row r="432" spans="134:134" ht="12.75">
      <c r="ED432" s="217"/>
    </row>
    <row r="433" spans="134:134" ht="12.75">
      <c r="ED433" s="217"/>
    </row>
    <row r="434" spans="134:134" ht="12.75">
      <c r="ED434" s="217"/>
    </row>
    <row r="435" spans="134:134" ht="12.75">
      <c r="ED435" s="217"/>
    </row>
    <row r="436" spans="134:134" ht="12.75">
      <c r="ED436" s="217"/>
    </row>
    <row r="437" spans="134:134" ht="12.75">
      <c r="ED437" s="217"/>
    </row>
    <row r="438" spans="134:134" ht="12.75">
      <c r="ED438" s="217"/>
    </row>
    <row r="439" spans="134:134" ht="12.75">
      <c r="ED439" s="217"/>
    </row>
    <row r="440" spans="134:134" ht="12.75">
      <c r="ED440" s="217"/>
    </row>
    <row r="441" spans="134:134" ht="12.75">
      <c r="ED441" s="217"/>
    </row>
    <row r="442" spans="134:134" ht="12.75">
      <c r="ED442" s="217"/>
    </row>
    <row r="443" spans="134:134" ht="12.75">
      <c r="ED443" s="217"/>
    </row>
    <row r="444" spans="134:134" ht="12.75">
      <c r="ED444" s="217"/>
    </row>
    <row r="445" spans="134:134" ht="12.75">
      <c r="ED445" s="217"/>
    </row>
    <row r="446" spans="134:134" ht="12.75">
      <c r="ED446" s="217"/>
    </row>
    <row r="447" spans="134:134" ht="12.75">
      <c r="ED447" s="217"/>
    </row>
    <row r="448" spans="134:134" ht="12.75">
      <c r="ED448" s="217"/>
    </row>
    <row r="449" spans="134:134" ht="12.75">
      <c r="ED449" s="217"/>
    </row>
    <row r="450" spans="134:134" ht="12.75">
      <c r="ED450" s="217"/>
    </row>
    <row r="451" spans="134:134" ht="12.75">
      <c r="ED451" s="217"/>
    </row>
    <row r="452" spans="134:134" ht="12.75">
      <c r="ED452" s="217"/>
    </row>
    <row r="453" spans="134:134" ht="12.75">
      <c r="ED453" s="217"/>
    </row>
    <row r="454" spans="134:134" ht="12.75">
      <c r="ED454" s="217"/>
    </row>
    <row r="455" spans="134:134" ht="12.75">
      <c r="ED455" s="217"/>
    </row>
    <row r="456" spans="134:134" ht="12.75">
      <c r="ED456" s="217"/>
    </row>
    <row r="457" spans="134:134" ht="12.75">
      <c r="ED457" s="217"/>
    </row>
    <row r="458" spans="134:134" ht="12.75">
      <c r="ED458" s="217"/>
    </row>
    <row r="459" spans="134:134" ht="12.75">
      <c r="ED459" s="217"/>
    </row>
    <row r="460" spans="134:134" ht="12.75">
      <c r="ED460" s="217"/>
    </row>
    <row r="461" spans="134:134" ht="12.75">
      <c r="ED461" s="217"/>
    </row>
    <row r="462" spans="134:134" ht="12.75">
      <c r="ED462" s="217"/>
    </row>
    <row r="463" spans="134:134" ht="12.75">
      <c r="ED463" s="217"/>
    </row>
    <row r="464" spans="134:134" ht="12.75">
      <c r="ED464" s="217"/>
    </row>
    <row r="465" spans="134:134" ht="12.75">
      <c r="ED465" s="217"/>
    </row>
    <row r="466" spans="134:134" ht="12.75">
      <c r="ED466" s="217"/>
    </row>
    <row r="467" spans="134:134" ht="12.75">
      <c r="ED467" s="217"/>
    </row>
    <row r="468" spans="134:134" ht="12.75">
      <c r="ED468" s="217"/>
    </row>
    <row r="469" spans="134:134" ht="12.75">
      <c r="ED469" s="217"/>
    </row>
    <row r="470" spans="134:134" ht="12.75">
      <c r="ED470" s="217"/>
    </row>
    <row r="471" spans="134:134" ht="12.75">
      <c r="ED471" s="217"/>
    </row>
    <row r="472" spans="134:134" ht="12.75">
      <c r="ED472" s="217"/>
    </row>
    <row r="473" spans="134:134" ht="12.75">
      <c r="ED473" s="217"/>
    </row>
    <row r="474" spans="134:134" ht="12.75">
      <c r="ED474" s="217"/>
    </row>
    <row r="475" spans="134:134" ht="12.75">
      <c r="ED475" s="217"/>
    </row>
    <row r="476" spans="134:134" ht="12.75">
      <c r="ED476" s="217"/>
    </row>
    <row r="477" spans="134:134" ht="12.75">
      <c r="ED477" s="217"/>
    </row>
    <row r="478" spans="134:134" ht="12.75">
      <c r="ED478" s="217"/>
    </row>
    <row r="479" spans="134:134" ht="12.75">
      <c r="ED479" s="217"/>
    </row>
    <row r="480" spans="134:134" ht="12.75">
      <c r="ED480" s="217"/>
    </row>
    <row r="481" spans="134:134" ht="12.75">
      <c r="ED481" s="217"/>
    </row>
    <row r="482" spans="134:134" ht="12.75">
      <c r="ED482" s="217"/>
    </row>
    <row r="483" spans="134:134" ht="12.75">
      <c r="ED483" s="217"/>
    </row>
    <row r="484" spans="134:134" ht="12.75">
      <c r="ED484" s="217"/>
    </row>
    <row r="485" spans="134:134" ht="12.75">
      <c r="ED485" s="217"/>
    </row>
    <row r="486" spans="134:134" ht="12.75">
      <c r="ED486" s="217"/>
    </row>
    <row r="487" spans="134:134" ht="12.75">
      <c r="ED487" s="217"/>
    </row>
    <row r="488" spans="134:134" ht="12.75">
      <c r="ED488" s="217"/>
    </row>
    <row r="489" spans="134:134" ht="12.75">
      <c r="ED489" s="217"/>
    </row>
    <row r="490" spans="134:134" ht="12.75">
      <c r="ED490" s="217"/>
    </row>
    <row r="491" spans="134:134" ht="12.75">
      <c r="ED491" s="217"/>
    </row>
    <row r="492" spans="134:134" ht="12.75">
      <c r="ED492" s="217"/>
    </row>
    <row r="493" spans="134:134" ht="12.75">
      <c r="ED493" s="217"/>
    </row>
    <row r="494" spans="134:134" ht="12.75">
      <c r="ED494" s="217"/>
    </row>
    <row r="495" spans="134:134" ht="12.75">
      <c r="ED495" s="217"/>
    </row>
    <row r="496" spans="134:134" ht="12.75">
      <c r="ED496" s="217"/>
    </row>
    <row r="497" spans="134:134" ht="12.75">
      <c r="ED497" s="217"/>
    </row>
    <row r="498" spans="134:134" ht="12.75">
      <c r="ED498" s="217"/>
    </row>
    <row r="499" spans="134:134" ht="12.75">
      <c r="ED499" s="217"/>
    </row>
    <row r="500" spans="134:134" ht="12.75">
      <c r="ED500" s="217"/>
    </row>
    <row r="501" spans="134:134" ht="12.75">
      <c r="ED501" s="217"/>
    </row>
    <row r="502" spans="134:134" ht="12.75">
      <c r="ED502" s="217"/>
    </row>
    <row r="503" spans="134:134" ht="12.75">
      <c r="ED503" s="217"/>
    </row>
    <row r="504" spans="134:134" ht="12.75">
      <c r="ED504" s="217"/>
    </row>
    <row r="505" spans="134:134" ht="12.75">
      <c r="ED505" s="217"/>
    </row>
    <row r="506" spans="134:134" ht="12.75">
      <c r="ED506" s="217"/>
    </row>
    <row r="507" spans="134:134" ht="12.75">
      <c r="ED507" s="217"/>
    </row>
    <row r="508" spans="134:134" ht="12.75">
      <c r="ED508" s="217"/>
    </row>
    <row r="509" spans="134:134" ht="12.75">
      <c r="ED509" s="217"/>
    </row>
    <row r="510" spans="134:134" ht="12.75">
      <c r="ED510" s="217"/>
    </row>
    <row r="511" spans="134:134" ht="12.75">
      <c r="ED511" s="217"/>
    </row>
    <row r="512" spans="134:134" ht="12.75">
      <c r="ED512" s="217"/>
    </row>
    <row r="513" spans="134:134" ht="12.75">
      <c r="ED513" s="217"/>
    </row>
    <row r="514" spans="134:134" ht="12.75">
      <c r="ED514" s="217"/>
    </row>
    <row r="515" spans="134:134" ht="12.75">
      <c r="ED515" s="217"/>
    </row>
    <row r="516" spans="134:134" ht="12.75">
      <c r="ED516" s="217"/>
    </row>
    <row r="517" spans="134:134" ht="12.75">
      <c r="ED517" s="217"/>
    </row>
    <row r="518" spans="134:134" ht="12.75">
      <c r="ED518" s="217"/>
    </row>
    <row r="519" spans="134:134" ht="12.75">
      <c r="ED519" s="217"/>
    </row>
    <row r="520" spans="134:134" ht="12.75">
      <c r="ED520" s="217"/>
    </row>
    <row r="521" spans="134:134" ht="12.75">
      <c r="ED521" s="217"/>
    </row>
    <row r="522" spans="134:134" ht="12.75">
      <c r="ED522" s="217"/>
    </row>
    <row r="523" spans="134:134" ht="12.75">
      <c r="ED523" s="217"/>
    </row>
    <row r="524" spans="134:134" ht="12.75">
      <c r="ED524" s="217"/>
    </row>
    <row r="525" spans="134:134" ht="12.75">
      <c r="ED525" s="217"/>
    </row>
    <row r="526" spans="134:134" ht="12.75">
      <c r="ED526" s="217"/>
    </row>
    <row r="527" spans="134:134" ht="12.75">
      <c r="ED527" s="217"/>
    </row>
    <row r="528" spans="134:134" ht="12.75">
      <c r="ED528" s="217"/>
    </row>
    <row r="529" spans="134:134" ht="12.75">
      <c r="ED529" s="217"/>
    </row>
    <row r="530" spans="134:134" ht="12.75">
      <c r="ED530" s="217"/>
    </row>
    <row r="531" spans="134:134" ht="12.75">
      <c r="ED531" s="217"/>
    </row>
    <row r="532" spans="134:134" ht="12.75">
      <c r="ED532" s="217"/>
    </row>
    <row r="533" spans="134:134" ht="12.75">
      <c r="ED533" s="217"/>
    </row>
    <row r="534" spans="134:134" ht="12.75">
      <c r="ED534" s="217"/>
    </row>
    <row r="535" spans="134:134" ht="12.75">
      <c r="ED535" s="217"/>
    </row>
    <row r="536" spans="134:134" ht="12.75">
      <c r="ED536" s="217"/>
    </row>
    <row r="537" spans="134:134" ht="12.75">
      <c r="ED537" s="217"/>
    </row>
    <row r="538" spans="134:134" ht="12.75">
      <c r="ED538" s="217"/>
    </row>
    <row r="539" spans="134:134" ht="12.75">
      <c r="ED539" s="217"/>
    </row>
    <row r="540" spans="134:134" ht="12.75">
      <c r="ED540" s="217"/>
    </row>
    <row r="541" spans="134:134" ht="12.75">
      <c r="ED541" s="217"/>
    </row>
    <row r="542" spans="134:134" ht="12.75">
      <c r="ED542" s="217"/>
    </row>
    <row r="543" spans="134:134" ht="12.75">
      <c r="ED543" s="217"/>
    </row>
    <row r="544" spans="134:134" ht="12.75">
      <c r="ED544" s="217"/>
    </row>
    <row r="545" spans="134:134" ht="12.75">
      <c r="ED545" s="217"/>
    </row>
    <row r="546" spans="134:134" ht="12.75">
      <c r="ED546" s="217"/>
    </row>
    <row r="547" spans="134:134" ht="12.75">
      <c r="ED547" s="217"/>
    </row>
    <row r="548" spans="134:134" ht="12.75">
      <c r="ED548" s="217"/>
    </row>
    <row r="549" spans="134:134" ht="12.75">
      <c r="ED549" s="217"/>
    </row>
    <row r="550" spans="134:134" ht="12.75">
      <c r="ED550" s="217"/>
    </row>
    <row r="551" spans="134:134" ht="12.75">
      <c r="ED551" s="217"/>
    </row>
    <row r="552" spans="134:134" ht="12.75">
      <c r="ED552" s="217"/>
    </row>
    <row r="553" spans="134:134" ht="12.75">
      <c r="ED553" s="217"/>
    </row>
    <row r="554" spans="134:134" ht="12.75">
      <c r="ED554" s="217"/>
    </row>
    <row r="555" spans="134:134" ht="12.75">
      <c r="ED555" s="217"/>
    </row>
    <row r="556" spans="134:134" ht="12.75">
      <c r="ED556" s="217"/>
    </row>
    <row r="557" spans="134:134" ht="12.75">
      <c r="ED557" s="217"/>
    </row>
    <row r="558" spans="134:134" ht="12.75">
      <c r="ED558" s="217"/>
    </row>
    <row r="559" spans="134:134" ht="12.75">
      <c r="ED559" s="217"/>
    </row>
    <row r="560" spans="134:134" ht="12.75">
      <c r="ED560" s="217"/>
    </row>
    <row r="561" spans="134:134" ht="12.75">
      <c r="ED561" s="217"/>
    </row>
    <row r="562" spans="134:134" ht="12.75">
      <c r="ED562" s="217"/>
    </row>
    <row r="563" spans="134:134" ht="12.75">
      <c r="ED563" s="217"/>
    </row>
    <row r="564" spans="134:134" ht="12.75">
      <c r="ED564" s="217"/>
    </row>
    <row r="565" spans="134:134" ht="12.75">
      <c r="ED565" s="217"/>
    </row>
    <row r="566" spans="134:134" ht="12.75">
      <c r="ED566" s="217"/>
    </row>
    <row r="567" spans="134:134" ht="12.75">
      <c r="ED567" s="217"/>
    </row>
    <row r="568" spans="134:134" ht="12.75">
      <c r="ED568" s="217"/>
    </row>
    <row r="569" spans="134:134" ht="12.75">
      <c r="ED569" s="217"/>
    </row>
    <row r="570" spans="134:134" ht="12.75">
      <c r="ED570" s="217"/>
    </row>
    <row r="571" spans="134:134" ht="12.75">
      <c r="ED571" s="217"/>
    </row>
    <row r="572" spans="134:134" ht="12.75">
      <c r="ED572" s="217"/>
    </row>
    <row r="573" spans="134:134" ht="12.75">
      <c r="ED573" s="217"/>
    </row>
    <row r="574" spans="134:134" ht="12.75">
      <c r="ED574" s="217"/>
    </row>
    <row r="575" spans="134:134" ht="12.75">
      <c r="ED575" s="217"/>
    </row>
    <row r="576" spans="134:134" ht="12.75">
      <c r="ED576" s="217"/>
    </row>
    <row r="577" spans="134:134" ht="12.75">
      <c r="ED577" s="217"/>
    </row>
    <row r="578" spans="134:134" ht="12.75">
      <c r="ED578" s="217"/>
    </row>
    <row r="579" spans="134:134" ht="12.75">
      <c r="ED579" s="217"/>
    </row>
    <row r="580" spans="134:134" ht="12.75">
      <c r="ED580" s="217"/>
    </row>
    <row r="581" spans="134:134" ht="12.75">
      <c r="ED581" s="217"/>
    </row>
    <row r="582" spans="134:134" ht="12.75">
      <c r="ED582" s="217"/>
    </row>
    <row r="583" spans="134:134" ht="12.75">
      <c r="ED583" s="217"/>
    </row>
    <row r="584" spans="134:134" ht="12.75">
      <c r="ED584" s="217"/>
    </row>
    <row r="585" spans="134:134" ht="12.75">
      <c r="ED585" s="217"/>
    </row>
    <row r="586" spans="134:134" ht="12.75">
      <c r="ED586" s="217"/>
    </row>
    <row r="587" spans="134:134" ht="12.75">
      <c r="ED587" s="217"/>
    </row>
    <row r="588" spans="134:134" ht="12.75">
      <c r="ED588" s="217"/>
    </row>
    <row r="589" spans="134:134" ht="12.75">
      <c r="ED589" s="217"/>
    </row>
    <row r="590" spans="134:134" ht="12.75">
      <c r="ED590" s="217"/>
    </row>
    <row r="591" spans="134:134" ht="12.75">
      <c r="ED591" s="217"/>
    </row>
    <row r="592" spans="134:134" ht="12.75">
      <c r="ED592" s="217"/>
    </row>
    <row r="593" spans="134:134" ht="12.75">
      <c r="ED593" s="217"/>
    </row>
    <row r="594" spans="134:134" ht="12.75">
      <c r="ED594" s="217"/>
    </row>
    <row r="595" spans="134:134" ht="12.75">
      <c r="ED595" s="217"/>
    </row>
    <row r="596" spans="134:134" ht="12.75">
      <c r="ED596" s="217"/>
    </row>
    <row r="597" spans="134:134" ht="12.75">
      <c r="ED597" s="217"/>
    </row>
    <row r="598" spans="134:134" ht="12.75">
      <c r="ED598" s="217"/>
    </row>
    <row r="599" spans="134:134" ht="12.75">
      <c r="ED599" s="217"/>
    </row>
    <row r="600" spans="134:134" ht="12.75">
      <c r="ED600" s="217"/>
    </row>
    <row r="601" spans="134:134" ht="12.75">
      <c r="ED601" s="217"/>
    </row>
    <row r="602" spans="134:134" ht="12.75">
      <c r="ED602" s="217"/>
    </row>
    <row r="603" spans="134:134" ht="12.75">
      <c r="ED603" s="217"/>
    </row>
    <row r="604" spans="134:134" ht="12.75">
      <c r="ED604" s="217"/>
    </row>
    <row r="605" spans="134:134" ht="12.75">
      <c r="ED605" s="217"/>
    </row>
    <row r="606" spans="134:134" ht="12.75">
      <c r="ED606" s="217"/>
    </row>
    <row r="607" spans="134:134" ht="12.75">
      <c r="ED607" s="217"/>
    </row>
    <row r="608" spans="134:134" ht="12.75">
      <c r="ED608" s="217"/>
    </row>
    <row r="609" spans="134:134" ht="12.75">
      <c r="ED609" s="217"/>
    </row>
    <row r="610" spans="134:134" ht="12.75">
      <c r="ED610" s="217"/>
    </row>
    <row r="611" spans="134:134" ht="12.75">
      <c r="ED611" s="217"/>
    </row>
    <row r="612" spans="134:134" ht="12.75">
      <c r="ED612" s="217"/>
    </row>
    <row r="613" spans="134:134" ht="12.75">
      <c r="ED613" s="217"/>
    </row>
    <row r="614" spans="134:134" ht="12.75">
      <c r="ED614" s="217"/>
    </row>
    <row r="615" spans="134:134" ht="12.75">
      <c r="ED615" s="217"/>
    </row>
    <row r="616" spans="134:134" ht="12.75">
      <c r="ED616" s="217"/>
    </row>
    <row r="617" spans="134:134" ht="12.75">
      <c r="ED617" s="217"/>
    </row>
    <row r="618" spans="134:134" ht="12.75">
      <c r="ED618" s="217"/>
    </row>
    <row r="619" spans="134:134" ht="12.75">
      <c r="ED619" s="217"/>
    </row>
    <row r="620" spans="134:134" ht="12.75">
      <c r="ED620" s="217"/>
    </row>
    <row r="621" spans="134:134" ht="12.75">
      <c r="ED621" s="217"/>
    </row>
    <row r="622" spans="134:134" ht="12.75">
      <c r="ED622" s="217"/>
    </row>
    <row r="623" spans="134:134" ht="12.75">
      <c r="ED623" s="217"/>
    </row>
    <row r="624" spans="134:134" ht="12.75">
      <c r="ED624" s="217"/>
    </row>
    <row r="625" spans="134:134" ht="12.75">
      <c r="ED625" s="217"/>
    </row>
    <row r="626" spans="134:134" ht="12.75">
      <c r="ED626" s="217"/>
    </row>
    <row r="627" spans="134:134" ht="12.75">
      <c r="ED627" s="217"/>
    </row>
    <row r="628" spans="134:134" ht="12.75">
      <c r="ED628" s="217"/>
    </row>
    <row r="629" spans="134:134" ht="12.75">
      <c r="ED629" s="217"/>
    </row>
    <row r="630" spans="134:134" ht="12.75">
      <c r="ED630" s="217"/>
    </row>
    <row r="631" spans="134:134" ht="12.75">
      <c r="ED631" s="217"/>
    </row>
    <row r="632" spans="134:134" ht="12.75">
      <c r="ED632" s="217"/>
    </row>
    <row r="633" spans="134:134" ht="12.75">
      <c r="ED633" s="217"/>
    </row>
    <row r="634" spans="134:134" ht="12.75">
      <c r="ED634" s="217"/>
    </row>
    <row r="635" spans="134:134" ht="12.75">
      <c r="ED635" s="217"/>
    </row>
    <row r="636" spans="134:134" ht="12.75">
      <c r="ED636" s="217"/>
    </row>
    <row r="637" spans="134:134" ht="12.75">
      <c r="ED637" s="217"/>
    </row>
    <row r="638" spans="134:134" ht="12.75">
      <c r="ED638" s="217"/>
    </row>
    <row r="639" spans="134:134" ht="12.75">
      <c r="ED639" s="217"/>
    </row>
    <row r="640" spans="134:134" ht="12.75">
      <c r="ED640" s="217"/>
    </row>
    <row r="641" spans="134:134" ht="12.75">
      <c r="ED641" s="217"/>
    </row>
    <row r="642" spans="134:134" ht="12.75">
      <c r="ED642" s="217"/>
    </row>
    <row r="643" spans="134:134" ht="12.75">
      <c r="ED643" s="217"/>
    </row>
    <row r="644" spans="134:134" ht="12.75">
      <c r="ED644" s="217"/>
    </row>
    <row r="645" spans="134:134" ht="12.75">
      <c r="ED645" s="217"/>
    </row>
    <row r="646" spans="134:134" ht="12.75">
      <c r="ED646" s="217"/>
    </row>
    <row r="647" spans="134:134" ht="12.75">
      <c r="ED647" s="217"/>
    </row>
    <row r="648" spans="134:134" ht="12.75">
      <c r="ED648" s="217"/>
    </row>
    <row r="649" spans="134:134" ht="12.75">
      <c r="ED649" s="217"/>
    </row>
    <row r="650" spans="134:134" ht="12.75">
      <c r="ED650" s="217"/>
    </row>
    <row r="651" spans="134:134" ht="12.75">
      <c r="ED651" s="217"/>
    </row>
    <row r="652" spans="134:134" ht="12.75">
      <c r="ED652" s="217"/>
    </row>
    <row r="653" spans="134:134" ht="12.75">
      <c r="ED653" s="217"/>
    </row>
    <row r="654" spans="134:134" ht="12.75">
      <c r="ED654" s="217"/>
    </row>
    <row r="655" spans="134:134" ht="12.75">
      <c r="ED655" s="217"/>
    </row>
    <row r="656" spans="134:134" ht="12.75">
      <c r="ED656" s="217"/>
    </row>
    <row r="657" spans="134:134" ht="12.75">
      <c r="ED657" s="217"/>
    </row>
    <row r="658" spans="134:134" ht="12.75">
      <c r="ED658" s="217"/>
    </row>
    <row r="659" spans="134:134" ht="12.75">
      <c r="ED659" s="217"/>
    </row>
    <row r="660" spans="134:134" ht="12.75">
      <c r="ED660" s="217"/>
    </row>
    <row r="661" spans="134:134" ht="12.75">
      <c r="ED661" s="217"/>
    </row>
    <row r="662" spans="134:134" ht="12.75">
      <c r="ED662" s="217"/>
    </row>
    <row r="663" spans="134:134" ht="12.75">
      <c r="ED663" s="217"/>
    </row>
    <row r="664" spans="134:134" ht="12.75">
      <c r="ED664" s="217"/>
    </row>
    <row r="665" spans="134:134" ht="12.75">
      <c r="ED665" s="217"/>
    </row>
    <row r="666" spans="134:134" ht="12.75">
      <c r="ED666" s="217"/>
    </row>
    <row r="667" spans="134:134" ht="12.75">
      <c r="ED667" s="217"/>
    </row>
    <row r="668" spans="134:134" ht="12.75">
      <c r="ED668" s="217"/>
    </row>
    <row r="669" spans="134:134" ht="12.75">
      <c r="ED669" s="217"/>
    </row>
    <row r="670" spans="134:134" ht="12.75">
      <c r="ED670" s="217"/>
    </row>
    <row r="671" spans="134:134" ht="12.75">
      <c r="ED671" s="217"/>
    </row>
    <row r="672" spans="134:134" ht="12.75">
      <c r="ED672" s="217"/>
    </row>
    <row r="673" spans="134:134" ht="12.75">
      <c r="ED673" s="217"/>
    </row>
    <row r="674" spans="134:134" ht="12.75">
      <c r="ED674" s="217"/>
    </row>
    <row r="675" spans="134:134" ht="12.75">
      <c r="ED675" s="217"/>
    </row>
    <row r="676" spans="134:134" ht="12.75">
      <c r="ED676" s="217"/>
    </row>
    <row r="677" spans="134:134" ht="12.75">
      <c r="ED677" s="217"/>
    </row>
    <row r="678" spans="134:134" ht="12.75">
      <c r="ED678" s="217"/>
    </row>
    <row r="679" spans="134:134" ht="12.75">
      <c r="ED679" s="217"/>
    </row>
    <row r="680" spans="134:134" ht="12.75">
      <c r="ED680" s="217"/>
    </row>
    <row r="681" spans="134:134" ht="12.75">
      <c r="ED681" s="217"/>
    </row>
    <row r="682" spans="134:134" ht="12.75">
      <c r="ED682" s="217"/>
    </row>
    <row r="683" spans="134:134" ht="12.75">
      <c r="ED683" s="217"/>
    </row>
    <row r="684" spans="134:134" ht="12.75">
      <c r="ED684" s="217"/>
    </row>
    <row r="685" spans="134:134" ht="12.75">
      <c r="ED685" s="217"/>
    </row>
    <row r="686" spans="134:134" ht="12.75">
      <c r="ED686" s="217"/>
    </row>
    <row r="687" spans="134:134" ht="12.75">
      <c r="ED687" s="217"/>
    </row>
    <row r="688" spans="134:134" ht="12.75">
      <c r="ED688" s="217"/>
    </row>
    <row r="689" spans="134:134" ht="12.75">
      <c r="ED689" s="217"/>
    </row>
    <row r="690" spans="134:134" ht="12.75">
      <c r="ED690" s="217"/>
    </row>
    <row r="691" spans="134:134" ht="12.75">
      <c r="ED691" s="217"/>
    </row>
    <row r="692" spans="134:134" ht="12.75">
      <c r="ED692" s="217"/>
    </row>
    <row r="693" spans="134:134" ht="12.75">
      <c r="ED693" s="217"/>
    </row>
    <row r="694" spans="134:134" ht="12.75">
      <c r="ED694" s="217"/>
    </row>
    <row r="695" spans="134:134" ht="12.75">
      <c r="ED695" s="217"/>
    </row>
    <row r="696" spans="134:134" ht="12.75">
      <c r="ED696" s="217"/>
    </row>
    <row r="697" spans="134:134" ht="12.75">
      <c r="ED697" s="217"/>
    </row>
    <row r="698" spans="134:134" ht="12.75">
      <c r="ED698" s="217"/>
    </row>
    <row r="699" spans="134:134" ht="12.75">
      <c r="ED699" s="217"/>
    </row>
    <row r="700" spans="134:134" ht="12.75">
      <c r="ED700" s="217"/>
    </row>
    <row r="701" spans="134:134" ht="12.75">
      <c r="ED701" s="217"/>
    </row>
    <row r="702" spans="134:134" ht="12.75">
      <c r="ED702" s="217"/>
    </row>
    <row r="703" spans="134:134" ht="12.75">
      <c r="ED703" s="217"/>
    </row>
    <row r="704" spans="134:134" ht="12.75">
      <c r="ED704" s="217"/>
    </row>
    <row r="705" spans="134:134" ht="12.75">
      <c r="ED705" s="217"/>
    </row>
    <row r="706" spans="134:134" ht="12.75">
      <c r="ED706" s="217"/>
    </row>
    <row r="707" spans="134:134" ht="12.75">
      <c r="ED707" s="217"/>
    </row>
    <row r="708" spans="134:134" ht="12.75">
      <c r="ED708" s="217"/>
    </row>
    <row r="709" spans="134:134" ht="12.75">
      <c r="ED709" s="217"/>
    </row>
    <row r="710" spans="134:134" ht="12.75">
      <c r="ED710" s="217"/>
    </row>
    <row r="711" spans="134:134" ht="12.75">
      <c r="ED711" s="217"/>
    </row>
    <row r="712" spans="134:134" ht="12.75">
      <c r="ED712" s="217"/>
    </row>
    <row r="713" spans="134:134" ht="12.75">
      <c r="ED713" s="217"/>
    </row>
    <row r="714" spans="134:134" ht="12.75">
      <c r="ED714" s="217"/>
    </row>
    <row r="715" spans="134:134" ht="12.75">
      <c r="ED715" s="217"/>
    </row>
    <row r="716" spans="134:134" ht="12.75">
      <c r="ED716" s="217"/>
    </row>
    <row r="717" spans="134:134" ht="12.75">
      <c r="ED717" s="217"/>
    </row>
    <row r="718" spans="134:134" ht="12.75">
      <c r="ED718" s="217"/>
    </row>
    <row r="719" spans="134:134" ht="12.75">
      <c r="ED719" s="217"/>
    </row>
    <row r="720" spans="134:134" ht="12.75">
      <c r="ED720" s="217"/>
    </row>
    <row r="721" spans="134:134" ht="12.75">
      <c r="ED721" s="217"/>
    </row>
    <row r="722" spans="134:134" ht="12.75">
      <c r="ED722" s="217"/>
    </row>
    <row r="723" spans="134:134" ht="12.75">
      <c r="ED723" s="217"/>
    </row>
    <row r="724" spans="134:134" ht="12.75">
      <c r="ED724" s="217"/>
    </row>
    <row r="725" spans="134:134" ht="12.75">
      <c r="ED725" s="217"/>
    </row>
    <row r="726" spans="134:134" ht="12.75">
      <c r="ED726" s="217"/>
    </row>
    <row r="727" spans="134:134" ht="12.75">
      <c r="ED727" s="217"/>
    </row>
    <row r="728" spans="134:134" ht="12.75">
      <c r="ED728" s="217"/>
    </row>
    <row r="729" spans="134:134" ht="12.75">
      <c r="ED729" s="217"/>
    </row>
    <row r="730" spans="134:134" ht="12.75">
      <c r="ED730" s="217"/>
    </row>
    <row r="731" spans="134:134" ht="12.75">
      <c r="ED731" s="217"/>
    </row>
    <row r="732" spans="134:134" ht="12.75">
      <c r="ED732" s="217"/>
    </row>
    <row r="733" spans="134:134" ht="12.75">
      <c r="ED733" s="217"/>
    </row>
    <row r="734" spans="134:134" ht="12.75">
      <c r="ED734" s="217"/>
    </row>
    <row r="735" spans="134:134" ht="12.75">
      <c r="ED735" s="217"/>
    </row>
    <row r="736" spans="134:134" ht="12.75">
      <c r="ED736" s="217"/>
    </row>
    <row r="737" spans="134:134" ht="12.75">
      <c r="ED737" s="217"/>
    </row>
    <row r="738" spans="134:134" ht="12.75">
      <c r="ED738" s="217"/>
    </row>
    <row r="739" spans="134:134" ht="12.75">
      <c r="ED739" s="217"/>
    </row>
    <row r="740" spans="134:134" ht="12.75">
      <c r="ED740" s="217"/>
    </row>
    <row r="741" spans="134:134" ht="12.75">
      <c r="ED741" s="217"/>
    </row>
    <row r="742" spans="134:134" ht="12.75">
      <c r="ED742" s="217"/>
    </row>
    <row r="743" spans="134:134" ht="12.75">
      <c r="ED743" s="217"/>
    </row>
    <row r="744" spans="134:134" ht="12.75">
      <c r="ED744" s="217"/>
    </row>
    <row r="745" spans="134:134" ht="12.75">
      <c r="ED745" s="217"/>
    </row>
    <row r="746" spans="134:134" ht="12.75">
      <c r="ED746" s="217"/>
    </row>
    <row r="747" spans="134:134" ht="12.75">
      <c r="ED747" s="217"/>
    </row>
    <row r="748" spans="134:134" ht="12.75">
      <c r="ED748" s="217"/>
    </row>
    <row r="749" spans="134:134" ht="12.75">
      <c r="ED749" s="217"/>
    </row>
    <row r="750" spans="134:134" ht="12.75">
      <c r="ED750" s="217"/>
    </row>
    <row r="751" spans="134:134" ht="12.75">
      <c r="ED751" s="217"/>
    </row>
    <row r="752" spans="134:134" ht="12.75">
      <c r="ED752" s="217"/>
    </row>
    <row r="753" spans="134:134" ht="12.75">
      <c r="ED753" s="217"/>
    </row>
    <row r="754" spans="134:134" ht="12.75">
      <c r="ED754" s="217"/>
    </row>
    <row r="755" spans="134:134" ht="12.75">
      <c r="ED755" s="217"/>
    </row>
    <row r="756" spans="134:134" ht="12.75">
      <c r="ED756" s="217"/>
    </row>
    <row r="757" spans="134:134" ht="12.75">
      <c r="ED757" s="217"/>
    </row>
    <row r="758" spans="134:134" ht="12.75">
      <c r="ED758" s="217"/>
    </row>
    <row r="759" spans="134:134" ht="12.75">
      <c r="ED759" s="217"/>
    </row>
    <row r="760" spans="134:134" ht="12.75">
      <c r="ED760" s="217"/>
    </row>
    <row r="761" spans="134:134" ht="12.75">
      <c r="ED761" s="217"/>
    </row>
    <row r="762" spans="134:134" ht="12.75">
      <c r="ED762" s="217"/>
    </row>
    <row r="763" spans="134:134" ht="12.75">
      <c r="ED763" s="217"/>
    </row>
    <row r="764" spans="134:134" ht="12.75">
      <c r="ED764" s="217"/>
    </row>
    <row r="765" spans="134:134" ht="12.75">
      <c r="ED765" s="217"/>
    </row>
    <row r="766" spans="134:134" ht="12.75">
      <c r="ED766" s="217"/>
    </row>
    <row r="767" spans="134:134" ht="12.75">
      <c r="ED767" s="217"/>
    </row>
    <row r="768" spans="134:134" ht="12.75">
      <c r="ED768" s="217"/>
    </row>
    <row r="769" spans="134:134" ht="12.75">
      <c r="ED769" s="217"/>
    </row>
    <row r="770" spans="134:134" ht="12.75">
      <c r="ED770" s="217"/>
    </row>
    <row r="771" spans="134:134" ht="12.75">
      <c r="ED771" s="217"/>
    </row>
    <row r="772" spans="134:134" ht="12.75">
      <c r="ED772" s="217"/>
    </row>
    <row r="773" spans="134:134" ht="12.75">
      <c r="ED773" s="217"/>
    </row>
    <row r="774" spans="134:134" ht="12.75">
      <c r="ED774" s="217"/>
    </row>
    <row r="775" spans="134:134" ht="12.75">
      <c r="ED775" s="217"/>
    </row>
    <row r="776" spans="134:134" ht="12.75">
      <c r="ED776" s="217"/>
    </row>
    <row r="777" spans="134:134" ht="12.75">
      <c r="ED777" s="217"/>
    </row>
    <row r="778" spans="134:134" ht="12.75">
      <c r="ED778" s="217"/>
    </row>
    <row r="779" spans="134:134" ht="12.75">
      <c r="ED779" s="217"/>
    </row>
    <row r="780" spans="134:134" ht="12.75">
      <c r="ED780" s="217"/>
    </row>
    <row r="781" spans="134:134" ht="12.75">
      <c r="ED781" s="217"/>
    </row>
    <row r="782" spans="134:134" ht="12.75">
      <c r="ED782" s="217"/>
    </row>
    <row r="783" spans="134:134" ht="12.75">
      <c r="ED783" s="217"/>
    </row>
    <row r="784" spans="134:134" ht="12.75">
      <c r="ED784" s="217"/>
    </row>
    <row r="785" spans="134:134" ht="12.75">
      <c r="ED785" s="217"/>
    </row>
    <row r="786" spans="134:134" ht="12.75">
      <c r="ED786" s="217"/>
    </row>
    <row r="787" spans="134:134" ht="12.75">
      <c r="ED787" s="217"/>
    </row>
    <row r="788" spans="134:134" ht="12.75">
      <c r="ED788" s="217"/>
    </row>
    <row r="789" spans="134:134" ht="12.75">
      <c r="ED789" s="217"/>
    </row>
    <row r="790" spans="134:134" ht="12.75">
      <c r="ED790" s="217"/>
    </row>
    <row r="791" spans="134:134" ht="12.75">
      <c r="ED791" s="217"/>
    </row>
    <row r="792" spans="134:134" ht="12.75">
      <c r="ED792" s="217"/>
    </row>
    <row r="793" spans="134:134" ht="12.75">
      <c r="ED793" s="217"/>
    </row>
    <row r="794" spans="134:134" ht="12.75">
      <c r="ED794" s="217"/>
    </row>
    <row r="795" spans="134:134" ht="12.75">
      <c r="ED795" s="217"/>
    </row>
    <row r="796" spans="134:134" ht="12.75">
      <c r="ED796" s="217"/>
    </row>
    <row r="797" spans="134:134" ht="12.75">
      <c r="ED797" s="217"/>
    </row>
    <row r="798" spans="134:134" ht="12.75">
      <c r="ED798" s="217"/>
    </row>
    <row r="799" spans="134:134" ht="12.75">
      <c r="ED799" s="217"/>
    </row>
    <row r="800" spans="134:134" ht="12.75">
      <c r="ED800" s="217"/>
    </row>
    <row r="801" spans="134:134" ht="12.75">
      <c r="ED801" s="217"/>
    </row>
    <row r="802" spans="134:134" ht="12.75">
      <c r="ED802" s="217"/>
    </row>
    <row r="803" spans="134:134" ht="12.75">
      <c r="ED803" s="217"/>
    </row>
    <row r="804" spans="134:134" ht="12.75">
      <c r="ED804" s="217"/>
    </row>
    <row r="805" spans="134:134" ht="12.75">
      <c r="ED805" s="217"/>
    </row>
    <row r="806" spans="134:134" ht="12.75">
      <c r="ED806" s="217"/>
    </row>
    <row r="807" spans="134:134" ht="12.75">
      <c r="ED807" s="217"/>
    </row>
    <row r="808" spans="134:134" ht="12.75">
      <c r="ED808" s="217"/>
    </row>
    <row r="809" spans="134:134" ht="12.75">
      <c r="ED809" s="217"/>
    </row>
    <row r="810" spans="134:134" ht="12.75">
      <c r="ED810" s="217"/>
    </row>
    <row r="811" spans="134:134" ht="12.75">
      <c r="ED811" s="217"/>
    </row>
    <row r="812" spans="134:134" ht="12.75">
      <c r="ED812" s="217"/>
    </row>
    <row r="813" spans="134:134" ht="12.75">
      <c r="ED813" s="217"/>
    </row>
    <row r="814" spans="134:134" ht="12.75">
      <c r="ED814" s="217"/>
    </row>
    <row r="815" spans="134:134" ht="12.75">
      <c r="ED815" s="217"/>
    </row>
    <row r="816" spans="134:134" ht="12.75">
      <c r="ED816" s="217"/>
    </row>
    <row r="817" spans="134:134" ht="12.75">
      <c r="ED817" s="217"/>
    </row>
    <row r="818" spans="134:134" ht="12.75">
      <c r="ED818" s="217"/>
    </row>
    <row r="819" spans="134:134" ht="12.75">
      <c r="ED819" s="217"/>
    </row>
    <row r="820" spans="134:134" ht="12.75">
      <c r="ED820" s="217"/>
    </row>
    <row r="821" spans="134:134" ht="12.75">
      <c r="ED821" s="217"/>
    </row>
    <row r="822" spans="134:134" ht="12.75">
      <c r="ED822" s="217"/>
    </row>
    <row r="823" spans="134:134" ht="12.75">
      <c r="ED823" s="217"/>
    </row>
    <row r="824" spans="134:134" ht="12.75">
      <c r="ED824" s="217"/>
    </row>
    <row r="825" spans="134:134" ht="12.75">
      <c r="ED825" s="217"/>
    </row>
    <row r="826" spans="134:134" ht="12.75">
      <c r="ED826" s="217"/>
    </row>
    <row r="827" spans="134:134" ht="12.75">
      <c r="ED827" s="217"/>
    </row>
    <row r="828" spans="134:134" ht="12.75">
      <c r="ED828" s="217"/>
    </row>
    <row r="829" spans="134:134" ht="12.75">
      <c r="ED829" s="217"/>
    </row>
    <row r="830" spans="134:134" ht="12.75">
      <c r="ED830" s="217"/>
    </row>
    <row r="831" spans="134:134" ht="12.75">
      <c r="ED831" s="217"/>
    </row>
    <row r="832" spans="134:134" ht="12.75">
      <c r="ED832" s="217"/>
    </row>
    <row r="833" spans="134:134" ht="12.75">
      <c r="ED833" s="217"/>
    </row>
    <row r="834" spans="134:134" ht="12.75">
      <c r="ED834" s="217"/>
    </row>
    <row r="835" spans="134:134" ht="12.75">
      <c r="ED835" s="217"/>
    </row>
    <row r="836" spans="134:134" ht="12.75">
      <c r="ED836" s="217"/>
    </row>
    <row r="837" spans="134:134" ht="12.75">
      <c r="ED837" s="217"/>
    </row>
    <row r="838" spans="134:134" ht="12.75">
      <c r="ED838" s="217"/>
    </row>
    <row r="839" spans="134:134" ht="12.75">
      <c r="ED839" s="217"/>
    </row>
    <row r="840" spans="134:134" ht="12.75">
      <c r="ED840" s="217"/>
    </row>
    <row r="841" spans="134:134" ht="12.75">
      <c r="ED841" s="217"/>
    </row>
    <row r="842" spans="134:134" ht="12.75">
      <c r="ED842" s="217"/>
    </row>
    <row r="843" spans="134:134" ht="12.75">
      <c r="ED843" s="217"/>
    </row>
    <row r="844" spans="134:134" ht="12.75">
      <c r="ED844" s="217"/>
    </row>
    <row r="845" spans="134:134" ht="12.75">
      <c r="ED845" s="217"/>
    </row>
    <row r="846" spans="134:134" ht="12.75">
      <c r="ED846" s="217"/>
    </row>
    <row r="847" spans="134:134" ht="12.75">
      <c r="ED847" s="217"/>
    </row>
    <row r="848" spans="134:134" ht="12.75">
      <c r="ED848" s="217"/>
    </row>
    <row r="849" spans="134:134" ht="12.75">
      <c r="ED849" s="217"/>
    </row>
    <row r="850" spans="134:134" ht="12.75">
      <c r="ED850" s="217"/>
    </row>
    <row r="851" spans="134:134" ht="12.75">
      <c r="ED851" s="217"/>
    </row>
    <row r="852" spans="134:134" ht="12.75">
      <c r="ED852" s="217"/>
    </row>
    <row r="853" spans="134:134" ht="12.75">
      <c r="ED853" s="217"/>
    </row>
    <row r="854" spans="134:134" ht="12.75">
      <c r="ED854" s="217"/>
    </row>
    <row r="855" spans="134:134" ht="12.75">
      <c r="ED855" s="217"/>
    </row>
    <row r="856" spans="134:134" ht="12.75">
      <c r="ED856" s="217"/>
    </row>
    <row r="857" spans="134:134" ht="12.75">
      <c r="ED857" s="217"/>
    </row>
    <row r="858" spans="134:134" ht="12.75">
      <c r="ED858" s="217"/>
    </row>
    <row r="859" spans="134:134" ht="12.75">
      <c r="ED859" s="217"/>
    </row>
    <row r="860" spans="134:134" ht="12.75">
      <c r="ED860" s="217"/>
    </row>
    <row r="861" spans="134:134" ht="12.75">
      <c r="ED861" s="217"/>
    </row>
    <row r="862" spans="134:134" ht="12.75">
      <c r="ED862" s="217"/>
    </row>
    <row r="863" spans="134:134" ht="12.75">
      <c r="ED863" s="217"/>
    </row>
    <row r="864" spans="134:134" ht="12.75">
      <c r="ED864" s="217"/>
    </row>
    <row r="865" spans="134:134" ht="12.75">
      <c r="ED865" s="217"/>
    </row>
    <row r="866" spans="134:134" ht="12.75">
      <c r="ED866" s="217"/>
    </row>
    <row r="867" spans="134:134" ht="12.75">
      <c r="ED867" s="217"/>
    </row>
    <row r="868" spans="134:134" ht="12.75">
      <c r="ED868" s="217"/>
    </row>
    <row r="869" spans="134:134" ht="12.75">
      <c r="ED869" s="217"/>
    </row>
    <row r="870" spans="134:134" ht="12.75">
      <c r="ED870" s="217"/>
    </row>
    <row r="871" spans="134:134" ht="12.75">
      <c r="ED871" s="217"/>
    </row>
    <row r="872" spans="134:134" ht="12.75">
      <c r="ED872" s="217"/>
    </row>
    <row r="873" spans="134:134" ht="12.75">
      <c r="ED873" s="217"/>
    </row>
    <row r="874" spans="134:134" ht="12.75">
      <c r="ED874" s="217"/>
    </row>
    <row r="875" spans="134:134" ht="12.75">
      <c r="ED875" s="217"/>
    </row>
    <row r="876" spans="134:134" ht="12.75">
      <c r="ED876" s="217"/>
    </row>
    <row r="877" spans="134:134" ht="12.75">
      <c r="ED877" s="217"/>
    </row>
    <row r="878" spans="134:134" ht="12.75">
      <c r="ED878" s="217"/>
    </row>
    <row r="879" spans="134:134" ht="12.75">
      <c r="ED879" s="217"/>
    </row>
    <row r="880" spans="134:134" ht="12.75">
      <c r="ED880" s="217"/>
    </row>
    <row r="881" spans="134:134" ht="12.75">
      <c r="ED881" s="217"/>
    </row>
    <row r="882" spans="134:134" ht="12.75">
      <c r="ED882" s="217"/>
    </row>
    <row r="883" spans="134:134" ht="12.75">
      <c r="ED883" s="217"/>
    </row>
    <row r="884" spans="134:134" ht="12.75">
      <c r="ED884" s="217"/>
    </row>
    <row r="885" spans="134:134" ht="12.75">
      <c r="ED885" s="217"/>
    </row>
    <row r="886" spans="134:134" ht="12.75">
      <c r="ED886" s="217"/>
    </row>
    <row r="887" spans="134:134" ht="12.75">
      <c r="ED887" s="217"/>
    </row>
    <row r="888" spans="134:134" ht="12.75">
      <c r="ED888" s="217"/>
    </row>
    <row r="889" spans="134:134" ht="12.75">
      <c r="ED889" s="217"/>
    </row>
    <row r="890" spans="134:134" ht="12.75">
      <c r="ED890" s="217"/>
    </row>
    <row r="891" spans="134:134" ht="12.75">
      <c r="ED891" s="217"/>
    </row>
    <row r="892" spans="134:134" ht="12.75">
      <c r="ED892" s="217"/>
    </row>
    <row r="893" spans="134:134" ht="12.75">
      <c r="ED893" s="217"/>
    </row>
    <row r="894" spans="134:134" ht="12.75">
      <c r="ED894" s="217"/>
    </row>
    <row r="895" spans="134:134" ht="12.75">
      <c r="ED895" s="217"/>
    </row>
    <row r="896" spans="134:134" ht="12.75">
      <c r="ED896" s="217"/>
    </row>
    <row r="897" spans="134:134" ht="12.75">
      <c r="ED897" s="217"/>
    </row>
    <row r="898" spans="134:134" ht="12.75">
      <c r="ED898" s="217"/>
    </row>
    <row r="899" spans="134:134" ht="12.75">
      <c r="ED899" s="217"/>
    </row>
    <row r="900" spans="134:134" ht="12.75">
      <c r="ED900" s="217"/>
    </row>
    <row r="901" spans="134:134" ht="12.75">
      <c r="ED901" s="217"/>
    </row>
    <row r="902" spans="134:134" ht="12.75">
      <c r="ED902" s="217"/>
    </row>
    <row r="903" spans="134:134" ht="12.75">
      <c r="ED903" s="217"/>
    </row>
    <row r="904" spans="134:134" ht="12.75">
      <c r="ED904" s="217"/>
    </row>
    <row r="905" spans="134:134" ht="12.75">
      <c r="ED905" s="217"/>
    </row>
    <row r="906" spans="134:134" ht="12.75">
      <c r="ED906" s="217"/>
    </row>
    <row r="907" spans="134:134" ht="12.75">
      <c r="ED907" s="217"/>
    </row>
    <row r="908" spans="134:134" ht="12.75">
      <c r="ED908" s="217"/>
    </row>
    <row r="909" spans="134:134" ht="12.75">
      <c r="ED909" s="217"/>
    </row>
    <row r="910" spans="134:134" ht="12.75">
      <c r="ED910" s="217"/>
    </row>
    <row r="911" spans="134:134" ht="12.75">
      <c r="ED911" s="217"/>
    </row>
    <row r="912" spans="134:134" ht="12.75">
      <c r="ED912" s="217"/>
    </row>
    <row r="913" spans="134:134" ht="12.75">
      <c r="ED913" s="217"/>
    </row>
    <row r="914" spans="134:134" ht="12.75">
      <c r="ED914" s="217"/>
    </row>
    <row r="915" spans="134:134" ht="12.75">
      <c r="ED915" s="217"/>
    </row>
    <row r="916" spans="134:134" ht="12.75">
      <c r="ED916" s="217"/>
    </row>
    <row r="917" spans="134:134" ht="12.75">
      <c r="ED917" s="217"/>
    </row>
    <row r="918" spans="134:134" ht="12.75">
      <c r="ED918" s="217"/>
    </row>
    <row r="919" spans="134:134" ht="12.75">
      <c r="ED919" s="217"/>
    </row>
    <row r="920" spans="134:134" ht="12.75">
      <c r="ED920" s="217"/>
    </row>
    <row r="921" spans="134:134" ht="12.75">
      <c r="ED921" s="217"/>
    </row>
    <row r="922" spans="134:134" ht="12.75">
      <c r="ED922" s="217"/>
    </row>
    <row r="923" spans="134:134" ht="12.75">
      <c r="ED923" s="217"/>
    </row>
    <row r="924" spans="134:134" ht="12.75">
      <c r="ED924" s="217"/>
    </row>
    <row r="925" spans="134:134" ht="12.75">
      <c r="ED925" s="217"/>
    </row>
    <row r="926" spans="134:134" ht="12.75">
      <c r="ED926" s="217"/>
    </row>
    <row r="927" spans="134:134" ht="12.75">
      <c r="ED927" s="217"/>
    </row>
    <row r="928" spans="134:134" ht="12.75">
      <c r="ED928" s="217"/>
    </row>
    <row r="929" spans="134:134" ht="12.75">
      <c r="ED929" s="217"/>
    </row>
    <row r="930" spans="134:134" ht="12.75">
      <c r="ED930" s="217"/>
    </row>
    <row r="931" spans="134:134" ht="12.75">
      <c r="ED931" s="217"/>
    </row>
    <row r="932" spans="134:134" ht="12.75">
      <c r="ED932" s="217"/>
    </row>
    <row r="933" spans="134:134" ht="12.75">
      <c r="ED933" s="217"/>
    </row>
    <row r="934" spans="134:134" ht="12.75">
      <c r="ED934" s="217"/>
    </row>
    <row r="935" spans="134:134" ht="12.75">
      <c r="ED935" s="217"/>
    </row>
    <row r="936" spans="134:134" ht="12.75">
      <c r="ED936" s="217"/>
    </row>
    <row r="937" spans="134:134" ht="12.75">
      <c r="ED937" s="217"/>
    </row>
    <row r="938" spans="134:134" ht="12.75">
      <c r="ED938" s="217"/>
    </row>
    <row r="939" spans="134:134" ht="12.75">
      <c r="ED939" s="217"/>
    </row>
    <row r="940" spans="134:134" ht="12.75">
      <c r="ED940" s="217"/>
    </row>
    <row r="941" spans="134:134" ht="12.75">
      <c r="ED941" s="217"/>
    </row>
    <row r="942" spans="134:134" ht="12.75">
      <c r="ED942" s="217"/>
    </row>
    <row r="943" spans="134:134" ht="12.75">
      <c r="ED943" s="217"/>
    </row>
    <row r="944" spans="134:134" ht="12.75">
      <c r="ED944" s="217"/>
    </row>
    <row r="945" spans="134:134" ht="12.75">
      <c r="ED945" s="217"/>
    </row>
    <row r="946" spans="134:134" ht="12.75">
      <c r="ED946" s="217"/>
    </row>
    <row r="947" spans="134:134" ht="12.75">
      <c r="ED947" s="217"/>
    </row>
    <row r="948" spans="134:134" ht="12.75">
      <c r="ED948" s="217"/>
    </row>
    <row r="949" spans="134:134" ht="12.75">
      <c r="ED949" s="217"/>
    </row>
    <row r="950" spans="134:134" ht="12.75">
      <c r="ED950" s="217"/>
    </row>
    <row r="951" spans="134:134" ht="12.75">
      <c r="ED951" s="217"/>
    </row>
    <row r="952" spans="134:134" ht="12.75">
      <c r="ED952" s="217"/>
    </row>
    <row r="953" spans="134:134" ht="12.75">
      <c r="ED953" s="217"/>
    </row>
    <row r="954" spans="134:134" ht="12.75">
      <c r="ED954" s="217"/>
    </row>
    <row r="955" spans="134:134" ht="12.75">
      <c r="ED955" s="217"/>
    </row>
    <row r="956" spans="134:134" ht="12.75">
      <c r="ED956" s="217"/>
    </row>
    <row r="957" spans="134:134" ht="12.75">
      <c r="ED957" s="217"/>
    </row>
    <row r="958" spans="134:134" ht="12.75">
      <c r="ED958" s="217"/>
    </row>
    <row r="959" spans="134:134" ht="12.75">
      <c r="ED959" s="217"/>
    </row>
    <row r="960" spans="134:134" ht="12.75">
      <c r="ED960" s="217"/>
    </row>
    <row r="961" spans="134:134" ht="12.75">
      <c r="ED961" s="217"/>
    </row>
    <row r="962" spans="134:134" ht="12.75">
      <c r="ED962" s="217"/>
    </row>
    <row r="963" spans="134:134" ht="12.75">
      <c r="ED963" s="217"/>
    </row>
    <row r="964" spans="134:134" ht="12.75">
      <c r="ED964" s="217"/>
    </row>
    <row r="965" spans="134:134" ht="12.75">
      <c r="ED965" s="217"/>
    </row>
    <row r="966" spans="134:134" ht="12.75">
      <c r="ED966" s="217"/>
    </row>
    <row r="967" spans="134:134" ht="12.75">
      <c r="ED967" s="217"/>
    </row>
    <row r="968" spans="134:134" ht="12.75">
      <c r="ED968" s="217"/>
    </row>
    <row r="969" spans="134:134" ht="12.75">
      <c r="ED969" s="217"/>
    </row>
    <row r="970" spans="134:134" ht="12.75">
      <c r="ED970" s="217"/>
    </row>
    <row r="971" spans="134:134" ht="12.75">
      <c r="ED971" s="217"/>
    </row>
    <row r="972" spans="134:134" ht="12.75">
      <c r="ED972" s="217"/>
    </row>
    <row r="973" spans="134:134" ht="12.75">
      <c r="ED973" s="217"/>
    </row>
    <row r="974" spans="134:134" ht="12.75">
      <c r="ED974" s="217"/>
    </row>
    <row r="975" spans="134:134" ht="12.75">
      <c r="ED975" s="217"/>
    </row>
    <row r="976" spans="134:134" ht="12.75">
      <c r="ED976" s="217"/>
    </row>
    <row r="977" spans="134:134" ht="12.75">
      <c r="ED977" s="217"/>
    </row>
    <row r="978" spans="134:134" ht="12.75">
      <c r="ED978" s="217"/>
    </row>
    <row r="979" spans="134:134" ht="12.75">
      <c r="ED979" s="217"/>
    </row>
    <row r="980" spans="134:134" ht="12.75">
      <c r="ED980" s="217"/>
    </row>
    <row r="981" spans="134:134" ht="12.75">
      <c r="ED981" s="217"/>
    </row>
    <row r="982" spans="134:134" ht="12.75">
      <c r="ED982" s="217"/>
    </row>
    <row r="983" spans="134:134" ht="12.75">
      <c r="ED983" s="217"/>
    </row>
    <row r="984" spans="134:134" ht="12.75">
      <c r="ED984" s="217"/>
    </row>
    <row r="985" spans="134:134" ht="12.75">
      <c r="ED985" s="217"/>
    </row>
    <row r="986" spans="134:134" ht="12.75">
      <c r="ED986" s="217"/>
    </row>
    <row r="987" spans="134:134" ht="12.75">
      <c r="ED987" s="217"/>
    </row>
    <row r="988" spans="134:134" ht="12.75">
      <c r="ED988" s="217"/>
    </row>
    <row r="989" spans="134:134" ht="12.75">
      <c r="ED989" s="217"/>
    </row>
    <row r="990" spans="134:134" ht="12.75">
      <c r="ED990" s="217"/>
    </row>
    <row r="991" spans="134:134" ht="12.75">
      <c r="ED991" s="217"/>
    </row>
    <row r="992" spans="134:134" ht="12.75">
      <c r="ED992" s="217"/>
    </row>
    <row r="993" spans="134:134" ht="12.75">
      <c r="ED993" s="217"/>
    </row>
    <row r="994" spans="134:134" ht="12.75">
      <c r="ED994" s="217"/>
    </row>
    <row r="995" spans="134:134" ht="12.75">
      <c r="ED995" s="217"/>
    </row>
    <row r="996" spans="134:134" ht="12.75">
      <c r="ED996" s="217"/>
    </row>
    <row r="997" spans="134:134" ht="12.75">
      <c r="ED997" s="217"/>
    </row>
    <row r="998" spans="134:134" ht="12.75">
      <c r="ED998" s="217"/>
    </row>
    <row r="999" spans="134:134" ht="12.75">
      <c r="ED999" s="217"/>
    </row>
    <row r="1000" spans="134:134" ht="12.75">
      <c r="ED1000" s="217"/>
    </row>
    <row r="1001" spans="134:134" ht="12.75">
      <c r="ED1001" s="217"/>
    </row>
    <row r="1002" spans="134:134" ht="12.75">
      <c r="ED1002" s="217"/>
    </row>
    <row r="1003" spans="134:134" ht="12.75">
      <c r="ED1003" s="217"/>
    </row>
    <row r="1004" spans="134:134" ht="12.75">
      <c r="ED1004" s="217"/>
    </row>
    <row r="1005" spans="134:134" ht="12.75">
      <c r="ED1005" s="217"/>
    </row>
    <row r="1006" spans="134:134" ht="12.75">
      <c r="ED1006" s="217"/>
    </row>
    <row r="1007" spans="134:134" ht="12.75">
      <c r="ED1007" s="217"/>
    </row>
    <row r="1008" spans="134:134" ht="12.75">
      <c r="ED1008" s="217"/>
    </row>
    <row r="1009" spans="134:134" ht="12.75">
      <c r="ED1009" s="217"/>
    </row>
    <row r="1010" spans="134:134" ht="12.75">
      <c r="ED1010" s="217"/>
    </row>
    <row r="1011" spans="134:134" ht="12.75">
      <c r="ED1011" s="217"/>
    </row>
    <row r="1012" spans="134:134" ht="12.75">
      <c r="ED1012" s="217"/>
    </row>
    <row r="1013" spans="134:134" ht="12.75">
      <c r="ED1013" s="217"/>
    </row>
    <row r="1014" spans="134:134" ht="12.75">
      <c r="ED1014" s="217"/>
    </row>
    <row r="1015" spans="134:134" ht="12.75">
      <c r="ED1015" s="217"/>
    </row>
    <row r="1016" spans="134:134" ht="12.75">
      <c r="ED1016" s="217"/>
    </row>
    <row r="1017" spans="134:134" ht="12.75">
      <c r="ED1017" s="217"/>
    </row>
    <row r="1018" spans="134:134" ht="12.75">
      <c r="ED1018" s="217"/>
    </row>
    <row r="1019" spans="134:134" ht="12.75">
      <c r="ED1019" s="217"/>
    </row>
    <row r="1020" spans="134:134" ht="12.75">
      <c r="ED1020" s="217"/>
    </row>
    <row r="1021" spans="134:134" ht="12.75">
      <c r="ED1021" s="217"/>
    </row>
    <row r="1022" spans="134:134" ht="12.75">
      <c r="ED1022" s="217"/>
    </row>
    <row r="1023" spans="134:134" ht="12.75">
      <c r="ED1023" s="217"/>
    </row>
    <row r="1024" spans="134:134" ht="12.75">
      <c r="ED1024" s="217"/>
    </row>
    <row r="1025" spans="134:134" ht="12.75">
      <c r="ED1025" s="217"/>
    </row>
    <row r="1026" spans="134:134" ht="12.75">
      <c r="ED1026" s="217"/>
    </row>
    <row r="1027" spans="134:134" ht="12.75">
      <c r="ED1027" s="217"/>
    </row>
    <row r="1028" spans="134:134" ht="12.75">
      <c r="ED1028" s="217"/>
    </row>
    <row r="1029" spans="134:134" ht="12.75">
      <c r="ED1029" s="217"/>
    </row>
    <row r="1030" spans="134:134" ht="12.75">
      <c r="ED1030" s="217"/>
    </row>
    <row r="1031" spans="134:134" ht="12.75">
      <c r="ED1031" s="217"/>
    </row>
    <row r="1032" spans="134:134" ht="12.75">
      <c r="ED1032" s="217"/>
    </row>
    <row r="1033" spans="134:134" ht="12.75">
      <c r="ED1033" s="217"/>
    </row>
    <row r="1034" spans="134:134" ht="12.75">
      <c r="ED1034" s="217"/>
    </row>
    <row r="1035" spans="134:134" ht="12.75">
      <c r="ED1035" s="217"/>
    </row>
    <row r="1036" spans="134:134" ht="12.75">
      <c r="ED1036" s="217"/>
    </row>
    <row r="1037" spans="134:134" ht="12.75">
      <c r="ED1037" s="217"/>
    </row>
    <row r="1038" spans="134:134" ht="12.75">
      <c r="ED1038" s="217"/>
    </row>
    <row r="1039" spans="134:134" ht="12.75">
      <c r="ED1039" s="217"/>
    </row>
    <row r="1040" spans="134:134" ht="12.75">
      <c r="ED1040" s="217"/>
    </row>
    <row r="1041" spans="134:134" ht="12.75">
      <c r="ED1041" s="217"/>
    </row>
    <row r="1042" spans="134:134" ht="12.75">
      <c r="ED1042" s="217"/>
    </row>
    <row r="1043" spans="134:134" ht="12.75">
      <c r="ED1043" s="217"/>
    </row>
    <row r="1044" spans="134:134" ht="12.75">
      <c r="ED1044" s="217"/>
    </row>
    <row r="1045" spans="134:134" ht="12.75">
      <c r="ED1045" s="217"/>
    </row>
    <row r="1046" spans="134:134" ht="12.75">
      <c r="ED1046" s="217"/>
    </row>
    <row r="1047" spans="134:134" ht="12.75">
      <c r="ED1047" s="217"/>
    </row>
    <row r="1048" spans="134:134" ht="12.75">
      <c r="ED1048" s="217"/>
    </row>
    <row r="1049" spans="134:134" ht="12.75">
      <c r="ED1049" s="217"/>
    </row>
    <row r="1050" spans="134:134" ht="12.75">
      <c r="ED1050" s="217"/>
    </row>
    <row r="1051" spans="134:134" ht="12.75">
      <c r="ED1051" s="217"/>
    </row>
    <row r="1052" spans="134:134" ht="12.75">
      <c r="ED1052" s="217"/>
    </row>
    <row r="1053" spans="134:134" ht="12.75">
      <c r="ED1053" s="217"/>
    </row>
    <row r="1054" spans="134:134" ht="12.75">
      <c r="ED1054" s="217"/>
    </row>
    <row r="1055" spans="134:134" ht="12.75">
      <c r="ED1055" s="217"/>
    </row>
    <row r="1056" spans="134:134" ht="12.75">
      <c r="ED1056" s="217"/>
    </row>
    <row r="1057" spans="134:134" ht="12.75">
      <c r="ED1057" s="217"/>
    </row>
    <row r="1058" spans="134:134" ht="12.75">
      <c r="ED1058" s="217"/>
    </row>
    <row r="1059" spans="134:134" ht="12.75">
      <c r="ED1059" s="217"/>
    </row>
    <row r="1060" spans="134:134" ht="12.75">
      <c r="ED1060" s="217"/>
    </row>
    <row r="1061" spans="134:134" ht="12.75">
      <c r="ED1061" s="217"/>
    </row>
    <row r="1062" spans="134:134" ht="12.75">
      <c r="ED1062" s="217"/>
    </row>
    <row r="1063" spans="134:134" ht="12.75">
      <c r="ED1063" s="217"/>
    </row>
    <row r="1064" spans="134:134" ht="12.75">
      <c r="ED1064" s="217"/>
    </row>
    <row r="1065" spans="134:134" ht="12.75">
      <c r="ED1065" s="217"/>
    </row>
    <row r="1066" spans="134:134" ht="12.75">
      <c r="ED1066" s="217"/>
    </row>
    <row r="1067" spans="134:134" ht="12.75">
      <c r="ED1067" s="217"/>
    </row>
    <row r="1068" spans="134:134" ht="12.75">
      <c r="ED1068" s="217"/>
    </row>
    <row r="1069" spans="134:134" ht="12.75">
      <c r="ED1069" s="217"/>
    </row>
    <row r="1070" spans="134:134" ht="12.75">
      <c r="ED1070" s="217"/>
    </row>
    <row r="1071" spans="134:134" ht="12.75">
      <c r="ED1071" s="217"/>
    </row>
    <row r="1072" spans="134:134" ht="12.75">
      <c r="ED1072" s="217"/>
    </row>
    <row r="1073" spans="134:134" ht="12.75">
      <c r="ED1073" s="217"/>
    </row>
    <row r="1074" spans="134:134" ht="12.75">
      <c r="ED1074" s="217"/>
    </row>
    <row r="1075" spans="134:134" ht="12.75">
      <c r="ED1075" s="217"/>
    </row>
    <row r="1076" spans="134:134" ht="12.75">
      <c r="ED1076" s="217"/>
    </row>
    <row r="1077" spans="134:134" ht="12.75">
      <c r="ED1077" s="217"/>
    </row>
    <row r="1078" spans="134:134" ht="12.75">
      <c r="ED1078" s="217"/>
    </row>
  </sheetData>
  <mergeCells count="428">
    <mergeCell ref="Z2:AD2"/>
    <mergeCell ref="AE2:AJ2"/>
    <mergeCell ref="AK2:AO2"/>
    <mergeCell ref="AP2:AU2"/>
    <mergeCell ref="AV2:AY2"/>
    <mergeCell ref="AZ2:BC2"/>
    <mergeCell ref="BD2:BH2"/>
    <mergeCell ref="BI2:BM2"/>
    <mergeCell ref="BY2:CB2"/>
    <mergeCell ref="BI3:BM3"/>
    <mergeCell ref="BN3:BS3"/>
    <mergeCell ref="CM4:CO4"/>
    <mergeCell ref="CP4:CS4"/>
    <mergeCell ref="CT4:CY4"/>
    <mergeCell ref="CH3:CL3"/>
    <mergeCell ref="CM3:CO3"/>
    <mergeCell ref="CP3:CS3"/>
    <mergeCell ref="BN2:BS2"/>
    <mergeCell ref="BT2:BX2"/>
    <mergeCell ref="BT4:BX4"/>
    <mergeCell ref="BY4:CB4"/>
    <mergeCell ref="A1:A5"/>
    <mergeCell ref="B1:H2"/>
    <mergeCell ref="I1:EC1"/>
    <mergeCell ref="I2:K2"/>
    <mergeCell ref="L2:N2"/>
    <mergeCell ref="O2:T2"/>
    <mergeCell ref="U2:Y2"/>
    <mergeCell ref="DY4:EC4"/>
    <mergeCell ref="DI2:DN2"/>
    <mergeCell ref="DO2:DS2"/>
    <mergeCell ref="AE3:AJ3"/>
    <mergeCell ref="AK3:AO3"/>
    <mergeCell ref="AP3:AU3"/>
    <mergeCell ref="AV3:AY3"/>
    <mergeCell ref="AZ3:BC3"/>
    <mergeCell ref="BD3:BH3"/>
    <mergeCell ref="BT3:BX3"/>
    <mergeCell ref="BY3:CB3"/>
    <mergeCell ref="CC3:CG3"/>
    <mergeCell ref="CC2:CG2"/>
    <mergeCell ref="CH2:CL2"/>
    <mergeCell ref="CM2:CO2"/>
    <mergeCell ref="CP2:CS2"/>
    <mergeCell ref="CT2:CY2"/>
    <mergeCell ref="EE2:EE5"/>
    <mergeCell ref="B3:H3"/>
    <mergeCell ref="I3:K3"/>
    <mergeCell ref="B4:H4"/>
    <mergeCell ref="I4:K4"/>
    <mergeCell ref="L4:N4"/>
    <mergeCell ref="L3:N3"/>
    <mergeCell ref="O3:T3"/>
    <mergeCell ref="O4:T4"/>
    <mergeCell ref="U3:Y3"/>
    <mergeCell ref="Z3:AD3"/>
    <mergeCell ref="U4:Y4"/>
    <mergeCell ref="Z4:AD4"/>
    <mergeCell ref="AE4:AJ4"/>
    <mergeCell ref="AK4:AO4"/>
    <mergeCell ref="AP4:AU4"/>
    <mergeCell ref="CC4:CG4"/>
    <mergeCell ref="CH4:CL4"/>
    <mergeCell ref="AV4:AY4"/>
    <mergeCell ref="AZ4:BC4"/>
    <mergeCell ref="BD4:BH4"/>
    <mergeCell ref="BI4:BM4"/>
    <mergeCell ref="BN4:BS4"/>
    <mergeCell ref="CZ2:DD2"/>
    <mergeCell ref="DO114:DS114"/>
    <mergeCell ref="CC114:CG114"/>
    <mergeCell ref="CH114:CL114"/>
    <mergeCell ref="CM114:CO114"/>
    <mergeCell ref="CP114:CS114"/>
    <mergeCell ref="CT114:CY114"/>
    <mergeCell ref="CZ114:DD114"/>
    <mergeCell ref="DE114:DH114"/>
    <mergeCell ref="ED2:ED5"/>
    <mergeCell ref="DE2:DH2"/>
    <mergeCell ref="CT3:CY3"/>
    <mergeCell ref="CZ3:DD3"/>
    <mergeCell ref="DE3:DH3"/>
    <mergeCell ref="DI3:DN3"/>
    <mergeCell ref="DO3:DS3"/>
    <mergeCell ref="DT2:DX2"/>
    <mergeCell ref="DY2:EC2"/>
    <mergeCell ref="DT3:DX3"/>
    <mergeCell ref="DY3:EC3"/>
    <mergeCell ref="CZ4:DD4"/>
    <mergeCell ref="DE4:DH4"/>
    <mergeCell ref="DI4:DN4"/>
    <mergeCell ref="DO4:DS4"/>
    <mergeCell ref="DT4:DX4"/>
    <mergeCell ref="AV116:AW116"/>
    <mergeCell ref="Z116:AA116"/>
    <mergeCell ref="AB116:AD116"/>
    <mergeCell ref="AE116:AF116"/>
    <mergeCell ref="AG116:AJ116"/>
    <mergeCell ref="AK116:AL116"/>
    <mergeCell ref="AM116:AO116"/>
    <mergeCell ref="AP116:AQ116"/>
    <mergeCell ref="DI114:DN114"/>
    <mergeCell ref="BN116:BO116"/>
    <mergeCell ref="BP116:BS116"/>
    <mergeCell ref="AX116:AY116"/>
    <mergeCell ref="AZ116:BA116"/>
    <mergeCell ref="BB116:BC116"/>
    <mergeCell ref="BD116:BE116"/>
    <mergeCell ref="BF116:BH116"/>
    <mergeCell ref="BI116:BJ116"/>
    <mergeCell ref="BK116:BM116"/>
    <mergeCell ref="DE168:DH168"/>
    <mergeCell ref="DE169:DH169"/>
    <mergeCell ref="DE170:DH170"/>
    <mergeCell ref="DE171:DH171"/>
    <mergeCell ref="DE172:DH172"/>
    <mergeCell ref="DE173:DH173"/>
    <mergeCell ref="DE174:DH174"/>
    <mergeCell ref="DE175:DH175"/>
    <mergeCell ref="DE176:DH176"/>
    <mergeCell ref="DE177:DH177"/>
    <mergeCell ref="DE179:DH179"/>
    <mergeCell ref="DE180:DH180"/>
    <mergeCell ref="DE181:DH181"/>
    <mergeCell ref="DE182:DH182"/>
    <mergeCell ref="DE183:DH183"/>
    <mergeCell ref="DE184:DH184"/>
    <mergeCell ref="DE185:DH185"/>
    <mergeCell ref="DE186:DH186"/>
    <mergeCell ref="DE178:DH178"/>
    <mergeCell ref="DE187:DH187"/>
    <mergeCell ref="DE188:DH188"/>
    <mergeCell ref="DE189:DH189"/>
    <mergeCell ref="DE190:DH190"/>
    <mergeCell ref="DE191:DH191"/>
    <mergeCell ref="DE192:DH192"/>
    <mergeCell ref="DE193:DH193"/>
    <mergeCell ref="DE194:DH194"/>
    <mergeCell ref="DE195:DH195"/>
    <mergeCell ref="DE196:DH196"/>
    <mergeCell ref="DE204:DH204"/>
    <mergeCell ref="DE206:DL206"/>
    <mergeCell ref="DO206:DT206"/>
    <mergeCell ref="DE205:DH205"/>
    <mergeCell ref="DE197:DH197"/>
    <mergeCell ref="DE198:DH198"/>
    <mergeCell ref="DE199:DH199"/>
    <mergeCell ref="DE200:DH200"/>
    <mergeCell ref="DE201:DH201"/>
    <mergeCell ref="DE202:DH202"/>
    <mergeCell ref="DE203:DH203"/>
    <mergeCell ref="DO116:DP116"/>
    <mergeCell ref="DQ116:DS116"/>
    <mergeCell ref="DO119:DS121"/>
    <mergeCell ref="DT116:DU116"/>
    <mergeCell ref="DV116:DX116"/>
    <mergeCell ref="DY116:DZ116"/>
    <mergeCell ref="EA116:EC116"/>
    <mergeCell ref="CZ115:DD115"/>
    <mergeCell ref="DE115:DH115"/>
    <mergeCell ref="DI115:DN115"/>
    <mergeCell ref="DO115:DS115"/>
    <mergeCell ref="DT115:DX115"/>
    <mergeCell ref="DY115:EC115"/>
    <mergeCell ref="DB116:DD116"/>
    <mergeCell ref="DI116:DJ116"/>
    <mergeCell ref="DK116:DN116"/>
    <mergeCell ref="DI119:DN125"/>
    <mergeCell ref="DY117:EC117"/>
    <mergeCell ref="CZ118:DD118"/>
    <mergeCell ref="DE118:DH118"/>
    <mergeCell ref="DI118:DN118"/>
    <mergeCell ref="DO118:DS118"/>
    <mergeCell ref="DT118:DX118"/>
    <mergeCell ref="DY118:EC118"/>
    <mergeCell ref="DE166:DH166"/>
    <mergeCell ref="DE152:DT152"/>
    <mergeCell ref="DE153:DL154"/>
    <mergeCell ref="DO153:DT154"/>
    <mergeCell ref="DO155:DT155"/>
    <mergeCell ref="DO156:DT156"/>
    <mergeCell ref="DE155:DL155"/>
    <mergeCell ref="DE156:DL156"/>
    <mergeCell ref="DE157:DH157"/>
    <mergeCell ref="DO157:DP157"/>
    <mergeCell ref="DE167:DH167"/>
    <mergeCell ref="O144:P148"/>
    <mergeCell ref="Q144:R148"/>
    <mergeCell ref="K144:M148"/>
    <mergeCell ref="K149:S149"/>
    <mergeCell ref="K150:M150"/>
    <mergeCell ref="O150:P150"/>
    <mergeCell ref="Q150:R150"/>
    <mergeCell ref="K151:S151"/>
    <mergeCell ref="K159:Y159"/>
    <mergeCell ref="K160:Y162"/>
    <mergeCell ref="K152:M152"/>
    <mergeCell ref="K163:L165"/>
    <mergeCell ref="K166:L166"/>
    <mergeCell ref="K158:Y158"/>
    <mergeCell ref="P167:R167"/>
    <mergeCell ref="DE158:DH158"/>
    <mergeCell ref="DE159:DH159"/>
    <mergeCell ref="DE160:DH160"/>
    <mergeCell ref="DE161:DH161"/>
    <mergeCell ref="DE162:DH162"/>
    <mergeCell ref="DE163:DH163"/>
    <mergeCell ref="DE164:DH164"/>
    <mergeCell ref="DE165:DH165"/>
    <mergeCell ref="W176:Y176"/>
    <mergeCell ref="S176:V176"/>
    <mergeCell ref="K177:Y178"/>
    <mergeCell ref="K176:R176"/>
    <mergeCell ref="M173:O173"/>
    <mergeCell ref="P173:R173"/>
    <mergeCell ref="W174:Y174"/>
    <mergeCell ref="K174:L174"/>
    <mergeCell ref="M174:O174"/>
    <mergeCell ref="P174:R174"/>
    <mergeCell ref="S174:V174"/>
    <mergeCell ref="W173:Y173"/>
    <mergeCell ref="S173:V173"/>
    <mergeCell ref="S169:V169"/>
    <mergeCell ref="W169:Y169"/>
    <mergeCell ref="S167:V167"/>
    <mergeCell ref="M167:O167"/>
    <mergeCell ref="P168:R168"/>
    <mergeCell ref="S168:V168"/>
    <mergeCell ref="W175:Y175"/>
    <mergeCell ref="M175:O175"/>
    <mergeCell ref="P175:R175"/>
    <mergeCell ref="S175:V175"/>
    <mergeCell ref="S172:V172"/>
    <mergeCell ref="W171:Y171"/>
    <mergeCell ref="M169:O169"/>
    <mergeCell ref="P172:R172"/>
    <mergeCell ref="M170:O170"/>
    <mergeCell ref="DE113:DH113"/>
    <mergeCell ref="CM113:CO113"/>
    <mergeCell ref="CP113:CS113"/>
    <mergeCell ref="CT113:CY113"/>
    <mergeCell ref="P170:R170"/>
    <mergeCell ref="M171:O171"/>
    <mergeCell ref="P171:R171"/>
    <mergeCell ref="M172:O172"/>
    <mergeCell ref="S170:V170"/>
    <mergeCell ref="S171:V171"/>
    <mergeCell ref="S163:V165"/>
    <mergeCell ref="W163:Y165"/>
    <mergeCell ref="S166:V166"/>
    <mergeCell ref="W166:Y166"/>
    <mergeCell ref="W167:Y167"/>
    <mergeCell ref="W168:Y168"/>
    <mergeCell ref="M163:O165"/>
    <mergeCell ref="P163:R165"/>
    <mergeCell ref="M166:O166"/>
    <mergeCell ref="M168:O168"/>
    <mergeCell ref="W172:Y172"/>
    <mergeCell ref="W170:Y170"/>
    <mergeCell ref="P166:R166"/>
    <mergeCell ref="P169:R169"/>
    <mergeCell ref="CH113:CL113"/>
    <mergeCell ref="AK113:AO113"/>
    <mergeCell ref="AP113:AU113"/>
    <mergeCell ref="AV113:AY113"/>
    <mergeCell ref="AZ113:BC113"/>
    <mergeCell ref="BD113:BH113"/>
    <mergeCell ref="BI113:BM113"/>
    <mergeCell ref="BN113:BS113"/>
    <mergeCell ref="CZ113:DD113"/>
    <mergeCell ref="CT116:CV116"/>
    <mergeCell ref="DI113:DN113"/>
    <mergeCell ref="DO113:DS113"/>
    <mergeCell ref="DT113:DX113"/>
    <mergeCell ref="DY113:EC113"/>
    <mergeCell ref="DT114:DX114"/>
    <mergeCell ref="DY114:EC114"/>
    <mergeCell ref="B113:H113"/>
    <mergeCell ref="I113:K113"/>
    <mergeCell ref="L113:N113"/>
    <mergeCell ref="O113:T113"/>
    <mergeCell ref="U113:Y113"/>
    <mergeCell ref="Z113:AD113"/>
    <mergeCell ref="AE113:AJ113"/>
    <mergeCell ref="A114:H114"/>
    <mergeCell ref="I114:K114"/>
    <mergeCell ref="L114:N114"/>
    <mergeCell ref="O114:T114"/>
    <mergeCell ref="U114:Y114"/>
    <mergeCell ref="Z114:AD114"/>
    <mergeCell ref="AE114:AJ114"/>
    <mergeCell ref="BT113:BX113"/>
    <mergeCell ref="BY113:CB113"/>
    <mergeCell ref="CC113:CG113"/>
    <mergeCell ref="AV114:AY114"/>
    <mergeCell ref="AZ114:BC114"/>
    <mergeCell ref="BD114:BH114"/>
    <mergeCell ref="BI114:BM114"/>
    <mergeCell ref="BN114:BS114"/>
    <mergeCell ref="AK115:AO115"/>
    <mergeCell ref="AP115:AU115"/>
    <mergeCell ref="AV115:AY115"/>
    <mergeCell ref="AZ115:BC115"/>
    <mergeCell ref="BD115:BH115"/>
    <mergeCell ref="BI115:BM115"/>
    <mergeCell ref="BN115:BS115"/>
    <mergeCell ref="A115:H115"/>
    <mergeCell ref="I115:K115"/>
    <mergeCell ref="L115:N115"/>
    <mergeCell ref="O115:T115"/>
    <mergeCell ref="U115:Y115"/>
    <mergeCell ref="Z115:AD115"/>
    <mergeCell ref="AE115:AJ115"/>
    <mergeCell ref="AK114:AO114"/>
    <mergeCell ref="AP114:AU114"/>
    <mergeCell ref="BT114:BX114"/>
    <mergeCell ref="BY114:CB114"/>
    <mergeCell ref="BT116:BU116"/>
    <mergeCell ref="BV116:BX116"/>
    <mergeCell ref="BY116:BZ116"/>
    <mergeCell ref="CA116:CB116"/>
    <mergeCell ref="CC116:CD116"/>
    <mergeCell ref="DE116:DF116"/>
    <mergeCell ref="DG116:DH116"/>
    <mergeCell ref="BT115:BX115"/>
    <mergeCell ref="BY115:CB115"/>
    <mergeCell ref="CC115:CG115"/>
    <mergeCell ref="CH115:CL115"/>
    <mergeCell ref="CM115:CO115"/>
    <mergeCell ref="CP115:CS115"/>
    <mergeCell ref="CT115:CY115"/>
    <mergeCell ref="CW116:CY116"/>
    <mergeCell ref="CZ116:DA116"/>
    <mergeCell ref="CE116:CG116"/>
    <mergeCell ref="CH116:CI116"/>
    <mergeCell ref="CJ116:CL116"/>
    <mergeCell ref="CN116:CO116"/>
    <mergeCell ref="CP116:CQ116"/>
    <mergeCell ref="CR116:CS116"/>
    <mergeCell ref="A116:H116"/>
    <mergeCell ref="J116:K116"/>
    <mergeCell ref="M116:N116"/>
    <mergeCell ref="O116:P116"/>
    <mergeCell ref="Q116:T116"/>
    <mergeCell ref="U116:V116"/>
    <mergeCell ref="W116:Y116"/>
    <mergeCell ref="AK117:AO117"/>
    <mergeCell ref="AP117:AU117"/>
    <mergeCell ref="AR116:AU116"/>
    <mergeCell ref="BI117:BM117"/>
    <mergeCell ref="BN117:BS117"/>
    <mergeCell ref="DE117:DH117"/>
    <mergeCell ref="DI117:DN117"/>
    <mergeCell ref="DO117:DS117"/>
    <mergeCell ref="DT117:DX117"/>
    <mergeCell ref="BT117:BX117"/>
    <mergeCell ref="BY117:CB117"/>
    <mergeCell ref="CC117:CG117"/>
    <mergeCell ref="CH117:CL117"/>
    <mergeCell ref="CM117:CO117"/>
    <mergeCell ref="CP117:CS117"/>
    <mergeCell ref="CZ117:DD117"/>
    <mergeCell ref="BT118:BX118"/>
    <mergeCell ref="BY118:CB118"/>
    <mergeCell ref="CC118:CG118"/>
    <mergeCell ref="CH118:CL118"/>
    <mergeCell ref="CM118:CO118"/>
    <mergeCell ref="CP118:CS118"/>
    <mergeCell ref="CT118:CY118"/>
    <mergeCell ref="CP119:CS119"/>
    <mergeCell ref="O118:T118"/>
    <mergeCell ref="O119:T120"/>
    <mergeCell ref="U119:Y120"/>
    <mergeCell ref="BN118:BS118"/>
    <mergeCell ref="BN119:BS121"/>
    <mergeCell ref="AK118:AO118"/>
    <mergeCell ref="AP118:AU118"/>
    <mergeCell ref="AV118:AY118"/>
    <mergeCell ref="AZ118:BC118"/>
    <mergeCell ref="BD118:BH118"/>
    <mergeCell ref="BI118:BM118"/>
    <mergeCell ref="BD119:BH121"/>
    <mergeCell ref="BD122:BH122"/>
    <mergeCell ref="A117:H117"/>
    <mergeCell ref="I117:K117"/>
    <mergeCell ref="L117:N117"/>
    <mergeCell ref="O117:T117"/>
    <mergeCell ref="U117:Y117"/>
    <mergeCell ref="Z117:AD117"/>
    <mergeCell ref="AE117:AJ117"/>
    <mergeCell ref="AE118:AJ118"/>
    <mergeCell ref="AP119:AU126"/>
    <mergeCell ref="AV117:AY117"/>
    <mergeCell ref="AZ117:BC117"/>
    <mergeCell ref="BD117:BH117"/>
    <mergeCell ref="AP127:AU127"/>
    <mergeCell ref="A118:H118"/>
    <mergeCell ref="I118:K118"/>
    <mergeCell ref="L118:N118"/>
    <mergeCell ref="U118:Y118"/>
    <mergeCell ref="Z118:AD118"/>
    <mergeCell ref="A119:H119"/>
    <mergeCell ref="Z119:AD119"/>
    <mergeCell ref="A124:B125"/>
    <mergeCell ref="A126:B132"/>
    <mergeCell ref="C126:H132"/>
    <mergeCell ref="A134:H134"/>
    <mergeCell ref="A135:H139"/>
    <mergeCell ref="A120:H120"/>
    <mergeCell ref="A121:H121"/>
    <mergeCell ref="A123:H123"/>
    <mergeCell ref="I123:AG123"/>
    <mergeCell ref="C124:H125"/>
    <mergeCell ref="I124:AG124"/>
    <mergeCell ref="I125:AG127"/>
    <mergeCell ref="I128:AG128"/>
    <mergeCell ref="I129:AG130"/>
    <mergeCell ref="I131:AG131"/>
    <mergeCell ref="I132:AG135"/>
    <mergeCell ref="K143:S143"/>
    <mergeCell ref="N144:N148"/>
    <mergeCell ref="S144:S148"/>
    <mergeCell ref="O152:P152"/>
    <mergeCell ref="Q152:R152"/>
    <mergeCell ref="AP153:AU154"/>
    <mergeCell ref="AP155:AU155"/>
    <mergeCell ref="AP156:AU156"/>
    <mergeCell ref="AP157:AQ157"/>
  </mergeCells>
  <conditionalFormatting sqref="A6:EE110 AS158:AT204 DR158:DS205">
    <cfRule type="expression" dxfId="12" priority="1">
      <formula>ISODD(ROW())</formula>
    </cfRule>
  </conditionalFormatting>
  <conditionalFormatting sqref="I118 L118 O118 U118 Z118 AE118 AK118 AP118 AV118 AZ118 BD118 BI118 BN118 BT118 BY118 CC118 CH118 CM118 CP118 CT118 CZ118:DE118 DI118 DO118 DT118 DY118">
    <cfRule type="timePeriod" dxfId="11" priority="2" timePeriod="today">
      <formula>FLOOR(I118,1)=TODAY()</formula>
    </cfRule>
  </conditionalFormatting>
  <conditionalFormatting sqref="I118:L118 O118 U118 Z118 AE118 AK118 AP118 AV118 AZ118 BD118 BI118 BN118 BT118 BY118 CC118 CH118 CM118 CP118 CT118 CZ118 DE118 DI118 DO118 DT118 DY118">
    <cfRule type="expression" dxfId="10" priority="3">
      <formula>AND(ISNUMBER(I118),TRUNC(I118)&lt;TODAY())</formula>
    </cfRule>
  </conditionalFormatting>
  <conditionalFormatting sqref="AP158:AQ204 DO158:DP205">
    <cfRule type="expression" dxfId="9" priority="4">
      <formula>ISODD(ROW())</formula>
    </cfRule>
  </conditionalFormatting>
  <hyperlinks>
    <hyperlink ref="EE55" r:id="rId1" xr:uid="{00000000-0004-0000-0200-000000000000}"/>
    <hyperlink ref="EE61" r:id="rId2" xr:uid="{00000000-0004-0000-0200-000001000000}"/>
    <hyperlink ref="EE63" r:id="rId3" xr:uid="{00000000-0004-0000-0200-000002000000}"/>
    <hyperlink ref="EE65" r:id="rId4" xr:uid="{00000000-0004-0000-0200-000003000000}"/>
    <hyperlink ref="EE66" r:id="rId5" xr:uid="{00000000-0004-0000-0200-000004000000}"/>
    <hyperlink ref="EE68" r:id="rId6" xr:uid="{00000000-0004-0000-0200-000005000000}"/>
    <hyperlink ref="EE69" r:id="rId7" xr:uid="{00000000-0004-0000-0200-000006000000}"/>
    <hyperlink ref="EE73" r:id="rId8" xr:uid="{00000000-0004-0000-0200-000007000000}"/>
    <hyperlink ref="EE74" r:id="rId9" xr:uid="{00000000-0004-0000-0200-000008000000}"/>
    <hyperlink ref="EE77" r:id="rId10" xr:uid="{00000000-0004-0000-0200-000009000000}"/>
    <hyperlink ref="EE93" r:id="rId11" xr:uid="{00000000-0004-0000-0200-00000A000000}"/>
    <hyperlink ref="EE96" r:id="rId12" xr:uid="{00000000-0004-0000-0200-00000B000000}"/>
    <hyperlink ref="EE99" r:id="rId13" xr:uid="{00000000-0004-0000-0200-00000C000000}"/>
    <hyperlink ref="EE102" r:id="rId14" xr:uid="{00000000-0004-0000-0200-00000D000000}"/>
    <hyperlink ref="EE104" r:id="rId15" xr:uid="{00000000-0004-0000-0200-00000E000000}"/>
    <hyperlink ref="EE107" r:id="rId16" xr:uid="{00000000-0004-0000-0200-00000F000000}"/>
    <hyperlink ref="EE109" r:id="rId17" xr:uid="{00000000-0004-0000-0200-000010000000}"/>
    <hyperlink ref="I117" r:id="rId18" xr:uid="{00000000-0004-0000-0200-000011000000}"/>
    <hyperlink ref="L117" r:id="rId19" xr:uid="{00000000-0004-0000-0200-000012000000}"/>
    <hyperlink ref="O117" r:id="rId20" xr:uid="{00000000-0004-0000-0200-000013000000}"/>
    <hyperlink ref="U117" r:id="rId21" xr:uid="{00000000-0004-0000-0200-000014000000}"/>
    <hyperlink ref="Z117" r:id="rId22" xr:uid="{00000000-0004-0000-0200-000015000000}"/>
    <hyperlink ref="AE117" r:id="rId23" location="originRequestUrl=www.be.ch/corona" xr:uid="{00000000-0004-0000-0200-000016000000}"/>
    <hyperlink ref="AK117" r:id="rId24" xr:uid="{00000000-0004-0000-0200-000017000000}"/>
    <hyperlink ref="AP117" r:id="rId25" xr:uid="{00000000-0004-0000-0200-000018000000}"/>
    <hyperlink ref="AV117" r:id="rId26" location="Fallzahlen" xr:uid="{00000000-0004-0000-0200-000019000000}"/>
    <hyperlink ref="AZ117" r:id="rId27" xr:uid="{00000000-0004-0000-0200-00001A000000}"/>
    <hyperlink ref="BD117" r:id="rId28" xr:uid="{00000000-0004-0000-0200-00001B000000}"/>
    <hyperlink ref="BI117" r:id="rId29" xr:uid="{00000000-0004-0000-0200-00001C000000}"/>
    <hyperlink ref="BN117" r:id="rId30" xr:uid="{00000000-0004-0000-0200-00001D000000}"/>
    <hyperlink ref="BT117" r:id="rId31" location="Anzahl%C2%A0Erkrankungen" xr:uid="{00000000-0004-0000-0200-00001E000000}"/>
    <hyperlink ref="BY117" r:id="rId32" xr:uid="{00000000-0004-0000-0200-00001F000000}"/>
    <hyperlink ref="CC117" r:id="rId33" xr:uid="{00000000-0004-0000-0200-000020000000}"/>
    <hyperlink ref="CH117" r:id="rId34" xr:uid="{00000000-0004-0000-0200-000021000000}"/>
    <hyperlink ref="CM117" r:id="rId35" xr:uid="{00000000-0004-0000-0200-000022000000}"/>
    <hyperlink ref="CP117" r:id="rId36" xr:uid="{00000000-0004-0000-0200-000023000000}"/>
    <hyperlink ref="CT117" r:id="rId37" xr:uid="{00000000-0004-0000-0200-000024000000}"/>
    <hyperlink ref="CZ117" r:id="rId38" xr:uid="{00000000-0004-0000-0200-000025000000}"/>
    <hyperlink ref="DE117" r:id="rId39" xr:uid="{00000000-0004-0000-0200-000026000000}"/>
    <hyperlink ref="DI117" r:id="rId40" xr:uid="{00000000-0004-0000-0200-000027000000}"/>
    <hyperlink ref="DO117" r:id="rId41" xr:uid="{00000000-0004-0000-0200-000028000000}"/>
    <hyperlink ref="DT117" r:id="rId42" xr:uid="{00000000-0004-0000-0200-000029000000}"/>
    <hyperlink ref="DY117" r:id="rId43" location="medienmitteilungen" xr:uid="{00000000-0004-0000-0200-00002A000000}"/>
    <hyperlink ref="C124" r:id="rId44" xr:uid="{00000000-0004-0000-0200-00002B000000}"/>
    <hyperlink ref="AP127" r:id="rId45" xr:uid="{00000000-0004-0000-0200-00002C000000}"/>
  </hyperlinks>
  <printOptions horizontalCentered="1" gridLines="1"/>
  <pageMargins left="0.7" right="0.7" top="0.75" bottom="0.75" header="0" footer="0"/>
  <pageSetup fitToHeight="0" pageOrder="overThenDown" orientation="portrait" cellComments="atEnd"/>
  <drawing r:id="rId4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FE1080"/>
  <sheetViews>
    <sheetView workbookViewId="0">
      <pane xSplit="9" ySplit="5" topLeftCell="J6" activePane="bottomRight" state="frozen"/>
      <selection pane="topRight" activeCell="J1" sqref="J1"/>
      <selection pane="bottomLeft" activeCell="A6" sqref="A6"/>
      <selection pane="bottomRight" activeCell="J6" sqref="J6"/>
    </sheetView>
  </sheetViews>
  <sheetFormatPr baseColWidth="10" defaultColWidth="14.42578125" defaultRowHeight="15.75" customHeight="1"/>
  <cols>
    <col min="1" max="1" width="10.140625" customWidth="1"/>
    <col min="2" max="2" width="8.140625" customWidth="1"/>
    <col min="3" max="3" width="7.140625" customWidth="1"/>
    <col min="4" max="6" width="7.28515625" customWidth="1"/>
    <col min="7" max="7" width="6.42578125" customWidth="1"/>
    <col min="8" max="9" width="7.28515625" customWidth="1"/>
    <col min="10" max="12" width="4.140625" customWidth="1"/>
    <col min="13" max="15" width="5" customWidth="1"/>
    <col min="16" max="16" width="8.140625" customWidth="1"/>
    <col min="17" max="18" width="7.5703125" customWidth="1"/>
    <col min="19" max="24" width="6.5703125" customWidth="1"/>
    <col min="25" max="25" width="5.85546875" customWidth="1"/>
    <col min="26" max="26" width="4.140625" customWidth="1"/>
    <col min="27" max="27" width="4.5703125" customWidth="1"/>
    <col min="28" max="28" width="5.140625" customWidth="1"/>
    <col min="29" max="30" width="4.140625" customWidth="1"/>
    <col min="31" max="31" width="4.7109375" customWidth="1"/>
    <col min="32" max="36" width="4.140625" customWidth="1"/>
    <col min="37" max="37" width="5.140625" customWidth="1"/>
    <col min="38" max="39" width="4.140625" customWidth="1"/>
    <col min="40" max="40" width="6" customWidth="1"/>
    <col min="41" max="41" width="4.85546875" customWidth="1"/>
    <col min="42" max="42" width="5.42578125" customWidth="1"/>
    <col min="43" max="43" width="8" customWidth="1"/>
    <col min="44" max="44" width="6.7109375" customWidth="1"/>
    <col min="45" max="45" width="6.85546875" customWidth="1"/>
    <col min="46" max="46" width="4.85546875" customWidth="1"/>
    <col min="47" max="48" width="4.140625" customWidth="1"/>
    <col min="49" max="50" width="4.85546875" customWidth="1"/>
    <col min="51" max="51" width="5.5703125" customWidth="1"/>
    <col min="52" max="52" width="7" customWidth="1"/>
    <col min="53" max="53" width="6.28515625" customWidth="1"/>
    <col min="54" max="54" width="6.5703125" customWidth="1"/>
    <col min="55" max="57" width="4.140625" customWidth="1"/>
    <col min="58" max="58" width="5.5703125" customWidth="1"/>
    <col min="59" max="59" width="4.140625" customWidth="1"/>
    <col min="60" max="60" width="4.7109375" customWidth="1"/>
    <col min="61" max="63" width="4.140625" customWidth="1"/>
    <col min="64" max="64" width="5.140625" customWidth="1"/>
    <col min="65" max="69" width="4.140625" customWidth="1"/>
    <col min="70" max="70" width="6.42578125" customWidth="1"/>
    <col min="71" max="72" width="4.85546875" customWidth="1"/>
    <col min="73" max="73" width="5.85546875" customWidth="1"/>
    <col min="74" max="74" width="4.140625" customWidth="1"/>
    <col min="75" max="75" width="4.7109375" customWidth="1"/>
    <col min="76" max="76" width="7.140625" customWidth="1"/>
    <col min="77" max="77" width="6.85546875" customWidth="1"/>
    <col min="78" max="78" width="6.42578125" customWidth="1"/>
    <col min="79" max="87" width="4.42578125" customWidth="1"/>
    <col min="88" max="90" width="4.140625" customWidth="1"/>
    <col min="91" max="91" width="5.7109375" customWidth="1"/>
    <col min="92" max="93" width="4.140625" customWidth="1"/>
    <col min="94" max="94" width="5.85546875" customWidth="1"/>
    <col min="95" max="97" width="4.85546875" customWidth="1"/>
    <col min="98" max="102" width="4.5703125" customWidth="1"/>
    <col min="103" max="103" width="5.140625" customWidth="1"/>
    <col min="104" max="111" width="4.5703125" customWidth="1"/>
    <col min="112" max="114" width="5.5703125" customWidth="1"/>
    <col min="115" max="117" width="6.140625" customWidth="1"/>
    <col min="118" max="126" width="6.42578125" customWidth="1"/>
    <col min="127" max="127" width="7" customWidth="1"/>
    <col min="128" max="129" width="6" customWidth="1"/>
    <col min="130" max="132" width="5.42578125" customWidth="1"/>
    <col min="133" max="133" width="6" customWidth="1"/>
    <col min="134" max="135" width="5.42578125" customWidth="1"/>
    <col min="136" max="138" width="4.140625" customWidth="1"/>
    <col min="139" max="139" width="5.28515625" customWidth="1"/>
    <col min="140" max="140" width="4.42578125" customWidth="1"/>
    <col min="141" max="141" width="4.7109375" customWidth="1"/>
    <col min="142" max="142" width="4.85546875" customWidth="1"/>
    <col min="143" max="144" width="4.140625" customWidth="1"/>
    <col min="145" max="145" width="4.7109375" customWidth="1"/>
    <col min="146" max="147" width="4.140625" customWidth="1"/>
    <col min="148" max="148" width="6.28515625" customWidth="1"/>
    <col min="149" max="150" width="5.140625" customWidth="1"/>
    <col min="151" max="151" width="6" customWidth="1"/>
    <col min="152" max="153" width="4.7109375" customWidth="1"/>
    <col min="154" max="154" width="5.28515625" customWidth="1"/>
    <col min="155" max="159" width="4.140625" customWidth="1"/>
    <col min="160" max="160" width="49.140625" customWidth="1"/>
    <col min="161" max="161" width="31.42578125" customWidth="1"/>
  </cols>
  <sheetData>
    <row r="1" spans="1:161" ht="12.75">
      <c r="A1" s="624" t="s">
        <v>16</v>
      </c>
      <c r="B1" s="530" t="s">
        <v>75</v>
      </c>
      <c r="C1" s="531"/>
      <c r="D1" s="531"/>
      <c r="E1" s="603"/>
      <c r="F1" s="530" t="s">
        <v>76</v>
      </c>
      <c r="G1" s="531"/>
      <c r="H1" s="531"/>
      <c r="I1" s="531"/>
      <c r="J1" s="530" t="s">
        <v>77</v>
      </c>
      <c r="K1" s="531"/>
      <c r="L1" s="531"/>
      <c r="M1" s="531"/>
      <c r="N1" s="531"/>
      <c r="O1" s="531"/>
      <c r="P1" s="531"/>
      <c r="Q1" s="531"/>
      <c r="R1" s="531"/>
      <c r="S1" s="531"/>
      <c r="T1" s="531"/>
      <c r="U1" s="531"/>
      <c r="V1" s="531"/>
      <c r="W1" s="531"/>
      <c r="X1" s="531"/>
      <c r="Y1" s="531"/>
      <c r="Z1" s="531"/>
      <c r="AA1" s="531"/>
      <c r="AB1" s="531"/>
      <c r="AC1" s="531"/>
      <c r="AD1" s="531"/>
      <c r="AE1" s="531"/>
      <c r="AF1" s="531"/>
      <c r="AG1" s="531"/>
      <c r="AH1" s="531"/>
      <c r="AI1" s="531"/>
      <c r="AJ1" s="531"/>
      <c r="AK1" s="531"/>
      <c r="AL1" s="531"/>
      <c r="AM1" s="531"/>
      <c r="AN1" s="531"/>
      <c r="AO1" s="531"/>
      <c r="AP1" s="531"/>
      <c r="AQ1" s="531"/>
      <c r="AR1" s="531"/>
      <c r="AS1" s="531"/>
      <c r="AT1" s="531"/>
      <c r="AU1" s="531"/>
      <c r="AV1" s="531"/>
      <c r="AW1" s="531"/>
      <c r="AX1" s="531"/>
      <c r="AY1" s="531"/>
      <c r="AZ1" s="531"/>
      <c r="BA1" s="531"/>
      <c r="BB1" s="531"/>
      <c r="BC1" s="531"/>
      <c r="BD1" s="531"/>
      <c r="BE1" s="531"/>
      <c r="BF1" s="531"/>
      <c r="BG1" s="531"/>
      <c r="BH1" s="531"/>
      <c r="BI1" s="531"/>
      <c r="BJ1" s="531"/>
      <c r="BK1" s="531"/>
      <c r="BL1" s="531"/>
      <c r="BM1" s="531"/>
      <c r="BN1" s="531"/>
      <c r="BO1" s="531"/>
      <c r="BP1" s="531"/>
      <c r="BQ1" s="531"/>
      <c r="BR1" s="531"/>
      <c r="BS1" s="531"/>
      <c r="BT1" s="531"/>
      <c r="BU1" s="531"/>
      <c r="BV1" s="531"/>
      <c r="BW1" s="531"/>
      <c r="BX1" s="531"/>
      <c r="BY1" s="531"/>
      <c r="BZ1" s="531"/>
      <c r="CA1" s="531"/>
      <c r="CB1" s="531"/>
      <c r="CC1" s="531"/>
      <c r="CD1" s="531"/>
      <c r="CE1" s="531"/>
      <c r="CF1" s="531"/>
      <c r="CG1" s="531"/>
      <c r="CH1" s="531"/>
      <c r="CI1" s="531"/>
      <c r="CJ1" s="531"/>
      <c r="CK1" s="531"/>
      <c r="CL1" s="531"/>
      <c r="CM1" s="531"/>
      <c r="CN1" s="531"/>
      <c r="CO1" s="531"/>
      <c r="CP1" s="531"/>
      <c r="CQ1" s="531"/>
      <c r="CR1" s="531"/>
      <c r="CS1" s="531"/>
      <c r="CT1" s="531"/>
      <c r="CU1" s="531"/>
      <c r="CV1" s="531"/>
      <c r="CW1" s="531"/>
      <c r="CX1" s="531"/>
      <c r="CY1" s="531"/>
      <c r="CZ1" s="531"/>
      <c r="DA1" s="531"/>
      <c r="DB1" s="531"/>
      <c r="DC1" s="531"/>
      <c r="DD1" s="531"/>
      <c r="DE1" s="531"/>
      <c r="DF1" s="531"/>
      <c r="DG1" s="531"/>
      <c r="DH1" s="531"/>
      <c r="DI1" s="531"/>
      <c r="DJ1" s="531"/>
      <c r="DK1" s="531"/>
      <c r="DL1" s="531"/>
      <c r="DM1" s="531"/>
      <c r="DN1" s="531"/>
      <c r="DO1" s="531"/>
      <c r="DP1" s="531"/>
      <c r="DQ1" s="531"/>
      <c r="DR1" s="531"/>
      <c r="DS1" s="531"/>
      <c r="DT1" s="531"/>
      <c r="DU1" s="531"/>
      <c r="DV1" s="531"/>
      <c r="DW1" s="531"/>
      <c r="DX1" s="531"/>
      <c r="DY1" s="531"/>
      <c r="DZ1" s="531"/>
      <c r="EA1" s="531"/>
      <c r="EB1" s="531"/>
      <c r="EC1" s="531"/>
      <c r="ED1" s="531"/>
      <c r="EE1" s="531"/>
      <c r="EF1" s="531"/>
      <c r="EG1" s="531"/>
      <c r="EH1" s="531"/>
      <c r="EI1" s="531"/>
      <c r="EJ1" s="531"/>
      <c r="EK1" s="531"/>
      <c r="EL1" s="531"/>
      <c r="EM1" s="531"/>
      <c r="EN1" s="531"/>
      <c r="EO1" s="531"/>
      <c r="EP1" s="531"/>
      <c r="EQ1" s="531"/>
      <c r="ER1" s="531"/>
      <c r="ES1" s="531"/>
      <c r="ET1" s="531"/>
      <c r="EU1" s="531"/>
      <c r="EV1" s="531"/>
      <c r="EW1" s="531"/>
      <c r="EX1" s="531"/>
      <c r="EY1" s="531"/>
      <c r="EZ1" s="531"/>
      <c r="FA1" s="531"/>
      <c r="FB1" s="531"/>
      <c r="FC1" s="531"/>
      <c r="FD1" s="3"/>
      <c r="FE1" s="4"/>
    </row>
    <row r="2" spans="1:161" ht="12.75">
      <c r="A2" s="531"/>
      <c r="B2" s="531"/>
      <c r="C2" s="531"/>
      <c r="D2" s="531"/>
      <c r="E2" s="603"/>
      <c r="F2" s="531"/>
      <c r="G2" s="531"/>
      <c r="H2" s="531"/>
      <c r="I2" s="531"/>
      <c r="J2" s="530" t="s">
        <v>78</v>
      </c>
      <c r="K2" s="531"/>
      <c r="L2" s="532"/>
      <c r="M2" s="530" t="s">
        <v>79</v>
      </c>
      <c r="N2" s="531"/>
      <c r="O2" s="532"/>
      <c r="P2" s="530" t="s">
        <v>80</v>
      </c>
      <c r="Q2" s="531"/>
      <c r="R2" s="532"/>
      <c r="S2" s="530" t="s">
        <v>81</v>
      </c>
      <c r="T2" s="531"/>
      <c r="U2" s="532"/>
      <c r="V2" s="530" t="s">
        <v>82</v>
      </c>
      <c r="W2" s="531"/>
      <c r="X2" s="532"/>
      <c r="Y2" s="530" t="s">
        <v>83</v>
      </c>
      <c r="Z2" s="531"/>
      <c r="AA2" s="532"/>
      <c r="AB2" s="530" t="s">
        <v>84</v>
      </c>
      <c r="AC2" s="531"/>
      <c r="AD2" s="532"/>
      <c r="AE2" s="530" t="s">
        <v>85</v>
      </c>
      <c r="AF2" s="531"/>
      <c r="AG2" s="532"/>
      <c r="AH2" s="530" t="s">
        <v>86</v>
      </c>
      <c r="AI2" s="531"/>
      <c r="AJ2" s="532"/>
      <c r="AK2" s="530" t="s">
        <v>87</v>
      </c>
      <c r="AL2" s="531"/>
      <c r="AM2" s="532"/>
      <c r="AN2" s="530" t="s">
        <v>88</v>
      </c>
      <c r="AO2" s="531"/>
      <c r="AP2" s="532"/>
      <c r="AQ2" s="530" t="s">
        <v>89</v>
      </c>
      <c r="AR2" s="531"/>
      <c r="AS2" s="532"/>
      <c r="AT2" s="530" t="s">
        <v>90</v>
      </c>
      <c r="AU2" s="531"/>
      <c r="AV2" s="532"/>
      <c r="AW2" s="530" t="s">
        <v>91</v>
      </c>
      <c r="AX2" s="531"/>
      <c r="AY2" s="532"/>
      <c r="AZ2" s="530" t="s">
        <v>92</v>
      </c>
      <c r="BA2" s="531"/>
      <c r="BB2" s="532"/>
      <c r="BC2" s="530" t="s">
        <v>93</v>
      </c>
      <c r="BD2" s="531"/>
      <c r="BE2" s="532"/>
      <c r="BF2" s="530" t="s">
        <v>94</v>
      </c>
      <c r="BG2" s="531"/>
      <c r="BH2" s="532"/>
      <c r="BI2" s="530" t="s">
        <v>95</v>
      </c>
      <c r="BJ2" s="531"/>
      <c r="BK2" s="532"/>
      <c r="BL2" s="530" t="s">
        <v>96</v>
      </c>
      <c r="BM2" s="531"/>
      <c r="BN2" s="532"/>
      <c r="BO2" s="530" t="s">
        <v>97</v>
      </c>
      <c r="BP2" s="531"/>
      <c r="BQ2" s="532"/>
      <c r="BR2" s="530" t="s">
        <v>98</v>
      </c>
      <c r="BS2" s="531"/>
      <c r="BT2" s="532"/>
      <c r="BU2" s="530" t="s">
        <v>101</v>
      </c>
      <c r="BV2" s="531"/>
      <c r="BW2" s="532"/>
      <c r="BX2" s="530" t="s">
        <v>104</v>
      </c>
      <c r="BY2" s="531"/>
      <c r="BZ2" s="532"/>
      <c r="CA2" s="530" t="s">
        <v>105</v>
      </c>
      <c r="CB2" s="531"/>
      <c r="CC2" s="532"/>
      <c r="CD2" s="530" t="s">
        <v>106</v>
      </c>
      <c r="CE2" s="531"/>
      <c r="CF2" s="532"/>
      <c r="CG2" s="530" t="s">
        <v>107</v>
      </c>
      <c r="CH2" s="531"/>
      <c r="CI2" s="532"/>
      <c r="CJ2" s="530" t="s">
        <v>108</v>
      </c>
      <c r="CK2" s="531"/>
      <c r="CL2" s="532"/>
      <c r="CM2" s="530" t="s">
        <v>110</v>
      </c>
      <c r="CN2" s="531"/>
      <c r="CO2" s="532"/>
      <c r="CP2" s="530" t="s">
        <v>111</v>
      </c>
      <c r="CQ2" s="531"/>
      <c r="CR2" s="532"/>
      <c r="CS2" s="530" t="s">
        <v>112</v>
      </c>
      <c r="CT2" s="531"/>
      <c r="CU2" s="532"/>
      <c r="CV2" s="530" t="s">
        <v>114</v>
      </c>
      <c r="CW2" s="531"/>
      <c r="CX2" s="532"/>
      <c r="CY2" s="530" t="s">
        <v>115</v>
      </c>
      <c r="CZ2" s="531"/>
      <c r="DA2" s="532"/>
      <c r="DB2" s="530" t="s">
        <v>116</v>
      </c>
      <c r="DC2" s="531"/>
      <c r="DD2" s="532"/>
      <c r="DE2" s="530" t="s">
        <v>117</v>
      </c>
      <c r="DF2" s="531"/>
      <c r="DG2" s="532"/>
      <c r="DH2" s="530" t="s">
        <v>118</v>
      </c>
      <c r="DI2" s="531"/>
      <c r="DJ2" s="532"/>
      <c r="DK2" s="530" t="s">
        <v>119</v>
      </c>
      <c r="DL2" s="531"/>
      <c r="DM2" s="532"/>
      <c r="DN2" s="530" t="s">
        <v>120</v>
      </c>
      <c r="DO2" s="531"/>
      <c r="DP2" s="532"/>
      <c r="DQ2" s="530" t="s">
        <v>122</v>
      </c>
      <c r="DR2" s="531"/>
      <c r="DS2" s="532"/>
      <c r="DT2" s="530" t="s">
        <v>123</v>
      </c>
      <c r="DU2" s="531"/>
      <c r="DV2" s="532"/>
      <c r="DW2" s="530" t="s">
        <v>124</v>
      </c>
      <c r="DX2" s="531"/>
      <c r="DY2" s="532"/>
      <c r="DZ2" s="530" t="s">
        <v>125</v>
      </c>
      <c r="EA2" s="531"/>
      <c r="EB2" s="532"/>
      <c r="EC2" s="530" t="s">
        <v>126</v>
      </c>
      <c r="ED2" s="531"/>
      <c r="EE2" s="532"/>
      <c r="EF2" s="530" t="s">
        <v>127</v>
      </c>
      <c r="EG2" s="531"/>
      <c r="EH2" s="532"/>
      <c r="EI2" s="530" t="s">
        <v>128</v>
      </c>
      <c r="EJ2" s="531"/>
      <c r="EK2" s="532"/>
      <c r="EL2" s="530" t="s">
        <v>129</v>
      </c>
      <c r="EM2" s="531"/>
      <c r="EN2" s="532"/>
      <c r="EO2" s="530" t="s">
        <v>130</v>
      </c>
      <c r="EP2" s="531"/>
      <c r="EQ2" s="532"/>
      <c r="ER2" s="530" t="s">
        <v>131</v>
      </c>
      <c r="ES2" s="531"/>
      <c r="ET2" s="532"/>
      <c r="EU2" s="530" t="s">
        <v>132</v>
      </c>
      <c r="EV2" s="531"/>
      <c r="EW2" s="532"/>
      <c r="EX2" s="530" t="s">
        <v>133</v>
      </c>
      <c r="EY2" s="531"/>
      <c r="EZ2" s="532"/>
      <c r="FA2" s="530" t="s">
        <v>134</v>
      </c>
      <c r="FB2" s="531"/>
      <c r="FC2" s="532"/>
      <c r="FD2" s="530" t="s">
        <v>6</v>
      </c>
      <c r="FE2" s="530" t="s">
        <v>7</v>
      </c>
    </row>
    <row r="3" spans="1:161" ht="12.75">
      <c r="A3" s="531"/>
      <c r="B3" s="531"/>
      <c r="C3" s="531"/>
      <c r="D3" s="531"/>
      <c r="E3" s="603"/>
      <c r="F3" s="531"/>
      <c r="G3" s="531"/>
      <c r="H3" s="531"/>
      <c r="I3" s="531"/>
      <c r="J3" s="530" t="s">
        <v>135</v>
      </c>
      <c r="K3" s="531"/>
      <c r="L3" s="532"/>
      <c r="M3" s="530" t="s">
        <v>136</v>
      </c>
      <c r="N3" s="531"/>
      <c r="O3" s="532"/>
      <c r="P3" s="530" t="s">
        <v>137</v>
      </c>
      <c r="Q3" s="531"/>
      <c r="R3" s="532"/>
      <c r="S3" s="530" t="s">
        <v>138</v>
      </c>
      <c r="T3" s="531"/>
      <c r="U3" s="532"/>
      <c r="V3" s="530" t="s">
        <v>139</v>
      </c>
      <c r="W3" s="531"/>
      <c r="X3" s="532"/>
      <c r="Y3" s="530" t="s">
        <v>140</v>
      </c>
      <c r="Z3" s="531"/>
      <c r="AA3" s="532"/>
      <c r="AB3" s="530" t="s">
        <v>141</v>
      </c>
      <c r="AC3" s="531"/>
      <c r="AD3" s="532"/>
      <c r="AE3" s="530" t="s">
        <v>142</v>
      </c>
      <c r="AF3" s="531"/>
      <c r="AG3" s="532"/>
      <c r="AH3" s="530" t="s">
        <v>143</v>
      </c>
      <c r="AI3" s="531"/>
      <c r="AJ3" s="532"/>
      <c r="AK3" s="530" t="s">
        <v>144</v>
      </c>
      <c r="AL3" s="531"/>
      <c r="AM3" s="532"/>
      <c r="AN3" s="530" t="s">
        <v>145</v>
      </c>
      <c r="AO3" s="531"/>
      <c r="AP3" s="532"/>
      <c r="AQ3" s="530" t="s">
        <v>146</v>
      </c>
      <c r="AR3" s="531"/>
      <c r="AS3" s="532"/>
      <c r="AT3" s="530" t="s">
        <v>147</v>
      </c>
      <c r="AU3" s="531"/>
      <c r="AV3" s="532"/>
      <c r="AW3" s="530" t="s">
        <v>148</v>
      </c>
      <c r="AX3" s="531"/>
      <c r="AY3" s="532"/>
      <c r="AZ3" s="530" t="s">
        <v>150</v>
      </c>
      <c r="BA3" s="531"/>
      <c r="BB3" s="532"/>
      <c r="BC3" s="530" t="s">
        <v>152</v>
      </c>
      <c r="BD3" s="531"/>
      <c r="BE3" s="532"/>
      <c r="BF3" s="530" t="s">
        <v>154</v>
      </c>
      <c r="BG3" s="531"/>
      <c r="BH3" s="532"/>
      <c r="BI3" s="530" t="s">
        <v>155</v>
      </c>
      <c r="BJ3" s="531"/>
      <c r="BK3" s="532"/>
      <c r="BL3" s="530" t="s">
        <v>156</v>
      </c>
      <c r="BM3" s="531"/>
      <c r="BN3" s="532"/>
      <c r="BO3" s="530" t="s">
        <v>157</v>
      </c>
      <c r="BP3" s="531"/>
      <c r="BQ3" s="532"/>
      <c r="BR3" s="530" t="s">
        <v>147</v>
      </c>
      <c r="BS3" s="531"/>
      <c r="BT3" s="532"/>
      <c r="BU3" s="530" t="s">
        <v>158</v>
      </c>
      <c r="BV3" s="531"/>
      <c r="BW3" s="532"/>
      <c r="BX3" s="530" t="s">
        <v>159</v>
      </c>
      <c r="BY3" s="531"/>
      <c r="BZ3" s="532"/>
      <c r="CA3" s="530" t="s">
        <v>160</v>
      </c>
      <c r="CB3" s="531"/>
      <c r="CC3" s="532"/>
      <c r="CD3" s="530"/>
      <c r="CE3" s="531"/>
      <c r="CF3" s="532"/>
      <c r="CG3" s="530" t="s">
        <v>161</v>
      </c>
      <c r="CH3" s="531"/>
      <c r="CI3" s="532"/>
      <c r="CJ3" s="530" t="s">
        <v>162</v>
      </c>
      <c r="CK3" s="531"/>
      <c r="CL3" s="532"/>
      <c r="CM3" s="530" t="s">
        <v>163</v>
      </c>
      <c r="CN3" s="531"/>
      <c r="CO3" s="532"/>
      <c r="CP3" s="530" t="s">
        <v>164</v>
      </c>
      <c r="CQ3" s="531"/>
      <c r="CR3" s="532"/>
      <c r="CS3" s="530" t="s">
        <v>165</v>
      </c>
      <c r="CT3" s="531"/>
      <c r="CU3" s="532"/>
      <c r="CV3" s="530" t="s">
        <v>166</v>
      </c>
      <c r="CW3" s="531"/>
      <c r="CX3" s="532"/>
      <c r="CY3" s="530" t="s">
        <v>167</v>
      </c>
      <c r="CZ3" s="531"/>
      <c r="DA3" s="532"/>
      <c r="DB3" s="530" t="s">
        <v>168</v>
      </c>
      <c r="DC3" s="531"/>
      <c r="DD3" s="532"/>
      <c r="DE3" s="530" t="s">
        <v>169</v>
      </c>
      <c r="DF3" s="531"/>
      <c r="DG3" s="532"/>
      <c r="DH3" s="530" t="s">
        <v>170</v>
      </c>
      <c r="DI3" s="531"/>
      <c r="DJ3" s="532"/>
      <c r="DK3" s="530" t="s">
        <v>171</v>
      </c>
      <c r="DL3" s="531"/>
      <c r="DM3" s="532"/>
      <c r="DN3" s="530" t="s">
        <v>172</v>
      </c>
      <c r="DO3" s="531"/>
      <c r="DP3" s="532"/>
      <c r="DQ3" s="530" t="s">
        <v>173</v>
      </c>
      <c r="DR3" s="531"/>
      <c r="DS3" s="532"/>
      <c r="DT3" s="530" t="s">
        <v>174</v>
      </c>
      <c r="DU3" s="531"/>
      <c r="DV3" s="532"/>
      <c r="DW3" s="530" t="s">
        <v>175</v>
      </c>
      <c r="DX3" s="531"/>
      <c r="DY3" s="532"/>
      <c r="DZ3" s="530" t="s">
        <v>176</v>
      </c>
      <c r="EA3" s="531"/>
      <c r="EB3" s="532"/>
      <c r="EC3" s="530" t="s">
        <v>177</v>
      </c>
      <c r="ED3" s="531"/>
      <c r="EE3" s="532"/>
      <c r="EF3" s="530" t="s">
        <v>178</v>
      </c>
      <c r="EG3" s="531"/>
      <c r="EH3" s="532"/>
      <c r="EI3" s="530" t="s">
        <v>179</v>
      </c>
      <c r="EJ3" s="531"/>
      <c r="EK3" s="532"/>
      <c r="EL3" s="530" t="s">
        <v>180</v>
      </c>
      <c r="EM3" s="531"/>
      <c r="EN3" s="532"/>
      <c r="EO3" s="530" t="s">
        <v>181</v>
      </c>
      <c r="EP3" s="531"/>
      <c r="EQ3" s="532"/>
      <c r="ER3" s="530" t="s">
        <v>182</v>
      </c>
      <c r="ES3" s="531"/>
      <c r="ET3" s="532"/>
      <c r="EU3" s="530" t="s">
        <v>48</v>
      </c>
      <c r="EV3" s="531"/>
      <c r="EW3" s="532"/>
      <c r="EX3" s="530" t="s">
        <v>183</v>
      </c>
      <c r="EY3" s="531"/>
      <c r="EZ3" s="532"/>
      <c r="FA3" s="530" t="s">
        <v>184</v>
      </c>
      <c r="FB3" s="531"/>
      <c r="FC3" s="532"/>
      <c r="FD3" s="531"/>
      <c r="FE3" s="531"/>
    </row>
    <row r="4" spans="1:161" ht="12.75">
      <c r="A4" s="531"/>
      <c r="B4" s="625" t="s">
        <v>8</v>
      </c>
      <c r="C4" s="626" t="s">
        <v>9</v>
      </c>
      <c r="D4" s="627" t="s">
        <v>10</v>
      </c>
      <c r="E4" s="628" t="s">
        <v>11</v>
      </c>
      <c r="F4" s="625" t="s">
        <v>8</v>
      </c>
      <c r="G4" s="626" t="s">
        <v>9</v>
      </c>
      <c r="H4" s="627" t="s">
        <v>10</v>
      </c>
      <c r="I4" s="633" t="s">
        <v>11</v>
      </c>
      <c r="J4" s="530"/>
      <c r="K4" s="531"/>
      <c r="L4" s="532"/>
      <c r="M4" s="530"/>
      <c r="N4" s="531"/>
      <c r="O4" s="532"/>
      <c r="P4" s="530"/>
      <c r="Q4" s="531"/>
      <c r="R4" s="532"/>
      <c r="S4" s="530"/>
      <c r="T4" s="531"/>
      <c r="U4" s="532"/>
      <c r="V4" s="530"/>
      <c r="W4" s="531"/>
      <c r="X4" s="532"/>
      <c r="Y4" s="530"/>
      <c r="Z4" s="531"/>
      <c r="AA4" s="532"/>
      <c r="AB4" s="530"/>
      <c r="AC4" s="531"/>
      <c r="AD4" s="532"/>
      <c r="AE4" s="530"/>
      <c r="AF4" s="531"/>
      <c r="AG4" s="532"/>
      <c r="AH4" s="530"/>
      <c r="AI4" s="531"/>
      <c r="AJ4" s="532"/>
      <c r="AK4" s="530"/>
      <c r="AL4" s="531"/>
      <c r="AM4" s="532"/>
      <c r="AN4" s="530"/>
      <c r="AO4" s="531"/>
      <c r="AP4" s="532"/>
      <c r="AQ4" s="530"/>
      <c r="AR4" s="531"/>
      <c r="AS4" s="532"/>
      <c r="AT4" s="530"/>
      <c r="AU4" s="531"/>
      <c r="AV4" s="532"/>
      <c r="AW4" s="530"/>
      <c r="AX4" s="531"/>
      <c r="AY4" s="532"/>
      <c r="AZ4" s="530"/>
      <c r="BA4" s="531"/>
      <c r="BB4" s="532"/>
      <c r="BC4" s="530"/>
      <c r="BD4" s="531"/>
      <c r="BE4" s="532"/>
      <c r="BF4" s="530"/>
      <c r="BG4" s="531"/>
      <c r="BH4" s="532"/>
      <c r="BI4" s="530"/>
      <c r="BJ4" s="531"/>
      <c r="BK4" s="532"/>
      <c r="BL4" s="530"/>
      <c r="BM4" s="531"/>
      <c r="BN4" s="532"/>
      <c r="BO4" s="530"/>
      <c r="BP4" s="531"/>
      <c r="BQ4" s="532"/>
      <c r="BR4" s="530"/>
      <c r="BS4" s="531"/>
      <c r="BT4" s="532"/>
      <c r="BU4" s="530"/>
      <c r="BV4" s="531"/>
      <c r="BW4" s="532"/>
      <c r="BX4" s="530"/>
      <c r="BY4" s="531"/>
      <c r="BZ4" s="532"/>
      <c r="CA4" s="530"/>
      <c r="CB4" s="531"/>
      <c r="CC4" s="532"/>
      <c r="CD4" s="530"/>
      <c r="CE4" s="531"/>
      <c r="CF4" s="532"/>
      <c r="CG4" s="530"/>
      <c r="CH4" s="531"/>
      <c r="CI4" s="532"/>
      <c r="CJ4" s="530"/>
      <c r="CK4" s="531"/>
      <c r="CL4" s="532"/>
      <c r="CM4" s="530"/>
      <c r="CN4" s="531"/>
      <c r="CO4" s="532"/>
      <c r="CP4" s="530"/>
      <c r="CQ4" s="531"/>
      <c r="CR4" s="532"/>
      <c r="CS4" s="530"/>
      <c r="CT4" s="531"/>
      <c r="CU4" s="532"/>
      <c r="CV4" s="530"/>
      <c r="CW4" s="531"/>
      <c r="CX4" s="532"/>
      <c r="CY4" s="530"/>
      <c r="CZ4" s="531"/>
      <c r="DA4" s="532"/>
      <c r="DB4" s="530"/>
      <c r="DC4" s="531"/>
      <c r="DD4" s="532"/>
      <c r="DE4" s="530"/>
      <c r="DF4" s="531"/>
      <c r="DG4" s="532"/>
      <c r="DH4" s="530"/>
      <c r="DI4" s="531"/>
      <c r="DJ4" s="532"/>
      <c r="DK4" s="530"/>
      <c r="DL4" s="531"/>
      <c r="DM4" s="532"/>
      <c r="DN4" s="530"/>
      <c r="DO4" s="531"/>
      <c r="DP4" s="532"/>
      <c r="DQ4" s="530"/>
      <c r="DR4" s="531"/>
      <c r="DS4" s="532"/>
      <c r="DT4" s="530"/>
      <c r="DU4" s="531"/>
      <c r="DV4" s="532"/>
      <c r="DW4" s="530"/>
      <c r="DX4" s="531"/>
      <c r="DY4" s="532"/>
      <c r="DZ4" s="530"/>
      <c r="EA4" s="531"/>
      <c r="EB4" s="532"/>
      <c r="EC4" s="530"/>
      <c r="ED4" s="531"/>
      <c r="EE4" s="532"/>
      <c r="EF4" s="530"/>
      <c r="EG4" s="531"/>
      <c r="EH4" s="532"/>
      <c r="EI4" s="530"/>
      <c r="EJ4" s="531"/>
      <c r="EK4" s="532"/>
      <c r="EL4" s="530"/>
      <c r="EM4" s="531"/>
      <c r="EN4" s="532"/>
      <c r="EO4" s="530"/>
      <c r="EP4" s="531"/>
      <c r="EQ4" s="532"/>
      <c r="ER4" s="530"/>
      <c r="ES4" s="531"/>
      <c r="ET4" s="532"/>
      <c r="EU4" s="530"/>
      <c r="EV4" s="531"/>
      <c r="EW4" s="532"/>
      <c r="EX4" s="530"/>
      <c r="EY4" s="531"/>
      <c r="EZ4" s="532"/>
      <c r="FA4" s="530"/>
      <c r="FB4" s="531"/>
      <c r="FC4" s="532"/>
      <c r="FD4" s="531"/>
      <c r="FE4" s="531"/>
    </row>
    <row r="5" spans="1:161" ht="12.75">
      <c r="A5" s="531"/>
      <c r="B5" s="531"/>
      <c r="C5" s="531"/>
      <c r="D5" s="532"/>
      <c r="E5" s="603"/>
      <c r="F5" s="531"/>
      <c r="G5" s="531"/>
      <c r="H5" s="532"/>
      <c r="I5" s="532"/>
      <c r="J5" s="30" t="s">
        <v>99</v>
      </c>
      <c r="K5" s="31" t="s">
        <v>100</v>
      </c>
      <c r="L5" s="32" t="s">
        <v>102</v>
      </c>
      <c r="M5" s="30" t="s">
        <v>99</v>
      </c>
      <c r="N5" s="31" t="s">
        <v>100</v>
      </c>
      <c r="O5" s="32" t="s">
        <v>102</v>
      </c>
      <c r="P5" s="30" t="s">
        <v>99</v>
      </c>
      <c r="Q5" s="31" t="s">
        <v>100</v>
      </c>
      <c r="R5" s="32" t="s">
        <v>102</v>
      </c>
      <c r="S5" s="30" t="s">
        <v>99</v>
      </c>
      <c r="T5" s="31" t="s">
        <v>100</v>
      </c>
      <c r="U5" s="32" t="s">
        <v>102</v>
      </c>
      <c r="V5" s="30" t="s">
        <v>99</v>
      </c>
      <c r="W5" s="31" t="s">
        <v>100</v>
      </c>
      <c r="X5" s="32" t="s">
        <v>102</v>
      </c>
      <c r="Y5" s="30" t="s">
        <v>99</v>
      </c>
      <c r="Z5" s="31" t="s">
        <v>100</v>
      </c>
      <c r="AA5" s="32" t="s">
        <v>102</v>
      </c>
      <c r="AB5" s="30" t="s">
        <v>99</v>
      </c>
      <c r="AC5" s="31" t="s">
        <v>100</v>
      </c>
      <c r="AD5" s="32" t="s">
        <v>102</v>
      </c>
      <c r="AE5" s="30" t="s">
        <v>99</v>
      </c>
      <c r="AF5" s="31" t="s">
        <v>100</v>
      </c>
      <c r="AG5" s="32" t="s">
        <v>102</v>
      </c>
      <c r="AH5" s="30" t="s">
        <v>99</v>
      </c>
      <c r="AI5" s="31" t="s">
        <v>100</v>
      </c>
      <c r="AJ5" s="32" t="s">
        <v>102</v>
      </c>
      <c r="AK5" s="30" t="s">
        <v>99</v>
      </c>
      <c r="AL5" s="31" t="s">
        <v>100</v>
      </c>
      <c r="AM5" s="32" t="s">
        <v>102</v>
      </c>
      <c r="AN5" s="30" t="s">
        <v>99</v>
      </c>
      <c r="AO5" s="31" t="s">
        <v>100</v>
      </c>
      <c r="AP5" s="32" t="s">
        <v>102</v>
      </c>
      <c r="AQ5" s="30" t="s">
        <v>99</v>
      </c>
      <c r="AR5" s="31" t="s">
        <v>100</v>
      </c>
      <c r="AS5" s="32" t="s">
        <v>102</v>
      </c>
      <c r="AT5" s="30" t="s">
        <v>99</v>
      </c>
      <c r="AU5" s="31" t="s">
        <v>100</v>
      </c>
      <c r="AV5" s="32" t="s">
        <v>102</v>
      </c>
      <c r="AW5" s="30" t="s">
        <v>99</v>
      </c>
      <c r="AX5" s="31" t="s">
        <v>100</v>
      </c>
      <c r="AY5" s="32" t="s">
        <v>102</v>
      </c>
      <c r="AZ5" s="30" t="s">
        <v>99</v>
      </c>
      <c r="BA5" s="31" t="s">
        <v>100</v>
      </c>
      <c r="BB5" s="32" t="s">
        <v>102</v>
      </c>
      <c r="BC5" s="30" t="s">
        <v>99</v>
      </c>
      <c r="BD5" s="31" t="s">
        <v>100</v>
      </c>
      <c r="BE5" s="32" t="s">
        <v>102</v>
      </c>
      <c r="BF5" s="30" t="s">
        <v>99</v>
      </c>
      <c r="BG5" s="31" t="s">
        <v>100</v>
      </c>
      <c r="BH5" s="32" t="s">
        <v>102</v>
      </c>
      <c r="BI5" s="30" t="s">
        <v>99</v>
      </c>
      <c r="BJ5" s="31" t="s">
        <v>100</v>
      </c>
      <c r="BK5" s="32" t="s">
        <v>102</v>
      </c>
      <c r="BL5" s="30" t="s">
        <v>99</v>
      </c>
      <c r="BM5" s="31" t="s">
        <v>100</v>
      </c>
      <c r="BN5" s="32" t="s">
        <v>102</v>
      </c>
      <c r="BO5" s="30" t="s">
        <v>99</v>
      </c>
      <c r="BP5" s="31" t="s">
        <v>100</v>
      </c>
      <c r="BQ5" s="32" t="s">
        <v>102</v>
      </c>
      <c r="BR5" s="30" t="s">
        <v>99</v>
      </c>
      <c r="BS5" s="31" t="s">
        <v>100</v>
      </c>
      <c r="BT5" s="32" t="s">
        <v>102</v>
      </c>
      <c r="BU5" s="30" t="s">
        <v>99</v>
      </c>
      <c r="BV5" s="31" t="s">
        <v>100</v>
      </c>
      <c r="BW5" s="32" t="s">
        <v>102</v>
      </c>
      <c r="BX5" s="30" t="s">
        <v>99</v>
      </c>
      <c r="BY5" s="31" t="s">
        <v>100</v>
      </c>
      <c r="BZ5" s="32" t="s">
        <v>102</v>
      </c>
      <c r="CA5" s="30" t="s">
        <v>99</v>
      </c>
      <c r="CB5" s="31" t="s">
        <v>100</v>
      </c>
      <c r="CC5" s="32" t="s">
        <v>102</v>
      </c>
      <c r="CD5" s="30" t="s">
        <v>99</v>
      </c>
      <c r="CE5" s="31" t="s">
        <v>100</v>
      </c>
      <c r="CF5" s="32" t="s">
        <v>102</v>
      </c>
      <c r="CG5" s="30" t="s">
        <v>99</v>
      </c>
      <c r="CH5" s="31" t="s">
        <v>100</v>
      </c>
      <c r="CI5" s="32" t="s">
        <v>102</v>
      </c>
      <c r="CJ5" s="30" t="s">
        <v>99</v>
      </c>
      <c r="CK5" s="31" t="s">
        <v>100</v>
      </c>
      <c r="CL5" s="32" t="s">
        <v>102</v>
      </c>
      <c r="CM5" s="30" t="s">
        <v>99</v>
      </c>
      <c r="CN5" s="31" t="s">
        <v>100</v>
      </c>
      <c r="CO5" s="32" t="s">
        <v>102</v>
      </c>
      <c r="CP5" s="30" t="s">
        <v>99</v>
      </c>
      <c r="CQ5" s="31" t="s">
        <v>100</v>
      </c>
      <c r="CR5" s="32" t="s">
        <v>102</v>
      </c>
      <c r="CS5" s="30" t="s">
        <v>99</v>
      </c>
      <c r="CT5" s="31" t="s">
        <v>100</v>
      </c>
      <c r="CU5" s="32" t="s">
        <v>102</v>
      </c>
      <c r="CV5" s="30" t="s">
        <v>99</v>
      </c>
      <c r="CW5" s="31" t="s">
        <v>100</v>
      </c>
      <c r="CX5" s="32" t="s">
        <v>102</v>
      </c>
      <c r="CY5" s="30" t="s">
        <v>99</v>
      </c>
      <c r="CZ5" s="31" t="s">
        <v>100</v>
      </c>
      <c r="DA5" s="32" t="s">
        <v>102</v>
      </c>
      <c r="DB5" s="30" t="s">
        <v>99</v>
      </c>
      <c r="DC5" s="31" t="s">
        <v>100</v>
      </c>
      <c r="DD5" s="32" t="s">
        <v>102</v>
      </c>
      <c r="DE5" s="30" t="s">
        <v>99</v>
      </c>
      <c r="DF5" s="31" t="s">
        <v>100</v>
      </c>
      <c r="DG5" s="32" t="s">
        <v>102</v>
      </c>
      <c r="DH5" s="30" t="s">
        <v>99</v>
      </c>
      <c r="DI5" s="31" t="s">
        <v>100</v>
      </c>
      <c r="DJ5" s="32" t="s">
        <v>102</v>
      </c>
      <c r="DK5" s="30" t="s">
        <v>99</v>
      </c>
      <c r="DL5" s="31" t="s">
        <v>100</v>
      </c>
      <c r="DM5" s="32" t="s">
        <v>102</v>
      </c>
      <c r="DN5" s="30" t="s">
        <v>99</v>
      </c>
      <c r="DO5" s="31" t="s">
        <v>100</v>
      </c>
      <c r="DP5" s="32" t="s">
        <v>102</v>
      </c>
      <c r="DQ5" s="30" t="s">
        <v>99</v>
      </c>
      <c r="DR5" s="31" t="s">
        <v>100</v>
      </c>
      <c r="DS5" s="32" t="s">
        <v>102</v>
      </c>
      <c r="DT5" s="30" t="s">
        <v>99</v>
      </c>
      <c r="DU5" s="31" t="s">
        <v>100</v>
      </c>
      <c r="DV5" s="32" t="s">
        <v>102</v>
      </c>
      <c r="DW5" s="30" t="s">
        <v>99</v>
      </c>
      <c r="DX5" s="31" t="s">
        <v>100</v>
      </c>
      <c r="DY5" s="32" t="s">
        <v>102</v>
      </c>
      <c r="DZ5" s="30" t="s">
        <v>99</v>
      </c>
      <c r="EA5" s="31" t="s">
        <v>100</v>
      </c>
      <c r="EB5" s="32" t="s">
        <v>102</v>
      </c>
      <c r="EC5" s="30" t="s">
        <v>99</v>
      </c>
      <c r="ED5" s="31" t="s">
        <v>100</v>
      </c>
      <c r="EE5" s="32" t="s">
        <v>102</v>
      </c>
      <c r="EF5" s="30" t="s">
        <v>99</v>
      </c>
      <c r="EG5" s="31" t="s">
        <v>100</v>
      </c>
      <c r="EH5" s="32" t="s">
        <v>102</v>
      </c>
      <c r="EI5" s="30" t="s">
        <v>99</v>
      </c>
      <c r="EJ5" s="31" t="s">
        <v>100</v>
      </c>
      <c r="EK5" s="32" t="s">
        <v>102</v>
      </c>
      <c r="EL5" s="30" t="s">
        <v>99</v>
      </c>
      <c r="EM5" s="31" t="s">
        <v>100</v>
      </c>
      <c r="EN5" s="32" t="s">
        <v>102</v>
      </c>
      <c r="EO5" s="30" t="s">
        <v>99</v>
      </c>
      <c r="EP5" s="31" t="s">
        <v>100</v>
      </c>
      <c r="EQ5" s="32" t="s">
        <v>102</v>
      </c>
      <c r="ER5" s="30" t="s">
        <v>99</v>
      </c>
      <c r="ES5" s="31" t="s">
        <v>100</v>
      </c>
      <c r="ET5" s="32" t="s">
        <v>102</v>
      </c>
      <c r="EU5" s="30" t="s">
        <v>99</v>
      </c>
      <c r="EV5" s="31" t="s">
        <v>100</v>
      </c>
      <c r="EW5" s="32" t="s">
        <v>102</v>
      </c>
      <c r="EX5" s="30" t="s">
        <v>99</v>
      </c>
      <c r="EY5" s="31" t="s">
        <v>100</v>
      </c>
      <c r="EZ5" s="32" t="s">
        <v>102</v>
      </c>
      <c r="FA5" s="30" t="s">
        <v>99</v>
      </c>
      <c r="FB5" s="31" t="s">
        <v>100</v>
      </c>
      <c r="FC5" s="32" t="s">
        <v>102</v>
      </c>
      <c r="FD5" s="531"/>
      <c r="FE5" s="531"/>
    </row>
    <row r="6" spans="1:161" ht="12.75">
      <c r="A6" s="40">
        <v>43815</v>
      </c>
      <c r="B6" s="44">
        <f t="shared" ref="B6:D6" si="0">SUM(P6,S6,V6,Y6,AK6,AN6,AQ6,AT6,AW6,AZ6,BF6,BR6,BU6,BX6,CM6,CP6,CS6,DH6,DB6,DK6,DW6,DZ6,EC6,EF6,ER6,EU6,)</f>
        <v>0</v>
      </c>
      <c r="C6" s="44">
        <f t="shared" si="0"/>
        <v>0</v>
      </c>
      <c r="D6" s="44">
        <f t="shared" si="0"/>
        <v>0</v>
      </c>
      <c r="E6" s="45">
        <f t="shared" ref="E6:E110" si="1">B6-C6-D6</f>
        <v>0</v>
      </c>
      <c r="F6" s="47">
        <f t="shared" ref="F6:H6" si="2">SUM(P6,S6,V6,AE6,AH6,AK6,AN6,AQ6,AT6,AW6,AZ6,BF6,BL6,BR6,BX6,CG6,CM6,CP6,CV6,DK6,DN6,DQ6,DT6,DZ6,EL6,EO6,ER6)</f>
        <v>0</v>
      </c>
      <c r="G6" s="41">
        <f t="shared" si="2"/>
        <v>0</v>
      </c>
      <c r="H6" s="41">
        <f t="shared" si="2"/>
        <v>0</v>
      </c>
      <c r="I6" s="51">
        <f t="shared" ref="I6:I110" si="3">F6-G6-H6</f>
        <v>0</v>
      </c>
      <c r="J6" s="15">
        <v>0</v>
      </c>
      <c r="K6" s="15">
        <v>0</v>
      </c>
      <c r="L6" s="17">
        <v>0</v>
      </c>
      <c r="M6" s="15">
        <v>0</v>
      </c>
      <c r="N6" s="15">
        <v>0</v>
      </c>
      <c r="O6" s="17">
        <v>0</v>
      </c>
      <c r="P6" s="15">
        <v>0</v>
      </c>
      <c r="Q6" s="15">
        <v>0</v>
      </c>
      <c r="R6" s="17">
        <v>0</v>
      </c>
      <c r="S6" s="15">
        <v>0</v>
      </c>
      <c r="T6" s="15">
        <v>0</v>
      </c>
      <c r="U6" s="17">
        <v>0</v>
      </c>
      <c r="V6" s="15">
        <v>0</v>
      </c>
      <c r="W6" s="15">
        <v>0</v>
      </c>
      <c r="X6" s="17">
        <v>0</v>
      </c>
      <c r="Y6" s="15">
        <v>0</v>
      </c>
      <c r="Z6" s="15">
        <v>0</v>
      </c>
      <c r="AA6" s="17">
        <v>0</v>
      </c>
      <c r="AB6" s="15">
        <v>0</v>
      </c>
      <c r="AC6" s="15">
        <v>0</v>
      </c>
      <c r="AD6" s="17">
        <v>0</v>
      </c>
      <c r="AE6" s="15">
        <v>0</v>
      </c>
      <c r="AF6" s="15">
        <v>0</v>
      </c>
      <c r="AG6" s="17">
        <v>0</v>
      </c>
      <c r="AH6" s="15">
        <v>0</v>
      </c>
      <c r="AI6" s="15">
        <v>0</v>
      </c>
      <c r="AJ6" s="17">
        <v>0</v>
      </c>
      <c r="AK6" s="15">
        <v>0</v>
      </c>
      <c r="AL6" s="15">
        <v>0</v>
      </c>
      <c r="AM6" s="17">
        <v>0</v>
      </c>
      <c r="AN6" s="15">
        <v>0</v>
      </c>
      <c r="AO6" s="15">
        <v>0</v>
      </c>
      <c r="AP6" s="17">
        <v>0</v>
      </c>
      <c r="AQ6" s="15">
        <v>0</v>
      </c>
      <c r="AR6" s="15">
        <v>0</v>
      </c>
      <c r="AS6" s="17">
        <v>0</v>
      </c>
      <c r="AT6" s="15">
        <v>0</v>
      </c>
      <c r="AU6" s="15">
        <v>0</v>
      </c>
      <c r="AV6" s="17">
        <v>0</v>
      </c>
      <c r="AW6" s="15">
        <v>0</v>
      </c>
      <c r="AX6" s="15">
        <v>0</v>
      </c>
      <c r="AY6" s="17">
        <v>0</v>
      </c>
      <c r="AZ6" s="15">
        <v>0</v>
      </c>
      <c r="BA6" s="15">
        <v>0</v>
      </c>
      <c r="BB6" s="17">
        <v>0</v>
      </c>
      <c r="BC6" s="15">
        <v>0</v>
      </c>
      <c r="BD6" s="15">
        <v>0</v>
      </c>
      <c r="BE6" s="17">
        <v>0</v>
      </c>
      <c r="BF6" s="15">
        <v>0</v>
      </c>
      <c r="BG6" s="15">
        <v>0</v>
      </c>
      <c r="BH6" s="17">
        <v>0</v>
      </c>
      <c r="BI6" s="15">
        <v>0</v>
      </c>
      <c r="BJ6" s="15">
        <v>0</v>
      </c>
      <c r="BK6" s="17">
        <v>0</v>
      </c>
      <c r="BL6" s="15">
        <v>0</v>
      </c>
      <c r="BM6" s="15">
        <v>0</v>
      </c>
      <c r="BN6" s="17">
        <v>0</v>
      </c>
      <c r="BO6" s="15">
        <v>0</v>
      </c>
      <c r="BP6" s="15">
        <v>0</v>
      </c>
      <c r="BQ6" s="17">
        <v>0</v>
      </c>
      <c r="BR6" s="15">
        <v>0</v>
      </c>
      <c r="BS6" s="15">
        <v>0</v>
      </c>
      <c r="BT6" s="17">
        <v>0</v>
      </c>
      <c r="BU6" s="15">
        <v>0</v>
      </c>
      <c r="BV6" s="15">
        <v>0</v>
      </c>
      <c r="BW6" s="17">
        <v>0</v>
      </c>
      <c r="BX6" s="15">
        <v>0</v>
      </c>
      <c r="BY6" s="53">
        <v>0</v>
      </c>
      <c r="BZ6" s="17">
        <v>0</v>
      </c>
      <c r="CA6" s="15">
        <v>0</v>
      </c>
      <c r="CB6" s="15">
        <v>0</v>
      </c>
      <c r="CC6" s="17">
        <v>0</v>
      </c>
      <c r="CD6" s="15">
        <v>0</v>
      </c>
      <c r="CE6" s="15">
        <v>0</v>
      </c>
      <c r="CF6" s="17">
        <v>0</v>
      </c>
      <c r="CG6" s="15">
        <v>0</v>
      </c>
      <c r="CH6" s="15">
        <v>0</v>
      </c>
      <c r="CI6" s="17">
        <v>0</v>
      </c>
      <c r="CJ6" s="15">
        <v>0</v>
      </c>
      <c r="CK6" s="15">
        <v>0</v>
      </c>
      <c r="CL6" s="17">
        <v>0</v>
      </c>
      <c r="CM6" s="15">
        <v>0</v>
      </c>
      <c r="CN6" s="15">
        <v>0</v>
      </c>
      <c r="CO6" s="17">
        <v>0</v>
      </c>
      <c r="CP6" s="15">
        <v>0</v>
      </c>
      <c r="CQ6" s="15">
        <v>0</v>
      </c>
      <c r="CR6" s="17">
        <v>0</v>
      </c>
      <c r="CS6" s="15">
        <v>0</v>
      </c>
      <c r="CT6" s="15">
        <v>0</v>
      </c>
      <c r="CU6" s="17">
        <v>0</v>
      </c>
      <c r="CV6" s="15">
        <v>0</v>
      </c>
      <c r="CW6" s="15">
        <v>0</v>
      </c>
      <c r="CX6" s="17">
        <v>0</v>
      </c>
      <c r="CY6" s="15">
        <v>0</v>
      </c>
      <c r="CZ6" s="15">
        <v>0</v>
      </c>
      <c r="DA6" s="17">
        <v>0</v>
      </c>
      <c r="DB6" s="15">
        <v>0</v>
      </c>
      <c r="DC6" s="15">
        <v>0</v>
      </c>
      <c r="DD6" s="17">
        <v>0</v>
      </c>
      <c r="DE6" s="15">
        <v>0</v>
      </c>
      <c r="DF6" s="15">
        <v>0</v>
      </c>
      <c r="DG6" s="17">
        <v>0</v>
      </c>
      <c r="DH6" s="15">
        <v>0</v>
      </c>
      <c r="DI6" s="15">
        <v>0</v>
      </c>
      <c r="DJ6" s="17">
        <v>0</v>
      </c>
      <c r="DK6" s="15">
        <v>0</v>
      </c>
      <c r="DL6" s="15">
        <v>0</v>
      </c>
      <c r="DM6" s="17">
        <v>0</v>
      </c>
      <c r="DN6" s="15">
        <v>0</v>
      </c>
      <c r="DO6" s="15">
        <v>0</v>
      </c>
      <c r="DP6" s="17">
        <v>0</v>
      </c>
      <c r="DQ6" s="15">
        <v>0</v>
      </c>
      <c r="DR6" s="15">
        <v>0</v>
      </c>
      <c r="DS6" s="17">
        <v>0</v>
      </c>
      <c r="DT6" s="15">
        <v>0</v>
      </c>
      <c r="DU6" s="15">
        <v>0</v>
      </c>
      <c r="DV6" s="17">
        <v>0</v>
      </c>
      <c r="DW6" s="15">
        <v>0</v>
      </c>
      <c r="DX6" s="15">
        <v>0</v>
      </c>
      <c r="DY6" s="17">
        <v>0</v>
      </c>
      <c r="DZ6" s="15">
        <v>0</v>
      </c>
      <c r="EA6" s="15">
        <v>0</v>
      </c>
      <c r="EB6" s="17">
        <v>0</v>
      </c>
      <c r="EC6" s="15">
        <v>0</v>
      </c>
      <c r="ED6" s="15">
        <v>0</v>
      </c>
      <c r="EE6" s="17">
        <v>0</v>
      </c>
      <c r="EF6" s="15">
        <v>0</v>
      </c>
      <c r="EG6" s="15">
        <v>0</v>
      </c>
      <c r="EH6" s="17">
        <v>0</v>
      </c>
      <c r="EI6" s="15">
        <v>0</v>
      </c>
      <c r="EJ6" s="15">
        <v>0</v>
      </c>
      <c r="EK6" s="17">
        <v>0</v>
      </c>
      <c r="EL6" s="15">
        <v>0</v>
      </c>
      <c r="EM6" s="15">
        <v>0</v>
      </c>
      <c r="EN6" s="17">
        <v>0</v>
      </c>
      <c r="EO6" s="15">
        <v>0</v>
      </c>
      <c r="EP6" s="15">
        <v>0</v>
      </c>
      <c r="EQ6" s="17">
        <v>0</v>
      </c>
      <c r="ER6" s="15">
        <v>0</v>
      </c>
      <c r="ES6" s="15">
        <v>0</v>
      </c>
      <c r="ET6" s="17">
        <v>0</v>
      </c>
      <c r="EU6" s="15">
        <v>0</v>
      </c>
      <c r="EV6" s="15">
        <v>0</v>
      </c>
      <c r="EW6" s="17">
        <v>0</v>
      </c>
      <c r="EX6" s="15">
        <v>0</v>
      </c>
      <c r="EY6" s="15">
        <v>0</v>
      </c>
      <c r="EZ6" s="17">
        <v>0</v>
      </c>
      <c r="FA6" s="15">
        <v>0</v>
      </c>
      <c r="FB6" s="15">
        <v>0</v>
      </c>
      <c r="FC6" s="17">
        <v>0</v>
      </c>
      <c r="FD6" s="55"/>
      <c r="FE6" s="56"/>
    </row>
    <row r="7" spans="1:161" ht="12.75">
      <c r="A7" s="43">
        <v>43830</v>
      </c>
      <c r="B7" s="58">
        <f t="shared" ref="B7:D7" si="4">SUM(P7,S7,V7,Y7,AK7,AN7,AQ7,AT7,AW7,AZ7,BF7,BR7,BU7,BX7,CM7,CP7,CS7,DH7,DB7,DK7,DW7,DZ7,EC7,EF7,ER7,EU7,)</f>
        <v>0</v>
      </c>
      <c r="C7" s="58">
        <f t="shared" si="4"/>
        <v>0</v>
      </c>
      <c r="D7" s="58">
        <f t="shared" si="4"/>
        <v>0</v>
      </c>
      <c r="E7" s="59">
        <f t="shared" si="1"/>
        <v>0</v>
      </c>
      <c r="F7" s="60">
        <f t="shared" ref="F7:H7" si="5">SUM(P7,S7,V7,AE7,AH7,AK7,AN7,AQ7,AT7,AW7,AZ7,BF7,BL7,BR7,BX7,CG7,CM7,CP7,CV7,DK7,DN7,DQ7,DT7,DZ7,EL7,EO7,ER7)</f>
        <v>0</v>
      </c>
      <c r="G7" s="61">
        <f t="shared" si="5"/>
        <v>0</v>
      </c>
      <c r="H7" s="61">
        <f t="shared" si="5"/>
        <v>0</v>
      </c>
      <c r="I7" s="62">
        <f t="shared" si="3"/>
        <v>0</v>
      </c>
      <c r="J7" s="22">
        <v>0</v>
      </c>
      <c r="K7" s="22">
        <v>0</v>
      </c>
      <c r="L7" s="24">
        <v>0</v>
      </c>
      <c r="M7" s="22">
        <v>0</v>
      </c>
      <c r="N7" s="22">
        <v>0</v>
      </c>
      <c r="O7" s="24">
        <v>0</v>
      </c>
      <c r="P7" s="22">
        <v>0</v>
      </c>
      <c r="Q7" s="22">
        <v>0</v>
      </c>
      <c r="R7" s="24">
        <v>0</v>
      </c>
      <c r="S7" s="22">
        <v>0</v>
      </c>
      <c r="T7" s="22">
        <v>0</v>
      </c>
      <c r="U7" s="24">
        <v>0</v>
      </c>
      <c r="V7" s="22">
        <v>0</v>
      </c>
      <c r="W7" s="22">
        <v>0</v>
      </c>
      <c r="X7" s="24">
        <v>0</v>
      </c>
      <c r="Y7" s="22">
        <v>0</v>
      </c>
      <c r="Z7" s="22">
        <v>0</v>
      </c>
      <c r="AA7" s="24">
        <v>0</v>
      </c>
      <c r="AB7" s="22">
        <v>0</v>
      </c>
      <c r="AC7" s="22">
        <v>0</v>
      </c>
      <c r="AD7" s="24">
        <v>0</v>
      </c>
      <c r="AE7" s="22">
        <v>0</v>
      </c>
      <c r="AF7" s="22">
        <v>0</v>
      </c>
      <c r="AG7" s="24">
        <v>0</v>
      </c>
      <c r="AH7" s="22">
        <v>0</v>
      </c>
      <c r="AI7" s="22">
        <v>0</v>
      </c>
      <c r="AJ7" s="24">
        <v>0</v>
      </c>
      <c r="AK7" s="22">
        <v>0</v>
      </c>
      <c r="AL7" s="22">
        <v>0</v>
      </c>
      <c r="AM7" s="24">
        <v>0</v>
      </c>
      <c r="AN7" s="22">
        <v>0</v>
      </c>
      <c r="AO7" s="22">
        <v>0</v>
      </c>
      <c r="AP7" s="24">
        <v>0</v>
      </c>
      <c r="AQ7" s="22">
        <v>0</v>
      </c>
      <c r="AR7" s="22">
        <v>0</v>
      </c>
      <c r="AS7" s="24">
        <v>0</v>
      </c>
      <c r="AT7" s="22">
        <v>0</v>
      </c>
      <c r="AU7" s="22">
        <v>0</v>
      </c>
      <c r="AV7" s="24">
        <v>0</v>
      </c>
      <c r="AW7" s="22">
        <v>0</v>
      </c>
      <c r="AX7" s="22">
        <v>0</v>
      </c>
      <c r="AY7" s="24">
        <v>0</v>
      </c>
      <c r="AZ7" s="22">
        <v>0</v>
      </c>
      <c r="BA7" s="22">
        <v>0</v>
      </c>
      <c r="BB7" s="24">
        <v>0</v>
      </c>
      <c r="BC7" s="22">
        <v>0</v>
      </c>
      <c r="BD7" s="22">
        <v>0</v>
      </c>
      <c r="BE7" s="24">
        <v>0</v>
      </c>
      <c r="BF7" s="22">
        <v>0</v>
      </c>
      <c r="BG7" s="22">
        <v>0</v>
      </c>
      <c r="BH7" s="24">
        <v>0</v>
      </c>
      <c r="BI7" s="22">
        <v>0</v>
      </c>
      <c r="BJ7" s="22">
        <v>0</v>
      </c>
      <c r="BK7" s="24">
        <v>0</v>
      </c>
      <c r="BL7" s="22">
        <v>0</v>
      </c>
      <c r="BM7" s="22">
        <v>0</v>
      </c>
      <c r="BN7" s="24">
        <v>0</v>
      </c>
      <c r="BO7" s="22">
        <v>0</v>
      </c>
      <c r="BP7" s="22">
        <v>0</v>
      </c>
      <c r="BQ7" s="24">
        <v>0</v>
      </c>
      <c r="BR7" s="22">
        <v>0</v>
      </c>
      <c r="BS7" s="22">
        <v>0</v>
      </c>
      <c r="BT7" s="24">
        <v>0</v>
      </c>
      <c r="BU7" s="22">
        <v>0</v>
      </c>
      <c r="BV7" s="22">
        <v>0</v>
      </c>
      <c r="BW7" s="24">
        <v>0</v>
      </c>
      <c r="BX7" s="22">
        <v>0</v>
      </c>
      <c r="BY7" s="65">
        <v>0</v>
      </c>
      <c r="BZ7" s="24">
        <v>0</v>
      </c>
      <c r="CA7" s="22">
        <v>0</v>
      </c>
      <c r="CB7" s="22">
        <v>0</v>
      </c>
      <c r="CC7" s="24">
        <v>0</v>
      </c>
      <c r="CD7" s="22">
        <v>0</v>
      </c>
      <c r="CE7" s="22">
        <v>0</v>
      </c>
      <c r="CF7" s="24">
        <v>0</v>
      </c>
      <c r="CG7" s="22">
        <v>0</v>
      </c>
      <c r="CH7" s="22">
        <v>0</v>
      </c>
      <c r="CI7" s="24">
        <v>0</v>
      </c>
      <c r="CJ7" s="22">
        <v>0</v>
      </c>
      <c r="CK7" s="22">
        <v>0</v>
      </c>
      <c r="CL7" s="24">
        <v>0</v>
      </c>
      <c r="CM7" s="22">
        <v>0</v>
      </c>
      <c r="CN7" s="22">
        <v>0</v>
      </c>
      <c r="CO7" s="24">
        <v>0</v>
      </c>
      <c r="CP7" s="22">
        <v>0</v>
      </c>
      <c r="CQ7" s="22">
        <v>0</v>
      </c>
      <c r="CR7" s="24">
        <v>0</v>
      </c>
      <c r="CS7" s="22">
        <v>0</v>
      </c>
      <c r="CT7" s="22">
        <v>0</v>
      </c>
      <c r="CU7" s="24">
        <v>0</v>
      </c>
      <c r="CV7" s="22">
        <v>0</v>
      </c>
      <c r="CW7" s="22">
        <v>0</v>
      </c>
      <c r="CX7" s="24">
        <v>0</v>
      </c>
      <c r="CY7" s="22">
        <v>0</v>
      </c>
      <c r="CZ7" s="22">
        <v>0</v>
      </c>
      <c r="DA7" s="24">
        <v>0</v>
      </c>
      <c r="DB7" s="22">
        <v>0</v>
      </c>
      <c r="DC7" s="22">
        <v>0</v>
      </c>
      <c r="DD7" s="24">
        <v>0</v>
      </c>
      <c r="DE7" s="22">
        <v>0</v>
      </c>
      <c r="DF7" s="22">
        <v>0</v>
      </c>
      <c r="DG7" s="24">
        <v>0</v>
      </c>
      <c r="DH7" s="22">
        <v>0</v>
      </c>
      <c r="DI7" s="22">
        <v>0</v>
      </c>
      <c r="DJ7" s="24">
        <v>0</v>
      </c>
      <c r="DK7" s="22">
        <v>0</v>
      </c>
      <c r="DL7" s="22">
        <v>0</v>
      </c>
      <c r="DM7" s="24">
        <v>0</v>
      </c>
      <c r="DN7" s="22">
        <v>0</v>
      </c>
      <c r="DO7" s="22">
        <v>0</v>
      </c>
      <c r="DP7" s="24">
        <v>0</v>
      </c>
      <c r="DQ7" s="22">
        <v>0</v>
      </c>
      <c r="DR7" s="22">
        <v>0</v>
      </c>
      <c r="DS7" s="24">
        <v>0</v>
      </c>
      <c r="DT7" s="22">
        <v>0</v>
      </c>
      <c r="DU7" s="22">
        <v>0</v>
      </c>
      <c r="DV7" s="24">
        <v>0</v>
      </c>
      <c r="DW7" s="22">
        <v>0</v>
      </c>
      <c r="DX7" s="22">
        <v>0</v>
      </c>
      <c r="DY7" s="24">
        <v>0</v>
      </c>
      <c r="DZ7" s="22">
        <v>0</v>
      </c>
      <c r="EA7" s="22">
        <v>0</v>
      </c>
      <c r="EB7" s="24">
        <v>0</v>
      </c>
      <c r="EC7" s="22">
        <v>0</v>
      </c>
      <c r="ED7" s="22">
        <v>0</v>
      </c>
      <c r="EE7" s="24">
        <v>0</v>
      </c>
      <c r="EF7" s="22">
        <v>0</v>
      </c>
      <c r="EG7" s="22">
        <v>0</v>
      </c>
      <c r="EH7" s="24">
        <v>0</v>
      </c>
      <c r="EI7" s="22">
        <v>0</v>
      </c>
      <c r="EJ7" s="22">
        <v>0</v>
      </c>
      <c r="EK7" s="24">
        <v>0</v>
      </c>
      <c r="EL7" s="22">
        <v>0</v>
      </c>
      <c r="EM7" s="22">
        <v>0</v>
      </c>
      <c r="EN7" s="24">
        <v>0</v>
      </c>
      <c r="EO7" s="22">
        <v>0</v>
      </c>
      <c r="EP7" s="22">
        <v>0</v>
      </c>
      <c r="EQ7" s="24">
        <v>0</v>
      </c>
      <c r="ER7" s="22">
        <v>0</v>
      </c>
      <c r="ES7" s="22">
        <v>0</v>
      </c>
      <c r="ET7" s="24">
        <v>0</v>
      </c>
      <c r="EU7" s="22">
        <v>0</v>
      </c>
      <c r="EV7" s="22">
        <v>0</v>
      </c>
      <c r="EW7" s="24">
        <v>0</v>
      </c>
      <c r="EX7" s="22">
        <v>0</v>
      </c>
      <c r="EY7" s="22">
        <v>0</v>
      </c>
      <c r="EZ7" s="24">
        <v>0</v>
      </c>
      <c r="FA7" s="22">
        <v>0</v>
      </c>
      <c r="FB7" s="22">
        <v>0</v>
      </c>
      <c r="FC7" s="24">
        <v>0</v>
      </c>
      <c r="FD7" s="66"/>
      <c r="FE7" s="67"/>
    </row>
    <row r="8" spans="1:161" ht="12.75">
      <c r="A8" s="49">
        <v>43839</v>
      </c>
      <c r="B8" s="68">
        <f t="shared" ref="B8:D8" si="6">SUM(P8,S8,V8,Y8,AK8,AN8,AQ8,AT8,AW8,AZ8,BF8,BR8,BU8,BX8,CM8,CP8,CS8,DH8,DB8,DK8,DW8,DZ8,EC8,EF8,ER8,EU8,)</f>
        <v>0</v>
      </c>
      <c r="C8" s="68">
        <f t="shared" si="6"/>
        <v>0</v>
      </c>
      <c r="D8" s="68">
        <f t="shared" si="6"/>
        <v>0</v>
      </c>
      <c r="E8" s="69">
        <f t="shared" si="1"/>
        <v>0</v>
      </c>
      <c r="F8" s="47">
        <f t="shared" ref="F8:H8" si="7">SUM(P8,S8,V8,AE8,AH8,AK8,AN8,AQ8,AT8,AW8,AZ8,BF8,BL8,BR8,BX8,CG8,CM8,CP8,CV8,DK8,DN8,DQ8,DT8,DZ8,EL8,EO8,ER8)</f>
        <v>0</v>
      </c>
      <c r="G8" s="41">
        <f t="shared" si="7"/>
        <v>0</v>
      </c>
      <c r="H8" s="41">
        <f t="shared" si="7"/>
        <v>0</v>
      </c>
      <c r="I8" s="51">
        <f t="shared" si="3"/>
        <v>0</v>
      </c>
      <c r="J8" s="50">
        <v>0</v>
      </c>
      <c r="K8" s="50">
        <v>0</v>
      </c>
      <c r="L8" s="52">
        <v>0</v>
      </c>
      <c r="M8" s="50">
        <v>0</v>
      </c>
      <c r="N8" s="50">
        <v>0</v>
      </c>
      <c r="O8" s="52">
        <v>0</v>
      </c>
      <c r="P8" s="50">
        <v>0</v>
      </c>
      <c r="Q8" s="50">
        <v>0</v>
      </c>
      <c r="R8" s="52">
        <v>0</v>
      </c>
      <c r="S8" s="50">
        <v>0</v>
      </c>
      <c r="T8" s="50">
        <v>0</v>
      </c>
      <c r="U8" s="52">
        <v>0</v>
      </c>
      <c r="V8" s="50">
        <v>0</v>
      </c>
      <c r="W8" s="50">
        <v>0</v>
      </c>
      <c r="X8" s="52">
        <v>0</v>
      </c>
      <c r="Y8" s="50">
        <v>0</v>
      </c>
      <c r="Z8" s="50">
        <v>0</v>
      </c>
      <c r="AA8" s="52">
        <v>0</v>
      </c>
      <c r="AB8" s="50">
        <v>0</v>
      </c>
      <c r="AC8" s="50">
        <v>0</v>
      </c>
      <c r="AD8" s="52">
        <v>0</v>
      </c>
      <c r="AE8" s="50">
        <v>0</v>
      </c>
      <c r="AF8" s="50">
        <v>0</v>
      </c>
      <c r="AG8" s="52">
        <v>0</v>
      </c>
      <c r="AH8" s="50">
        <v>0</v>
      </c>
      <c r="AI8" s="50">
        <v>0</v>
      </c>
      <c r="AJ8" s="52">
        <v>0</v>
      </c>
      <c r="AK8" s="50">
        <v>0</v>
      </c>
      <c r="AL8" s="50">
        <v>0</v>
      </c>
      <c r="AM8" s="52">
        <v>0</v>
      </c>
      <c r="AN8" s="50">
        <v>0</v>
      </c>
      <c r="AO8" s="50">
        <v>0</v>
      </c>
      <c r="AP8" s="52">
        <v>0</v>
      </c>
      <c r="AQ8" s="50">
        <v>0</v>
      </c>
      <c r="AR8" s="50">
        <v>0</v>
      </c>
      <c r="AS8" s="52">
        <v>0</v>
      </c>
      <c r="AT8" s="50">
        <v>0</v>
      </c>
      <c r="AU8" s="50">
        <v>0</v>
      </c>
      <c r="AV8" s="52">
        <v>0</v>
      </c>
      <c r="AW8" s="50">
        <v>0</v>
      </c>
      <c r="AX8" s="50">
        <v>0</v>
      </c>
      <c r="AY8" s="52">
        <v>0</v>
      </c>
      <c r="AZ8" s="50">
        <v>0</v>
      </c>
      <c r="BA8" s="50">
        <v>0</v>
      </c>
      <c r="BB8" s="52">
        <v>0</v>
      </c>
      <c r="BC8" s="50">
        <v>0</v>
      </c>
      <c r="BD8" s="50">
        <v>0</v>
      </c>
      <c r="BE8" s="52">
        <v>0</v>
      </c>
      <c r="BF8" s="50">
        <v>0</v>
      </c>
      <c r="BG8" s="50">
        <v>0</v>
      </c>
      <c r="BH8" s="52">
        <v>0</v>
      </c>
      <c r="BI8" s="50">
        <v>0</v>
      </c>
      <c r="BJ8" s="50">
        <v>0</v>
      </c>
      <c r="BK8" s="52">
        <v>0</v>
      </c>
      <c r="BL8" s="50">
        <v>0</v>
      </c>
      <c r="BM8" s="50">
        <v>0</v>
      </c>
      <c r="BN8" s="52">
        <v>0</v>
      </c>
      <c r="BO8" s="50">
        <v>0</v>
      </c>
      <c r="BP8" s="50">
        <v>0</v>
      </c>
      <c r="BQ8" s="52">
        <v>0</v>
      </c>
      <c r="BR8" s="50">
        <v>0</v>
      </c>
      <c r="BS8" s="50">
        <v>0</v>
      </c>
      <c r="BT8" s="52">
        <v>0</v>
      </c>
      <c r="BU8" s="50">
        <v>0</v>
      </c>
      <c r="BV8" s="50">
        <v>0</v>
      </c>
      <c r="BW8" s="52">
        <v>0</v>
      </c>
      <c r="BX8" s="50">
        <v>0</v>
      </c>
      <c r="BY8" s="70">
        <v>0</v>
      </c>
      <c r="BZ8" s="52">
        <v>0</v>
      </c>
      <c r="CA8" s="50">
        <v>0</v>
      </c>
      <c r="CB8" s="50">
        <v>0</v>
      </c>
      <c r="CC8" s="52">
        <v>0</v>
      </c>
      <c r="CD8" s="50">
        <v>0</v>
      </c>
      <c r="CE8" s="50">
        <v>0</v>
      </c>
      <c r="CF8" s="52">
        <v>0</v>
      </c>
      <c r="CG8" s="50">
        <v>0</v>
      </c>
      <c r="CH8" s="50">
        <v>0</v>
      </c>
      <c r="CI8" s="52">
        <v>0</v>
      </c>
      <c r="CJ8" s="50">
        <v>0</v>
      </c>
      <c r="CK8" s="50">
        <v>0</v>
      </c>
      <c r="CL8" s="52">
        <v>0</v>
      </c>
      <c r="CM8" s="50">
        <v>0</v>
      </c>
      <c r="CN8" s="50">
        <v>0</v>
      </c>
      <c r="CO8" s="52">
        <v>0</v>
      </c>
      <c r="CP8" s="50">
        <v>0</v>
      </c>
      <c r="CQ8" s="50">
        <v>0</v>
      </c>
      <c r="CR8" s="52">
        <v>0</v>
      </c>
      <c r="CS8" s="50">
        <v>0</v>
      </c>
      <c r="CT8" s="50">
        <v>0</v>
      </c>
      <c r="CU8" s="52">
        <v>0</v>
      </c>
      <c r="CV8" s="50">
        <v>0</v>
      </c>
      <c r="CW8" s="50">
        <v>0</v>
      </c>
      <c r="CX8" s="52">
        <v>0</v>
      </c>
      <c r="CY8" s="50">
        <v>0</v>
      </c>
      <c r="CZ8" s="50">
        <v>0</v>
      </c>
      <c r="DA8" s="52">
        <v>0</v>
      </c>
      <c r="DB8" s="50">
        <v>0</v>
      </c>
      <c r="DC8" s="50">
        <v>0</v>
      </c>
      <c r="DD8" s="52">
        <v>0</v>
      </c>
      <c r="DE8" s="50">
        <v>0</v>
      </c>
      <c r="DF8" s="50">
        <v>0</v>
      </c>
      <c r="DG8" s="52">
        <v>0</v>
      </c>
      <c r="DH8" s="50">
        <v>0</v>
      </c>
      <c r="DI8" s="50">
        <v>0</v>
      </c>
      <c r="DJ8" s="52">
        <v>0</v>
      </c>
      <c r="DK8" s="50">
        <v>0</v>
      </c>
      <c r="DL8" s="50">
        <v>0</v>
      </c>
      <c r="DM8" s="52">
        <v>0</v>
      </c>
      <c r="DN8" s="50">
        <v>0</v>
      </c>
      <c r="DO8" s="50">
        <v>0</v>
      </c>
      <c r="DP8" s="52">
        <v>0</v>
      </c>
      <c r="DQ8" s="50">
        <v>0</v>
      </c>
      <c r="DR8" s="50">
        <v>0</v>
      </c>
      <c r="DS8" s="52">
        <v>0</v>
      </c>
      <c r="DT8" s="50">
        <v>0</v>
      </c>
      <c r="DU8" s="50">
        <v>0</v>
      </c>
      <c r="DV8" s="52">
        <v>0</v>
      </c>
      <c r="DW8" s="50">
        <v>0</v>
      </c>
      <c r="DX8" s="50">
        <v>0</v>
      </c>
      <c r="DY8" s="52">
        <v>0</v>
      </c>
      <c r="DZ8" s="50">
        <v>0</v>
      </c>
      <c r="EA8" s="50">
        <v>0</v>
      </c>
      <c r="EB8" s="52">
        <v>0</v>
      </c>
      <c r="EC8" s="50">
        <v>0</v>
      </c>
      <c r="ED8" s="50">
        <v>0</v>
      </c>
      <c r="EE8" s="52">
        <v>0</v>
      </c>
      <c r="EF8" s="50">
        <v>0</v>
      </c>
      <c r="EG8" s="50">
        <v>0</v>
      </c>
      <c r="EH8" s="52">
        <v>0</v>
      </c>
      <c r="EI8" s="50">
        <v>0</v>
      </c>
      <c r="EJ8" s="50">
        <v>0</v>
      </c>
      <c r="EK8" s="52">
        <v>0</v>
      </c>
      <c r="EL8" s="50">
        <v>0</v>
      </c>
      <c r="EM8" s="50">
        <v>0</v>
      </c>
      <c r="EN8" s="52">
        <v>0</v>
      </c>
      <c r="EO8" s="50">
        <v>0</v>
      </c>
      <c r="EP8" s="50">
        <v>0</v>
      </c>
      <c r="EQ8" s="52">
        <v>0</v>
      </c>
      <c r="ER8" s="50">
        <v>0</v>
      </c>
      <c r="ES8" s="50">
        <v>0</v>
      </c>
      <c r="ET8" s="52">
        <v>0</v>
      </c>
      <c r="EU8" s="50">
        <v>0</v>
      </c>
      <c r="EV8" s="50">
        <v>0</v>
      </c>
      <c r="EW8" s="52">
        <v>0</v>
      </c>
      <c r="EX8" s="50">
        <v>0</v>
      </c>
      <c r="EY8" s="50">
        <v>0</v>
      </c>
      <c r="EZ8" s="52">
        <v>0</v>
      </c>
      <c r="FA8" s="50">
        <v>0</v>
      </c>
      <c r="FB8" s="50">
        <v>0</v>
      </c>
      <c r="FC8" s="52">
        <v>0</v>
      </c>
      <c r="FD8" s="54"/>
      <c r="FE8" s="54"/>
    </row>
    <row r="9" spans="1:161" ht="12.75">
      <c r="A9" s="49">
        <v>43840</v>
      </c>
      <c r="B9" s="68">
        <f t="shared" ref="B9:D9" si="8">SUM(P9,S9,V9,Y9,AK9,AN9,AQ9,AT9,AW9,AZ9,BF9,BR9,BU9,BX9,CM9,CP9,CS9,DH9,DB9,DK9,DW9,DZ9,EC9,EF9,ER9,EU9,)</f>
        <v>0</v>
      </c>
      <c r="C9" s="68">
        <f t="shared" si="8"/>
        <v>0</v>
      </c>
      <c r="D9" s="68">
        <f t="shared" si="8"/>
        <v>0</v>
      </c>
      <c r="E9" s="69">
        <f t="shared" si="1"/>
        <v>0</v>
      </c>
      <c r="F9" s="47">
        <f t="shared" ref="F9:H9" si="9">SUM(P9,S9,V9,AE9,AH9,AK9,AN9,AQ9,AT9,AW9,AZ9,BF9,BL9,BR9,BX9,CG9,CM9,CP9,CV9,DK9,DN9,DQ9,DT9,DZ9,EL9,EO9,ER9)</f>
        <v>0</v>
      </c>
      <c r="G9" s="41">
        <f t="shared" si="9"/>
        <v>0</v>
      </c>
      <c r="H9" s="41">
        <f t="shared" si="9"/>
        <v>0</v>
      </c>
      <c r="I9" s="51">
        <f t="shared" si="3"/>
        <v>0</v>
      </c>
      <c r="J9" s="50">
        <v>0</v>
      </c>
      <c r="K9" s="50">
        <v>0</v>
      </c>
      <c r="L9" s="52">
        <v>0</v>
      </c>
      <c r="M9" s="50">
        <v>0</v>
      </c>
      <c r="N9" s="50">
        <v>0</v>
      </c>
      <c r="O9" s="52">
        <v>0</v>
      </c>
      <c r="P9" s="50">
        <v>0</v>
      </c>
      <c r="Q9" s="50">
        <v>0</v>
      </c>
      <c r="R9" s="52">
        <v>0</v>
      </c>
      <c r="S9" s="50">
        <v>0</v>
      </c>
      <c r="T9" s="50">
        <v>0</v>
      </c>
      <c r="U9" s="52">
        <v>0</v>
      </c>
      <c r="V9" s="50">
        <v>0</v>
      </c>
      <c r="W9" s="50">
        <v>0</v>
      </c>
      <c r="X9" s="52">
        <v>0</v>
      </c>
      <c r="Y9" s="50">
        <v>0</v>
      </c>
      <c r="Z9" s="50">
        <v>0</v>
      </c>
      <c r="AA9" s="52">
        <v>0</v>
      </c>
      <c r="AB9" s="50">
        <v>0</v>
      </c>
      <c r="AC9" s="50">
        <v>0</v>
      </c>
      <c r="AD9" s="52">
        <v>0</v>
      </c>
      <c r="AE9" s="50">
        <v>0</v>
      </c>
      <c r="AF9" s="50">
        <v>0</v>
      </c>
      <c r="AG9" s="52">
        <v>0</v>
      </c>
      <c r="AH9" s="50">
        <v>0</v>
      </c>
      <c r="AI9" s="50">
        <v>0</v>
      </c>
      <c r="AJ9" s="52">
        <v>0</v>
      </c>
      <c r="AK9" s="50">
        <v>0</v>
      </c>
      <c r="AL9" s="50">
        <v>0</v>
      </c>
      <c r="AM9" s="52">
        <v>0</v>
      </c>
      <c r="AN9" s="50">
        <v>0</v>
      </c>
      <c r="AO9" s="50">
        <v>0</v>
      </c>
      <c r="AP9" s="52">
        <v>0</v>
      </c>
      <c r="AQ9" s="50">
        <v>0</v>
      </c>
      <c r="AR9" s="50">
        <v>0</v>
      </c>
      <c r="AS9" s="52">
        <v>0</v>
      </c>
      <c r="AT9" s="50">
        <v>0</v>
      </c>
      <c r="AU9" s="50">
        <v>0</v>
      </c>
      <c r="AV9" s="52">
        <v>0</v>
      </c>
      <c r="AW9" s="50">
        <v>0</v>
      </c>
      <c r="AX9" s="50">
        <v>0</v>
      </c>
      <c r="AY9" s="52">
        <v>0</v>
      </c>
      <c r="AZ9" s="50">
        <v>0</v>
      </c>
      <c r="BA9" s="50">
        <v>0</v>
      </c>
      <c r="BB9" s="52">
        <v>0</v>
      </c>
      <c r="BC9" s="50">
        <v>0</v>
      </c>
      <c r="BD9" s="50">
        <v>0</v>
      </c>
      <c r="BE9" s="52">
        <v>0</v>
      </c>
      <c r="BF9" s="50">
        <v>0</v>
      </c>
      <c r="BG9" s="50">
        <v>0</v>
      </c>
      <c r="BH9" s="52">
        <v>0</v>
      </c>
      <c r="BI9" s="50">
        <v>0</v>
      </c>
      <c r="BJ9" s="50">
        <v>0</v>
      </c>
      <c r="BK9" s="52">
        <v>0</v>
      </c>
      <c r="BL9" s="50">
        <v>0</v>
      </c>
      <c r="BM9" s="50">
        <v>0</v>
      </c>
      <c r="BN9" s="52">
        <v>0</v>
      </c>
      <c r="BO9" s="50">
        <v>0</v>
      </c>
      <c r="BP9" s="50">
        <v>0</v>
      </c>
      <c r="BQ9" s="52">
        <v>0</v>
      </c>
      <c r="BR9" s="50">
        <v>0</v>
      </c>
      <c r="BS9" s="50">
        <v>0</v>
      </c>
      <c r="BT9" s="52">
        <v>0</v>
      </c>
      <c r="BU9" s="50">
        <v>0</v>
      </c>
      <c r="BV9" s="50">
        <v>0</v>
      </c>
      <c r="BW9" s="52">
        <v>0</v>
      </c>
      <c r="BX9" s="50">
        <v>0</v>
      </c>
      <c r="BY9" s="70">
        <v>0</v>
      </c>
      <c r="BZ9" s="52">
        <v>0</v>
      </c>
      <c r="CA9" s="50">
        <v>0</v>
      </c>
      <c r="CB9" s="50">
        <v>0</v>
      </c>
      <c r="CC9" s="52">
        <v>0</v>
      </c>
      <c r="CD9" s="50">
        <v>0</v>
      </c>
      <c r="CE9" s="50">
        <v>0</v>
      </c>
      <c r="CF9" s="52">
        <v>0</v>
      </c>
      <c r="CG9" s="50">
        <v>0</v>
      </c>
      <c r="CH9" s="50">
        <v>0</v>
      </c>
      <c r="CI9" s="52">
        <v>0</v>
      </c>
      <c r="CJ9" s="50">
        <v>0</v>
      </c>
      <c r="CK9" s="50">
        <v>0</v>
      </c>
      <c r="CL9" s="52">
        <v>0</v>
      </c>
      <c r="CM9" s="50">
        <v>0</v>
      </c>
      <c r="CN9" s="50">
        <v>0</v>
      </c>
      <c r="CO9" s="52">
        <v>0</v>
      </c>
      <c r="CP9" s="50">
        <v>0</v>
      </c>
      <c r="CQ9" s="50">
        <v>0</v>
      </c>
      <c r="CR9" s="52">
        <v>0</v>
      </c>
      <c r="CS9" s="50">
        <v>0</v>
      </c>
      <c r="CT9" s="50">
        <v>0</v>
      </c>
      <c r="CU9" s="52">
        <v>0</v>
      </c>
      <c r="CV9" s="50">
        <v>0</v>
      </c>
      <c r="CW9" s="50">
        <v>0</v>
      </c>
      <c r="CX9" s="52">
        <v>0</v>
      </c>
      <c r="CY9" s="50">
        <v>0</v>
      </c>
      <c r="CZ9" s="50">
        <v>0</v>
      </c>
      <c r="DA9" s="52">
        <v>0</v>
      </c>
      <c r="DB9" s="50">
        <v>0</v>
      </c>
      <c r="DC9" s="50">
        <v>0</v>
      </c>
      <c r="DD9" s="52">
        <v>0</v>
      </c>
      <c r="DE9" s="50">
        <v>0</v>
      </c>
      <c r="DF9" s="50">
        <v>0</v>
      </c>
      <c r="DG9" s="52">
        <v>0</v>
      </c>
      <c r="DH9" s="50">
        <v>0</v>
      </c>
      <c r="DI9" s="50">
        <v>0</v>
      </c>
      <c r="DJ9" s="52">
        <v>0</v>
      </c>
      <c r="DK9" s="50">
        <v>0</v>
      </c>
      <c r="DL9" s="50">
        <v>0</v>
      </c>
      <c r="DM9" s="52">
        <v>0</v>
      </c>
      <c r="DN9" s="50">
        <v>0</v>
      </c>
      <c r="DO9" s="50">
        <v>0</v>
      </c>
      <c r="DP9" s="52">
        <v>0</v>
      </c>
      <c r="DQ9" s="50">
        <v>0</v>
      </c>
      <c r="DR9" s="50">
        <v>0</v>
      </c>
      <c r="DS9" s="52">
        <v>0</v>
      </c>
      <c r="DT9" s="50">
        <v>0</v>
      </c>
      <c r="DU9" s="50">
        <v>0</v>
      </c>
      <c r="DV9" s="52">
        <v>0</v>
      </c>
      <c r="DW9" s="50">
        <v>0</v>
      </c>
      <c r="DX9" s="50">
        <v>0</v>
      </c>
      <c r="DY9" s="52">
        <v>0</v>
      </c>
      <c r="DZ9" s="50">
        <v>0</v>
      </c>
      <c r="EA9" s="50">
        <v>0</v>
      </c>
      <c r="EB9" s="52">
        <v>0</v>
      </c>
      <c r="EC9" s="50">
        <v>0</v>
      </c>
      <c r="ED9" s="50">
        <v>0</v>
      </c>
      <c r="EE9" s="52">
        <v>0</v>
      </c>
      <c r="EF9" s="50">
        <v>0</v>
      </c>
      <c r="EG9" s="50">
        <v>0</v>
      </c>
      <c r="EH9" s="52">
        <v>0</v>
      </c>
      <c r="EI9" s="50">
        <v>0</v>
      </c>
      <c r="EJ9" s="50">
        <v>0</v>
      </c>
      <c r="EK9" s="52">
        <v>0</v>
      </c>
      <c r="EL9" s="50">
        <v>0</v>
      </c>
      <c r="EM9" s="50">
        <v>0</v>
      </c>
      <c r="EN9" s="52">
        <v>0</v>
      </c>
      <c r="EO9" s="50">
        <v>0</v>
      </c>
      <c r="EP9" s="50">
        <v>0</v>
      </c>
      <c r="EQ9" s="52">
        <v>0</v>
      </c>
      <c r="ER9" s="50">
        <v>0</v>
      </c>
      <c r="ES9" s="50">
        <v>0</v>
      </c>
      <c r="ET9" s="52">
        <v>0</v>
      </c>
      <c r="EU9" s="50">
        <v>0</v>
      </c>
      <c r="EV9" s="50">
        <v>0</v>
      </c>
      <c r="EW9" s="52">
        <v>0</v>
      </c>
      <c r="EX9" s="50">
        <v>0</v>
      </c>
      <c r="EY9" s="50">
        <v>0</v>
      </c>
      <c r="EZ9" s="52">
        <v>0</v>
      </c>
      <c r="FA9" s="50">
        <v>0</v>
      </c>
      <c r="FB9" s="50">
        <v>0</v>
      </c>
      <c r="FC9" s="52">
        <v>0</v>
      </c>
      <c r="FD9" s="54"/>
      <c r="FE9" s="54"/>
    </row>
    <row r="10" spans="1:161" ht="12.75">
      <c r="A10" s="40">
        <v>43841</v>
      </c>
      <c r="B10" s="44">
        <f t="shared" ref="B10:D10" si="10">SUM(P10,S10,V10,Y10,AK10,AN10,AQ10,AT10,AW10,AZ10,BF10,BR10,BU10,BX10,CM10,CP10,CS10,DH10,DB10,DK10,DW10,DZ10,EC10,EF10,ER10,EU10,)</f>
        <v>0</v>
      </c>
      <c r="C10" s="44">
        <f t="shared" si="10"/>
        <v>0</v>
      </c>
      <c r="D10" s="44">
        <f t="shared" si="10"/>
        <v>0</v>
      </c>
      <c r="E10" s="45">
        <f t="shared" si="1"/>
        <v>0</v>
      </c>
      <c r="F10" s="47">
        <f t="shared" ref="F10:H10" si="11">SUM(P10,S10,V10,AE10,AH10,AK10,AN10,AQ10,AT10,AW10,AZ10,BF10,BL10,BR10,BX10,CG10,CM10,CP10,CV10,DK10,DN10,DQ10,DT10,DZ10,EL10,EO10,ER10)</f>
        <v>0</v>
      </c>
      <c r="G10" s="41">
        <f t="shared" si="11"/>
        <v>0</v>
      </c>
      <c r="H10" s="41">
        <f t="shared" si="11"/>
        <v>0</v>
      </c>
      <c r="I10" s="51">
        <f t="shared" si="3"/>
        <v>0</v>
      </c>
      <c r="J10" s="15">
        <v>0</v>
      </c>
      <c r="K10" s="15">
        <v>0</v>
      </c>
      <c r="L10" s="17">
        <v>0</v>
      </c>
      <c r="M10" s="15">
        <v>0</v>
      </c>
      <c r="N10" s="15">
        <v>0</v>
      </c>
      <c r="O10" s="17">
        <v>0</v>
      </c>
      <c r="P10" s="15">
        <v>0</v>
      </c>
      <c r="Q10" s="15">
        <v>0</v>
      </c>
      <c r="R10" s="17">
        <v>0</v>
      </c>
      <c r="S10" s="15">
        <v>0</v>
      </c>
      <c r="T10" s="15">
        <v>0</v>
      </c>
      <c r="U10" s="17">
        <v>0</v>
      </c>
      <c r="V10" s="15">
        <v>0</v>
      </c>
      <c r="W10" s="15">
        <v>0</v>
      </c>
      <c r="X10" s="17">
        <v>0</v>
      </c>
      <c r="Y10" s="15">
        <v>0</v>
      </c>
      <c r="Z10" s="15">
        <v>0</v>
      </c>
      <c r="AA10" s="17">
        <v>0</v>
      </c>
      <c r="AB10" s="15">
        <v>0</v>
      </c>
      <c r="AC10" s="15">
        <v>0</v>
      </c>
      <c r="AD10" s="17">
        <v>0</v>
      </c>
      <c r="AE10" s="15">
        <v>0</v>
      </c>
      <c r="AF10" s="15">
        <v>0</v>
      </c>
      <c r="AG10" s="17">
        <v>0</v>
      </c>
      <c r="AH10" s="15">
        <v>0</v>
      </c>
      <c r="AI10" s="15">
        <v>0</v>
      </c>
      <c r="AJ10" s="17">
        <v>0</v>
      </c>
      <c r="AK10" s="15">
        <v>0</v>
      </c>
      <c r="AL10" s="15">
        <v>0</v>
      </c>
      <c r="AM10" s="17">
        <v>0</v>
      </c>
      <c r="AN10" s="15">
        <v>0</v>
      </c>
      <c r="AO10" s="15">
        <v>0</v>
      </c>
      <c r="AP10" s="17">
        <v>0</v>
      </c>
      <c r="AQ10" s="15">
        <v>0</v>
      </c>
      <c r="AR10" s="15">
        <v>0</v>
      </c>
      <c r="AS10" s="17">
        <v>0</v>
      </c>
      <c r="AT10" s="15">
        <v>0</v>
      </c>
      <c r="AU10" s="15">
        <v>0</v>
      </c>
      <c r="AV10" s="17">
        <v>0</v>
      </c>
      <c r="AW10" s="15">
        <v>0</v>
      </c>
      <c r="AX10" s="15">
        <v>0</v>
      </c>
      <c r="AY10" s="17">
        <v>0</v>
      </c>
      <c r="AZ10" s="15">
        <v>0</v>
      </c>
      <c r="BA10" s="15">
        <v>0</v>
      </c>
      <c r="BB10" s="17">
        <v>0</v>
      </c>
      <c r="BC10" s="15">
        <v>0</v>
      </c>
      <c r="BD10" s="15">
        <v>0</v>
      </c>
      <c r="BE10" s="17">
        <v>0</v>
      </c>
      <c r="BF10" s="15">
        <v>0</v>
      </c>
      <c r="BG10" s="15">
        <v>0</v>
      </c>
      <c r="BH10" s="17">
        <v>0</v>
      </c>
      <c r="BI10" s="15">
        <v>0</v>
      </c>
      <c r="BJ10" s="15">
        <v>0</v>
      </c>
      <c r="BK10" s="17">
        <v>0</v>
      </c>
      <c r="BL10" s="15">
        <v>0</v>
      </c>
      <c r="BM10" s="15">
        <v>0</v>
      </c>
      <c r="BN10" s="17">
        <v>0</v>
      </c>
      <c r="BO10" s="15">
        <v>0</v>
      </c>
      <c r="BP10" s="15">
        <v>0</v>
      </c>
      <c r="BQ10" s="17">
        <v>0</v>
      </c>
      <c r="BR10" s="15">
        <v>0</v>
      </c>
      <c r="BS10" s="15">
        <v>0</v>
      </c>
      <c r="BT10" s="17">
        <v>0</v>
      </c>
      <c r="BU10" s="15">
        <v>0</v>
      </c>
      <c r="BV10" s="15">
        <v>0</v>
      </c>
      <c r="BW10" s="17">
        <v>0</v>
      </c>
      <c r="BX10" s="15">
        <v>0</v>
      </c>
      <c r="BY10" s="53">
        <v>0</v>
      </c>
      <c r="BZ10" s="17">
        <v>0</v>
      </c>
      <c r="CA10" s="15">
        <v>0</v>
      </c>
      <c r="CB10" s="15">
        <v>0</v>
      </c>
      <c r="CC10" s="17">
        <v>0</v>
      </c>
      <c r="CD10" s="15">
        <v>0</v>
      </c>
      <c r="CE10" s="15">
        <v>0</v>
      </c>
      <c r="CF10" s="17">
        <v>0</v>
      </c>
      <c r="CG10" s="15">
        <v>0</v>
      </c>
      <c r="CH10" s="15">
        <v>0</v>
      </c>
      <c r="CI10" s="17">
        <v>0</v>
      </c>
      <c r="CJ10" s="15">
        <v>0</v>
      </c>
      <c r="CK10" s="15">
        <v>0</v>
      </c>
      <c r="CL10" s="17">
        <v>0</v>
      </c>
      <c r="CM10" s="15">
        <v>0</v>
      </c>
      <c r="CN10" s="15">
        <v>0</v>
      </c>
      <c r="CO10" s="17">
        <v>0</v>
      </c>
      <c r="CP10" s="15">
        <v>0</v>
      </c>
      <c r="CQ10" s="15">
        <v>0</v>
      </c>
      <c r="CR10" s="17">
        <v>0</v>
      </c>
      <c r="CS10" s="15">
        <v>0</v>
      </c>
      <c r="CT10" s="15">
        <v>0</v>
      </c>
      <c r="CU10" s="17">
        <v>0</v>
      </c>
      <c r="CV10" s="15">
        <v>0</v>
      </c>
      <c r="CW10" s="15">
        <v>0</v>
      </c>
      <c r="CX10" s="17">
        <v>0</v>
      </c>
      <c r="CY10" s="15">
        <v>0</v>
      </c>
      <c r="CZ10" s="15">
        <v>0</v>
      </c>
      <c r="DA10" s="17">
        <v>0</v>
      </c>
      <c r="DB10" s="15">
        <v>0</v>
      </c>
      <c r="DC10" s="15">
        <v>0</v>
      </c>
      <c r="DD10" s="17">
        <v>0</v>
      </c>
      <c r="DE10" s="15">
        <v>0</v>
      </c>
      <c r="DF10" s="15">
        <v>0</v>
      </c>
      <c r="DG10" s="17">
        <v>0</v>
      </c>
      <c r="DH10" s="15">
        <v>0</v>
      </c>
      <c r="DI10" s="15">
        <v>0</v>
      </c>
      <c r="DJ10" s="17">
        <v>0</v>
      </c>
      <c r="DK10" s="15">
        <v>0</v>
      </c>
      <c r="DL10" s="15">
        <v>0</v>
      </c>
      <c r="DM10" s="17">
        <v>0</v>
      </c>
      <c r="DN10" s="15">
        <v>0</v>
      </c>
      <c r="DO10" s="15">
        <v>0</v>
      </c>
      <c r="DP10" s="17">
        <v>0</v>
      </c>
      <c r="DQ10" s="15">
        <v>0</v>
      </c>
      <c r="DR10" s="15">
        <v>0</v>
      </c>
      <c r="DS10" s="17">
        <v>0</v>
      </c>
      <c r="DT10" s="15">
        <v>0</v>
      </c>
      <c r="DU10" s="15">
        <v>0</v>
      </c>
      <c r="DV10" s="17">
        <v>0</v>
      </c>
      <c r="DW10" s="15">
        <v>0</v>
      </c>
      <c r="DX10" s="15">
        <v>0</v>
      </c>
      <c r="DY10" s="17">
        <v>0</v>
      </c>
      <c r="DZ10" s="15">
        <v>0</v>
      </c>
      <c r="EA10" s="15">
        <v>0</v>
      </c>
      <c r="EB10" s="17">
        <v>0</v>
      </c>
      <c r="EC10" s="15">
        <v>0</v>
      </c>
      <c r="ED10" s="15">
        <v>0</v>
      </c>
      <c r="EE10" s="17">
        <v>0</v>
      </c>
      <c r="EF10" s="15">
        <v>0</v>
      </c>
      <c r="EG10" s="15">
        <v>0</v>
      </c>
      <c r="EH10" s="17">
        <v>0</v>
      </c>
      <c r="EI10" s="15">
        <v>0</v>
      </c>
      <c r="EJ10" s="15">
        <v>0</v>
      </c>
      <c r="EK10" s="17">
        <v>0</v>
      </c>
      <c r="EL10" s="15">
        <v>0</v>
      </c>
      <c r="EM10" s="15">
        <v>0</v>
      </c>
      <c r="EN10" s="17">
        <v>0</v>
      </c>
      <c r="EO10" s="15">
        <v>0</v>
      </c>
      <c r="EP10" s="15">
        <v>0</v>
      </c>
      <c r="EQ10" s="17">
        <v>0</v>
      </c>
      <c r="ER10" s="15">
        <v>0</v>
      </c>
      <c r="ES10" s="15">
        <v>0</v>
      </c>
      <c r="ET10" s="17">
        <v>0</v>
      </c>
      <c r="EU10" s="15">
        <v>0</v>
      </c>
      <c r="EV10" s="15">
        <v>0</v>
      </c>
      <c r="EW10" s="17">
        <v>0</v>
      </c>
      <c r="EX10" s="15">
        <v>0</v>
      </c>
      <c r="EY10" s="15">
        <v>0</v>
      </c>
      <c r="EZ10" s="17">
        <v>0</v>
      </c>
      <c r="FA10" s="15">
        <v>0</v>
      </c>
      <c r="FB10" s="15">
        <v>0</v>
      </c>
      <c r="FC10" s="17">
        <v>0</v>
      </c>
      <c r="FD10" s="55"/>
      <c r="FE10" s="56"/>
    </row>
    <row r="11" spans="1:161" ht="12.75">
      <c r="A11" s="40">
        <v>43842</v>
      </c>
      <c r="B11" s="44">
        <f t="shared" ref="B11:D11" si="12">SUM(P11,S11,V11,Y11,AK11,AN11,AQ11,AT11,AW11,AZ11,BF11,BR11,BU11,BX11,CM11,CP11,CS11,DH11,DB11,DK11,DW11,DZ11,EC11,EF11,ER11,EU11,)</f>
        <v>0</v>
      </c>
      <c r="C11" s="44">
        <f t="shared" si="12"/>
        <v>0</v>
      </c>
      <c r="D11" s="44">
        <f t="shared" si="12"/>
        <v>0</v>
      </c>
      <c r="E11" s="45">
        <f t="shared" si="1"/>
        <v>0</v>
      </c>
      <c r="F11" s="47">
        <f t="shared" ref="F11:H11" si="13">SUM(P11,S11,V11,AE11,AH11,AK11,AN11,AQ11,AT11,AW11,AZ11,BF11,BL11,BR11,BX11,CG11,CM11,CP11,CV11,DK11,DN11,DQ11,DT11,DZ11,EL11,EO11,ER11)</f>
        <v>0</v>
      </c>
      <c r="G11" s="41">
        <f t="shared" si="13"/>
        <v>0</v>
      </c>
      <c r="H11" s="41">
        <f t="shared" si="13"/>
        <v>0</v>
      </c>
      <c r="I11" s="51">
        <f t="shared" si="3"/>
        <v>0</v>
      </c>
      <c r="J11" s="15">
        <v>0</v>
      </c>
      <c r="K11" s="15">
        <v>0</v>
      </c>
      <c r="L11" s="17">
        <v>0</v>
      </c>
      <c r="M11" s="15">
        <v>0</v>
      </c>
      <c r="N11" s="15">
        <v>0</v>
      </c>
      <c r="O11" s="17">
        <v>0</v>
      </c>
      <c r="P11" s="15">
        <v>0</v>
      </c>
      <c r="Q11" s="15">
        <v>0</v>
      </c>
      <c r="R11" s="17">
        <v>0</v>
      </c>
      <c r="S11" s="15">
        <v>0</v>
      </c>
      <c r="T11" s="15">
        <v>0</v>
      </c>
      <c r="U11" s="17">
        <v>0</v>
      </c>
      <c r="V11" s="15">
        <v>0</v>
      </c>
      <c r="W11" s="15">
        <v>0</v>
      </c>
      <c r="X11" s="17">
        <v>0</v>
      </c>
      <c r="Y11" s="15">
        <v>0</v>
      </c>
      <c r="Z11" s="15">
        <v>0</v>
      </c>
      <c r="AA11" s="17">
        <v>0</v>
      </c>
      <c r="AB11" s="15">
        <v>0</v>
      </c>
      <c r="AC11" s="15">
        <v>0</v>
      </c>
      <c r="AD11" s="17">
        <v>0</v>
      </c>
      <c r="AE11" s="15">
        <v>0</v>
      </c>
      <c r="AF11" s="15">
        <v>0</v>
      </c>
      <c r="AG11" s="17">
        <v>0</v>
      </c>
      <c r="AH11" s="15">
        <v>0</v>
      </c>
      <c r="AI11" s="15">
        <v>0</v>
      </c>
      <c r="AJ11" s="17">
        <v>0</v>
      </c>
      <c r="AK11" s="15">
        <v>0</v>
      </c>
      <c r="AL11" s="15">
        <v>0</v>
      </c>
      <c r="AM11" s="17">
        <v>0</v>
      </c>
      <c r="AN11" s="15">
        <v>0</v>
      </c>
      <c r="AO11" s="15">
        <v>0</v>
      </c>
      <c r="AP11" s="17">
        <v>0</v>
      </c>
      <c r="AQ11" s="15">
        <v>0</v>
      </c>
      <c r="AR11" s="15">
        <v>0</v>
      </c>
      <c r="AS11" s="17">
        <v>0</v>
      </c>
      <c r="AT11" s="15">
        <v>0</v>
      </c>
      <c r="AU11" s="15">
        <v>0</v>
      </c>
      <c r="AV11" s="17">
        <v>0</v>
      </c>
      <c r="AW11" s="15">
        <v>0</v>
      </c>
      <c r="AX11" s="15">
        <v>0</v>
      </c>
      <c r="AY11" s="17">
        <v>0</v>
      </c>
      <c r="AZ11" s="15">
        <v>0</v>
      </c>
      <c r="BA11" s="15">
        <v>0</v>
      </c>
      <c r="BB11" s="17">
        <v>0</v>
      </c>
      <c r="BC11" s="15">
        <v>0</v>
      </c>
      <c r="BD11" s="15">
        <v>0</v>
      </c>
      <c r="BE11" s="17">
        <v>0</v>
      </c>
      <c r="BF11" s="15">
        <v>0</v>
      </c>
      <c r="BG11" s="15">
        <v>0</v>
      </c>
      <c r="BH11" s="17">
        <v>0</v>
      </c>
      <c r="BI11" s="15">
        <v>0</v>
      </c>
      <c r="BJ11" s="15">
        <v>0</v>
      </c>
      <c r="BK11" s="17">
        <v>0</v>
      </c>
      <c r="BL11" s="15">
        <v>0</v>
      </c>
      <c r="BM11" s="15">
        <v>0</v>
      </c>
      <c r="BN11" s="17">
        <v>0</v>
      </c>
      <c r="BO11" s="15">
        <v>0</v>
      </c>
      <c r="BP11" s="15">
        <v>0</v>
      </c>
      <c r="BQ11" s="17">
        <v>0</v>
      </c>
      <c r="BR11" s="15">
        <v>0</v>
      </c>
      <c r="BS11" s="15">
        <v>0</v>
      </c>
      <c r="BT11" s="17">
        <v>0</v>
      </c>
      <c r="BU11" s="15">
        <v>0</v>
      </c>
      <c r="BV11" s="15">
        <v>0</v>
      </c>
      <c r="BW11" s="17">
        <v>0</v>
      </c>
      <c r="BX11" s="15">
        <v>0</v>
      </c>
      <c r="BY11" s="53">
        <v>0</v>
      </c>
      <c r="BZ11" s="17">
        <v>0</v>
      </c>
      <c r="CA11" s="15">
        <v>0</v>
      </c>
      <c r="CB11" s="15">
        <v>0</v>
      </c>
      <c r="CC11" s="17">
        <v>0</v>
      </c>
      <c r="CD11" s="15">
        <v>0</v>
      </c>
      <c r="CE11" s="15">
        <v>0</v>
      </c>
      <c r="CF11" s="17">
        <v>0</v>
      </c>
      <c r="CG11" s="15">
        <v>0</v>
      </c>
      <c r="CH11" s="15">
        <v>0</v>
      </c>
      <c r="CI11" s="17">
        <v>0</v>
      </c>
      <c r="CJ11" s="15">
        <v>0</v>
      </c>
      <c r="CK11" s="15">
        <v>0</v>
      </c>
      <c r="CL11" s="17">
        <v>0</v>
      </c>
      <c r="CM11" s="15">
        <v>0</v>
      </c>
      <c r="CN11" s="15">
        <v>0</v>
      </c>
      <c r="CO11" s="17">
        <v>0</v>
      </c>
      <c r="CP11" s="15">
        <v>0</v>
      </c>
      <c r="CQ11" s="15">
        <v>0</v>
      </c>
      <c r="CR11" s="17">
        <v>0</v>
      </c>
      <c r="CS11" s="15">
        <v>0</v>
      </c>
      <c r="CT11" s="15">
        <v>0</v>
      </c>
      <c r="CU11" s="17">
        <v>0</v>
      </c>
      <c r="CV11" s="15">
        <v>0</v>
      </c>
      <c r="CW11" s="15">
        <v>0</v>
      </c>
      <c r="CX11" s="17">
        <v>0</v>
      </c>
      <c r="CY11" s="15">
        <v>0</v>
      </c>
      <c r="CZ11" s="15">
        <v>0</v>
      </c>
      <c r="DA11" s="17">
        <v>0</v>
      </c>
      <c r="DB11" s="15">
        <v>0</v>
      </c>
      <c r="DC11" s="15">
        <v>0</v>
      </c>
      <c r="DD11" s="17">
        <v>0</v>
      </c>
      <c r="DE11" s="15">
        <v>0</v>
      </c>
      <c r="DF11" s="15">
        <v>0</v>
      </c>
      <c r="DG11" s="17">
        <v>0</v>
      </c>
      <c r="DH11" s="15">
        <v>0</v>
      </c>
      <c r="DI11" s="15">
        <v>0</v>
      </c>
      <c r="DJ11" s="17">
        <v>0</v>
      </c>
      <c r="DK11" s="15">
        <v>0</v>
      </c>
      <c r="DL11" s="15">
        <v>0</v>
      </c>
      <c r="DM11" s="17">
        <v>0</v>
      </c>
      <c r="DN11" s="15">
        <v>0</v>
      </c>
      <c r="DO11" s="15">
        <v>0</v>
      </c>
      <c r="DP11" s="17">
        <v>0</v>
      </c>
      <c r="DQ11" s="15">
        <v>0</v>
      </c>
      <c r="DR11" s="15">
        <v>0</v>
      </c>
      <c r="DS11" s="17">
        <v>0</v>
      </c>
      <c r="DT11" s="15">
        <v>0</v>
      </c>
      <c r="DU11" s="15">
        <v>0</v>
      </c>
      <c r="DV11" s="17">
        <v>0</v>
      </c>
      <c r="DW11" s="15">
        <v>0</v>
      </c>
      <c r="DX11" s="15">
        <v>0</v>
      </c>
      <c r="DY11" s="17">
        <v>0</v>
      </c>
      <c r="DZ11" s="15">
        <v>0</v>
      </c>
      <c r="EA11" s="15">
        <v>0</v>
      </c>
      <c r="EB11" s="17">
        <v>0</v>
      </c>
      <c r="EC11" s="15">
        <v>0</v>
      </c>
      <c r="ED11" s="15">
        <v>0</v>
      </c>
      <c r="EE11" s="17">
        <v>0</v>
      </c>
      <c r="EF11" s="15">
        <v>0</v>
      </c>
      <c r="EG11" s="15">
        <v>0</v>
      </c>
      <c r="EH11" s="17">
        <v>0</v>
      </c>
      <c r="EI11" s="15">
        <v>0</v>
      </c>
      <c r="EJ11" s="15">
        <v>0</v>
      </c>
      <c r="EK11" s="17">
        <v>0</v>
      </c>
      <c r="EL11" s="15">
        <v>0</v>
      </c>
      <c r="EM11" s="15">
        <v>0</v>
      </c>
      <c r="EN11" s="17">
        <v>0</v>
      </c>
      <c r="EO11" s="15">
        <v>0</v>
      </c>
      <c r="EP11" s="15">
        <v>0</v>
      </c>
      <c r="EQ11" s="17">
        <v>0</v>
      </c>
      <c r="ER11" s="15">
        <v>0</v>
      </c>
      <c r="ES11" s="15">
        <v>0</v>
      </c>
      <c r="ET11" s="17">
        <v>0</v>
      </c>
      <c r="EU11" s="15">
        <v>0</v>
      </c>
      <c r="EV11" s="15">
        <v>0</v>
      </c>
      <c r="EW11" s="17">
        <v>0</v>
      </c>
      <c r="EX11" s="15">
        <v>0</v>
      </c>
      <c r="EY11" s="15">
        <v>0</v>
      </c>
      <c r="EZ11" s="17">
        <v>0</v>
      </c>
      <c r="FA11" s="15">
        <v>0</v>
      </c>
      <c r="FB11" s="15">
        <v>0</v>
      </c>
      <c r="FC11" s="17">
        <v>0</v>
      </c>
      <c r="FD11" s="55"/>
      <c r="FE11" s="56"/>
    </row>
    <row r="12" spans="1:161" ht="12.75">
      <c r="A12" s="40">
        <v>43843</v>
      </c>
      <c r="B12" s="44">
        <f t="shared" ref="B12:D12" si="14">SUM(P12,S12,V12,Y12,AK12,AN12,AQ12,AT12,AW12,AZ12,BF12,BR12,BU12,BX12,CM12,CP12,CS12,DH12,DB12,DK12,DW12,DZ12,EC12,EF12,ER12,EU12,)</f>
        <v>0</v>
      </c>
      <c r="C12" s="44">
        <f t="shared" si="14"/>
        <v>0</v>
      </c>
      <c r="D12" s="44">
        <f t="shared" si="14"/>
        <v>0</v>
      </c>
      <c r="E12" s="45">
        <f t="shared" si="1"/>
        <v>0</v>
      </c>
      <c r="F12" s="47">
        <f t="shared" ref="F12:H12" si="15">SUM(P12,S12,V12,AE12,AH12,AK12,AN12,AQ12,AT12,AW12,AZ12,BF12,BL12,BR12,BX12,CG12,CM12,CP12,CV12,DK12,DN12,DQ12,DT12,DZ12,EL12,EO12,ER12)</f>
        <v>0</v>
      </c>
      <c r="G12" s="41">
        <f t="shared" si="15"/>
        <v>0</v>
      </c>
      <c r="H12" s="41">
        <f t="shared" si="15"/>
        <v>0</v>
      </c>
      <c r="I12" s="51">
        <f t="shared" si="3"/>
        <v>0</v>
      </c>
      <c r="J12" s="15">
        <v>0</v>
      </c>
      <c r="K12" s="15">
        <v>0</v>
      </c>
      <c r="L12" s="17">
        <v>0</v>
      </c>
      <c r="M12" s="15">
        <v>0</v>
      </c>
      <c r="N12" s="15">
        <v>0</v>
      </c>
      <c r="O12" s="17">
        <v>0</v>
      </c>
      <c r="P12" s="15">
        <v>0</v>
      </c>
      <c r="Q12" s="15">
        <v>0</v>
      </c>
      <c r="R12" s="17">
        <v>0</v>
      </c>
      <c r="S12" s="15">
        <v>0</v>
      </c>
      <c r="T12" s="15">
        <v>0</v>
      </c>
      <c r="U12" s="17">
        <v>0</v>
      </c>
      <c r="V12" s="15">
        <v>0</v>
      </c>
      <c r="W12" s="15">
        <v>0</v>
      </c>
      <c r="X12" s="17">
        <v>0</v>
      </c>
      <c r="Y12" s="15">
        <v>0</v>
      </c>
      <c r="Z12" s="15">
        <v>0</v>
      </c>
      <c r="AA12" s="17">
        <v>0</v>
      </c>
      <c r="AB12" s="15">
        <v>0</v>
      </c>
      <c r="AC12" s="15">
        <v>0</v>
      </c>
      <c r="AD12" s="17">
        <v>0</v>
      </c>
      <c r="AE12" s="15">
        <v>0</v>
      </c>
      <c r="AF12" s="15">
        <v>0</v>
      </c>
      <c r="AG12" s="17">
        <v>0</v>
      </c>
      <c r="AH12" s="15">
        <v>0</v>
      </c>
      <c r="AI12" s="15">
        <v>0</v>
      </c>
      <c r="AJ12" s="17">
        <v>0</v>
      </c>
      <c r="AK12" s="15">
        <v>0</v>
      </c>
      <c r="AL12" s="15">
        <v>0</v>
      </c>
      <c r="AM12" s="17">
        <v>0</v>
      </c>
      <c r="AN12" s="15">
        <v>0</v>
      </c>
      <c r="AO12" s="15">
        <v>0</v>
      </c>
      <c r="AP12" s="17">
        <v>0</v>
      </c>
      <c r="AQ12" s="15">
        <v>0</v>
      </c>
      <c r="AR12" s="15">
        <v>0</v>
      </c>
      <c r="AS12" s="17">
        <v>0</v>
      </c>
      <c r="AT12" s="15">
        <v>0</v>
      </c>
      <c r="AU12" s="15">
        <v>0</v>
      </c>
      <c r="AV12" s="17">
        <v>0</v>
      </c>
      <c r="AW12" s="15">
        <v>0</v>
      </c>
      <c r="AX12" s="15">
        <v>0</v>
      </c>
      <c r="AY12" s="17">
        <v>0</v>
      </c>
      <c r="AZ12" s="15">
        <v>0</v>
      </c>
      <c r="BA12" s="15">
        <v>0</v>
      </c>
      <c r="BB12" s="17">
        <v>0</v>
      </c>
      <c r="BC12" s="15">
        <v>0</v>
      </c>
      <c r="BD12" s="15">
        <v>0</v>
      </c>
      <c r="BE12" s="17">
        <v>0</v>
      </c>
      <c r="BF12" s="15">
        <v>0</v>
      </c>
      <c r="BG12" s="15">
        <v>0</v>
      </c>
      <c r="BH12" s="17">
        <v>0</v>
      </c>
      <c r="BI12" s="15">
        <v>0</v>
      </c>
      <c r="BJ12" s="15">
        <v>0</v>
      </c>
      <c r="BK12" s="17">
        <v>0</v>
      </c>
      <c r="BL12" s="15">
        <v>0</v>
      </c>
      <c r="BM12" s="15">
        <v>0</v>
      </c>
      <c r="BN12" s="17">
        <v>0</v>
      </c>
      <c r="BO12" s="15">
        <v>0</v>
      </c>
      <c r="BP12" s="15">
        <v>0</v>
      </c>
      <c r="BQ12" s="17">
        <v>0</v>
      </c>
      <c r="BR12" s="15">
        <v>0</v>
      </c>
      <c r="BS12" s="15">
        <v>0</v>
      </c>
      <c r="BT12" s="17">
        <v>0</v>
      </c>
      <c r="BU12" s="15">
        <v>0</v>
      </c>
      <c r="BV12" s="15">
        <v>0</v>
      </c>
      <c r="BW12" s="17">
        <v>0</v>
      </c>
      <c r="BX12" s="15">
        <v>0</v>
      </c>
      <c r="BY12" s="53">
        <v>0</v>
      </c>
      <c r="BZ12" s="17">
        <v>0</v>
      </c>
      <c r="CA12" s="15">
        <v>0</v>
      </c>
      <c r="CB12" s="15">
        <v>0</v>
      </c>
      <c r="CC12" s="17">
        <v>0</v>
      </c>
      <c r="CD12" s="15">
        <v>0</v>
      </c>
      <c r="CE12" s="15">
        <v>0</v>
      </c>
      <c r="CF12" s="17">
        <v>0</v>
      </c>
      <c r="CG12" s="15">
        <v>0</v>
      </c>
      <c r="CH12" s="15">
        <v>0</v>
      </c>
      <c r="CI12" s="17">
        <v>0</v>
      </c>
      <c r="CJ12" s="15">
        <v>0</v>
      </c>
      <c r="CK12" s="15">
        <v>0</v>
      </c>
      <c r="CL12" s="17">
        <v>0</v>
      </c>
      <c r="CM12" s="15">
        <v>0</v>
      </c>
      <c r="CN12" s="15">
        <v>0</v>
      </c>
      <c r="CO12" s="17">
        <v>0</v>
      </c>
      <c r="CP12" s="15">
        <v>0</v>
      </c>
      <c r="CQ12" s="15">
        <v>0</v>
      </c>
      <c r="CR12" s="17">
        <v>0</v>
      </c>
      <c r="CS12" s="15">
        <v>0</v>
      </c>
      <c r="CT12" s="15">
        <v>0</v>
      </c>
      <c r="CU12" s="17">
        <v>0</v>
      </c>
      <c r="CV12" s="15">
        <v>0</v>
      </c>
      <c r="CW12" s="15">
        <v>0</v>
      </c>
      <c r="CX12" s="17">
        <v>0</v>
      </c>
      <c r="CY12" s="15">
        <v>0</v>
      </c>
      <c r="CZ12" s="15">
        <v>0</v>
      </c>
      <c r="DA12" s="17">
        <v>0</v>
      </c>
      <c r="DB12" s="15">
        <v>0</v>
      </c>
      <c r="DC12" s="15">
        <v>0</v>
      </c>
      <c r="DD12" s="17">
        <v>0</v>
      </c>
      <c r="DE12" s="15">
        <v>0</v>
      </c>
      <c r="DF12" s="15">
        <v>0</v>
      </c>
      <c r="DG12" s="17">
        <v>0</v>
      </c>
      <c r="DH12" s="15">
        <v>0</v>
      </c>
      <c r="DI12" s="15">
        <v>0</v>
      </c>
      <c r="DJ12" s="17">
        <v>0</v>
      </c>
      <c r="DK12" s="15">
        <v>0</v>
      </c>
      <c r="DL12" s="15">
        <v>0</v>
      </c>
      <c r="DM12" s="17">
        <v>0</v>
      </c>
      <c r="DN12" s="15">
        <v>0</v>
      </c>
      <c r="DO12" s="15">
        <v>0</v>
      </c>
      <c r="DP12" s="17">
        <v>0</v>
      </c>
      <c r="DQ12" s="15">
        <v>0</v>
      </c>
      <c r="DR12" s="15">
        <v>0</v>
      </c>
      <c r="DS12" s="17">
        <v>0</v>
      </c>
      <c r="DT12" s="15">
        <v>0</v>
      </c>
      <c r="DU12" s="15">
        <v>0</v>
      </c>
      <c r="DV12" s="17">
        <v>0</v>
      </c>
      <c r="DW12" s="15">
        <v>0</v>
      </c>
      <c r="DX12" s="15">
        <v>0</v>
      </c>
      <c r="DY12" s="17">
        <v>0</v>
      </c>
      <c r="DZ12" s="15">
        <v>0</v>
      </c>
      <c r="EA12" s="15">
        <v>0</v>
      </c>
      <c r="EB12" s="17">
        <v>0</v>
      </c>
      <c r="EC12" s="15">
        <v>0</v>
      </c>
      <c r="ED12" s="15">
        <v>0</v>
      </c>
      <c r="EE12" s="17">
        <v>0</v>
      </c>
      <c r="EF12" s="15">
        <v>0</v>
      </c>
      <c r="EG12" s="15">
        <v>0</v>
      </c>
      <c r="EH12" s="17">
        <v>0</v>
      </c>
      <c r="EI12" s="15">
        <v>0</v>
      </c>
      <c r="EJ12" s="15">
        <v>0</v>
      </c>
      <c r="EK12" s="17">
        <v>0</v>
      </c>
      <c r="EL12" s="15">
        <v>0</v>
      </c>
      <c r="EM12" s="15">
        <v>0</v>
      </c>
      <c r="EN12" s="17">
        <v>0</v>
      </c>
      <c r="EO12" s="15">
        <v>0</v>
      </c>
      <c r="EP12" s="15">
        <v>0</v>
      </c>
      <c r="EQ12" s="17">
        <v>0</v>
      </c>
      <c r="ER12" s="15">
        <v>0</v>
      </c>
      <c r="ES12" s="15">
        <v>0</v>
      </c>
      <c r="ET12" s="17">
        <v>0</v>
      </c>
      <c r="EU12" s="15">
        <v>0</v>
      </c>
      <c r="EV12" s="15">
        <v>0</v>
      </c>
      <c r="EW12" s="17">
        <v>0</v>
      </c>
      <c r="EX12" s="15">
        <v>0</v>
      </c>
      <c r="EY12" s="15">
        <v>0</v>
      </c>
      <c r="EZ12" s="17">
        <v>0</v>
      </c>
      <c r="FA12" s="15">
        <v>0</v>
      </c>
      <c r="FB12" s="15">
        <v>0</v>
      </c>
      <c r="FC12" s="17">
        <v>0</v>
      </c>
      <c r="FD12" s="55"/>
      <c r="FE12" s="56"/>
    </row>
    <row r="13" spans="1:161" ht="12.75">
      <c r="A13" s="49">
        <v>43844</v>
      </c>
      <c r="B13" s="68">
        <f t="shared" ref="B13:D13" si="16">SUM(P13,S13,V13,Y13,AK13,AN13,AQ13,AT13,AW13,AZ13,BF13,BR13,BU13,BX13,CM13,CP13,CS13,DH13,DB13,DK13,DW13,DZ13,EC13,EF13,ER13,EU13,)</f>
        <v>0</v>
      </c>
      <c r="C13" s="68">
        <f t="shared" si="16"/>
        <v>0</v>
      </c>
      <c r="D13" s="68">
        <f t="shared" si="16"/>
        <v>0</v>
      </c>
      <c r="E13" s="69">
        <f t="shared" si="1"/>
        <v>0</v>
      </c>
      <c r="F13" s="47">
        <f t="shared" ref="F13:H13" si="17">SUM(P13,S13,V13,AE13,AH13,AK13,AN13,AQ13,AT13,AW13,AZ13,BF13,BL13,BR13,BX13,CG13,CM13,CP13,CV13,DK13,DN13,DQ13,DT13,DZ13,EL13,EO13,ER13)</f>
        <v>0</v>
      </c>
      <c r="G13" s="41">
        <f t="shared" si="17"/>
        <v>0</v>
      </c>
      <c r="H13" s="41">
        <f t="shared" si="17"/>
        <v>0</v>
      </c>
      <c r="I13" s="51">
        <f t="shared" si="3"/>
        <v>0</v>
      </c>
      <c r="J13" s="50">
        <v>0</v>
      </c>
      <c r="K13" s="50">
        <v>0</v>
      </c>
      <c r="L13" s="52">
        <v>0</v>
      </c>
      <c r="M13" s="50">
        <v>0</v>
      </c>
      <c r="N13" s="50">
        <v>0</v>
      </c>
      <c r="O13" s="52">
        <v>0</v>
      </c>
      <c r="P13" s="50">
        <v>0</v>
      </c>
      <c r="Q13" s="50">
        <v>0</v>
      </c>
      <c r="R13" s="52">
        <v>0</v>
      </c>
      <c r="S13" s="50">
        <v>0</v>
      </c>
      <c r="T13" s="50">
        <v>0</v>
      </c>
      <c r="U13" s="52">
        <v>0</v>
      </c>
      <c r="V13" s="50">
        <v>0</v>
      </c>
      <c r="W13" s="50">
        <v>0</v>
      </c>
      <c r="X13" s="52">
        <v>0</v>
      </c>
      <c r="Y13" s="50">
        <v>0</v>
      </c>
      <c r="Z13" s="50">
        <v>0</v>
      </c>
      <c r="AA13" s="52">
        <v>0</v>
      </c>
      <c r="AB13" s="50">
        <v>0</v>
      </c>
      <c r="AC13" s="50">
        <v>0</v>
      </c>
      <c r="AD13" s="52">
        <v>0</v>
      </c>
      <c r="AE13" s="50">
        <v>0</v>
      </c>
      <c r="AF13" s="50">
        <v>0</v>
      </c>
      <c r="AG13" s="52">
        <v>0</v>
      </c>
      <c r="AH13" s="50">
        <v>0</v>
      </c>
      <c r="AI13" s="50">
        <v>0</v>
      </c>
      <c r="AJ13" s="52">
        <v>0</v>
      </c>
      <c r="AK13" s="50">
        <v>0</v>
      </c>
      <c r="AL13" s="50">
        <v>0</v>
      </c>
      <c r="AM13" s="52">
        <v>0</v>
      </c>
      <c r="AN13" s="50">
        <v>0</v>
      </c>
      <c r="AO13" s="50">
        <v>0</v>
      </c>
      <c r="AP13" s="52">
        <v>0</v>
      </c>
      <c r="AQ13" s="50">
        <v>0</v>
      </c>
      <c r="AR13" s="50">
        <v>0</v>
      </c>
      <c r="AS13" s="52">
        <v>0</v>
      </c>
      <c r="AT13" s="50">
        <v>0</v>
      </c>
      <c r="AU13" s="50">
        <v>0</v>
      </c>
      <c r="AV13" s="52">
        <v>0</v>
      </c>
      <c r="AW13" s="50">
        <v>0</v>
      </c>
      <c r="AX13" s="50">
        <v>0</v>
      </c>
      <c r="AY13" s="52">
        <v>0</v>
      </c>
      <c r="AZ13" s="50">
        <v>0</v>
      </c>
      <c r="BA13" s="50">
        <v>0</v>
      </c>
      <c r="BB13" s="52">
        <v>0</v>
      </c>
      <c r="BC13" s="50">
        <v>0</v>
      </c>
      <c r="BD13" s="50">
        <v>0</v>
      </c>
      <c r="BE13" s="52">
        <v>0</v>
      </c>
      <c r="BF13" s="50">
        <v>0</v>
      </c>
      <c r="BG13" s="50">
        <v>0</v>
      </c>
      <c r="BH13" s="52">
        <v>0</v>
      </c>
      <c r="BI13" s="50">
        <v>0</v>
      </c>
      <c r="BJ13" s="50">
        <v>0</v>
      </c>
      <c r="BK13" s="52">
        <v>0</v>
      </c>
      <c r="BL13" s="50">
        <v>0</v>
      </c>
      <c r="BM13" s="50">
        <v>0</v>
      </c>
      <c r="BN13" s="52">
        <v>0</v>
      </c>
      <c r="BO13" s="50">
        <v>0</v>
      </c>
      <c r="BP13" s="50">
        <v>0</v>
      </c>
      <c r="BQ13" s="52">
        <v>0</v>
      </c>
      <c r="BR13" s="50">
        <v>0</v>
      </c>
      <c r="BS13" s="50">
        <v>0</v>
      </c>
      <c r="BT13" s="52">
        <v>0</v>
      </c>
      <c r="BU13" s="50">
        <v>0</v>
      </c>
      <c r="BV13" s="50">
        <v>0</v>
      </c>
      <c r="BW13" s="52">
        <v>0</v>
      </c>
      <c r="BX13" s="50">
        <v>0</v>
      </c>
      <c r="BY13" s="70">
        <v>0</v>
      </c>
      <c r="BZ13" s="52">
        <v>0</v>
      </c>
      <c r="CA13" s="50">
        <v>0</v>
      </c>
      <c r="CB13" s="50">
        <v>0</v>
      </c>
      <c r="CC13" s="52">
        <v>0</v>
      </c>
      <c r="CD13" s="50">
        <v>0</v>
      </c>
      <c r="CE13" s="50">
        <v>0</v>
      </c>
      <c r="CF13" s="52">
        <v>0</v>
      </c>
      <c r="CG13" s="50">
        <v>0</v>
      </c>
      <c r="CH13" s="50">
        <v>0</v>
      </c>
      <c r="CI13" s="52">
        <v>0</v>
      </c>
      <c r="CJ13" s="50">
        <v>0</v>
      </c>
      <c r="CK13" s="50">
        <v>0</v>
      </c>
      <c r="CL13" s="52">
        <v>0</v>
      </c>
      <c r="CM13" s="50">
        <v>0</v>
      </c>
      <c r="CN13" s="50">
        <v>0</v>
      </c>
      <c r="CO13" s="52">
        <v>0</v>
      </c>
      <c r="CP13" s="50">
        <v>0</v>
      </c>
      <c r="CQ13" s="50">
        <v>0</v>
      </c>
      <c r="CR13" s="52">
        <v>0</v>
      </c>
      <c r="CS13" s="50">
        <v>0</v>
      </c>
      <c r="CT13" s="50">
        <v>0</v>
      </c>
      <c r="CU13" s="52">
        <v>0</v>
      </c>
      <c r="CV13" s="50">
        <v>0</v>
      </c>
      <c r="CW13" s="50">
        <v>0</v>
      </c>
      <c r="CX13" s="52">
        <v>0</v>
      </c>
      <c r="CY13" s="50">
        <v>0</v>
      </c>
      <c r="CZ13" s="50">
        <v>0</v>
      </c>
      <c r="DA13" s="52">
        <v>0</v>
      </c>
      <c r="DB13" s="50">
        <v>0</v>
      </c>
      <c r="DC13" s="50">
        <v>0</v>
      </c>
      <c r="DD13" s="52">
        <v>0</v>
      </c>
      <c r="DE13" s="50">
        <v>0</v>
      </c>
      <c r="DF13" s="50">
        <v>0</v>
      </c>
      <c r="DG13" s="52">
        <v>0</v>
      </c>
      <c r="DH13" s="50">
        <v>0</v>
      </c>
      <c r="DI13" s="50">
        <v>0</v>
      </c>
      <c r="DJ13" s="52">
        <v>0</v>
      </c>
      <c r="DK13" s="50">
        <v>0</v>
      </c>
      <c r="DL13" s="50">
        <v>0</v>
      </c>
      <c r="DM13" s="52">
        <v>0</v>
      </c>
      <c r="DN13" s="50">
        <v>0</v>
      </c>
      <c r="DO13" s="50">
        <v>0</v>
      </c>
      <c r="DP13" s="52">
        <v>0</v>
      </c>
      <c r="DQ13" s="50">
        <v>0</v>
      </c>
      <c r="DR13" s="50">
        <v>0</v>
      </c>
      <c r="DS13" s="52">
        <v>0</v>
      </c>
      <c r="DT13" s="50">
        <v>0</v>
      </c>
      <c r="DU13" s="50">
        <v>0</v>
      </c>
      <c r="DV13" s="52">
        <v>0</v>
      </c>
      <c r="DW13" s="50">
        <v>0</v>
      </c>
      <c r="DX13" s="50">
        <v>0</v>
      </c>
      <c r="DY13" s="52">
        <v>0</v>
      </c>
      <c r="DZ13" s="50">
        <v>0</v>
      </c>
      <c r="EA13" s="50">
        <v>0</v>
      </c>
      <c r="EB13" s="52">
        <v>0</v>
      </c>
      <c r="EC13" s="50">
        <v>0</v>
      </c>
      <c r="ED13" s="50">
        <v>0</v>
      </c>
      <c r="EE13" s="52">
        <v>0</v>
      </c>
      <c r="EF13" s="50">
        <v>0</v>
      </c>
      <c r="EG13" s="50">
        <v>0</v>
      </c>
      <c r="EH13" s="52">
        <v>0</v>
      </c>
      <c r="EI13" s="50">
        <v>0</v>
      </c>
      <c r="EJ13" s="50">
        <v>0</v>
      </c>
      <c r="EK13" s="52">
        <v>0</v>
      </c>
      <c r="EL13" s="50">
        <v>0</v>
      </c>
      <c r="EM13" s="50">
        <v>0</v>
      </c>
      <c r="EN13" s="52">
        <v>0</v>
      </c>
      <c r="EO13" s="50">
        <v>0</v>
      </c>
      <c r="EP13" s="50">
        <v>0</v>
      </c>
      <c r="EQ13" s="52">
        <v>0</v>
      </c>
      <c r="ER13" s="50">
        <v>0</v>
      </c>
      <c r="ES13" s="50">
        <v>0</v>
      </c>
      <c r="ET13" s="52">
        <v>0</v>
      </c>
      <c r="EU13" s="50">
        <v>0</v>
      </c>
      <c r="EV13" s="50">
        <v>0</v>
      </c>
      <c r="EW13" s="52">
        <v>0</v>
      </c>
      <c r="EX13" s="50">
        <v>0</v>
      </c>
      <c r="EY13" s="50">
        <v>0</v>
      </c>
      <c r="EZ13" s="52">
        <v>0</v>
      </c>
      <c r="FA13" s="50">
        <v>0</v>
      </c>
      <c r="FB13" s="50">
        <v>0</v>
      </c>
      <c r="FC13" s="52">
        <v>0</v>
      </c>
      <c r="FD13" s="54"/>
      <c r="FE13" s="54"/>
    </row>
    <row r="14" spans="1:161" ht="12.75">
      <c r="A14" s="40">
        <v>43845</v>
      </c>
      <c r="B14" s="44">
        <f t="shared" ref="B14:D14" si="18">SUM(P14,S14,V14,Y14,AK14,AN14,AQ14,AT14,AW14,AZ14,BF14,BR14,BU14,BX14,CM14,CP14,CS14,DH14,DB14,DK14,DW14,DZ14,EC14,EF14,ER14,EU14,)</f>
        <v>0</v>
      </c>
      <c r="C14" s="44">
        <f t="shared" si="18"/>
        <v>0</v>
      </c>
      <c r="D14" s="44">
        <f t="shared" si="18"/>
        <v>0</v>
      </c>
      <c r="E14" s="45">
        <f t="shared" si="1"/>
        <v>0</v>
      </c>
      <c r="F14" s="47">
        <f t="shared" ref="F14:H14" si="19">SUM(P14,S14,V14,AE14,AH14,AK14,AN14,AQ14,AT14,AW14,AZ14,BF14,BL14,BR14,BX14,CG14,CM14,CP14,CV14,DK14,DN14,DQ14,DT14,DZ14,EL14,EO14,ER14)</f>
        <v>0</v>
      </c>
      <c r="G14" s="41">
        <f t="shared" si="19"/>
        <v>0</v>
      </c>
      <c r="H14" s="41">
        <f t="shared" si="19"/>
        <v>0</v>
      </c>
      <c r="I14" s="51">
        <f t="shared" si="3"/>
        <v>0</v>
      </c>
      <c r="J14" s="15">
        <v>0</v>
      </c>
      <c r="K14" s="15">
        <v>0</v>
      </c>
      <c r="L14" s="17">
        <v>0</v>
      </c>
      <c r="M14" s="15">
        <v>0</v>
      </c>
      <c r="N14" s="15">
        <v>0</v>
      </c>
      <c r="O14" s="17">
        <v>0</v>
      </c>
      <c r="P14" s="15">
        <v>0</v>
      </c>
      <c r="Q14" s="15">
        <v>0</v>
      </c>
      <c r="R14" s="17">
        <v>0</v>
      </c>
      <c r="S14" s="15">
        <v>0</v>
      </c>
      <c r="T14" s="15">
        <v>0</v>
      </c>
      <c r="U14" s="17">
        <v>0</v>
      </c>
      <c r="V14" s="15">
        <v>0</v>
      </c>
      <c r="W14" s="15">
        <v>0</v>
      </c>
      <c r="X14" s="17">
        <v>0</v>
      </c>
      <c r="Y14" s="15">
        <v>0</v>
      </c>
      <c r="Z14" s="15">
        <v>0</v>
      </c>
      <c r="AA14" s="17">
        <v>0</v>
      </c>
      <c r="AB14" s="15">
        <v>0</v>
      </c>
      <c r="AC14" s="15">
        <v>0</v>
      </c>
      <c r="AD14" s="17">
        <v>0</v>
      </c>
      <c r="AE14" s="15">
        <v>0</v>
      </c>
      <c r="AF14" s="15">
        <v>0</v>
      </c>
      <c r="AG14" s="17">
        <v>0</v>
      </c>
      <c r="AH14" s="15">
        <v>0</v>
      </c>
      <c r="AI14" s="15">
        <v>0</v>
      </c>
      <c r="AJ14" s="17">
        <v>0</v>
      </c>
      <c r="AK14" s="15">
        <v>0</v>
      </c>
      <c r="AL14" s="15">
        <v>0</v>
      </c>
      <c r="AM14" s="17">
        <v>0</v>
      </c>
      <c r="AN14" s="15">
        <v>0</v>
      </c>
      <c r="AO14" s="15">
        <v>0</v>
      </c>
      <c r="AP14" s="17">
        <v>0</v>
      </c>
      <c r="AQ14" s="15">
        <v>0</v>
      </c>
      <c r="AR14" s="15">
        <v>0</v>
      </c>
      <c r="AS14" s="17">
        <v>0</v>
      </c>
      <c r="AT14" s="15">
        <v>0</v>
      </c>
      <c r="AU14" s="15">
        <v>0</v>
      </c>
      <c r="AV14" s="17">
        <v>0</v>
      </c>
      <c r="AW14" s="15">
        <v>0</v>
      </c>
      <c r="AX14" s="15">
        <v>0</v>
      </c>
      <c r="AY14" s="17">
        <v>0</v>
      </c>
      <c r="AZ14" s="15">
        <v>0</v>
      </c>
      <c r="BA14" s="15">
        <v>0</v>
      </c>
      <c r="BB14" s="17">
        <v>0</v>
      </c>
      <c r="BC14" s="15">
        <v>0</v>
      </c>
      <c r="BD14" s="15">
        <v>0</v>
      </c>
      <c r="BE14" s="17">
        <v>0</v>
      </c>
      <c r="BF14" s="15">
        <v>0</v>
      </c>
      <c r="BG14" s="15">
        <v>0</v>
      </c>
      <c r="BH14" s="17">
        <v>0</v>
      </c>
      <c r="BI14" s="15">
        <v>0</v>
      </c>
      <c r="BJ14" s="15">
        <v>0</v>
      </c>
      <c r="BK14" s="17">
        <v>0</v>
      </c>
      <c r="BL14" s="15">
        <v>0</v>
      </c>
      <c r="BM14" s="15">
        <v>0</v>
      </c>
      <c r="BN14" s="17">
        <v>0</v>
      </c>
      <c r="BO14" s="15">
        <v>0</v>
      </c>
      <c r="BP14" s="15">
        <v>0</v>
      </c>
      <c r="BQ14" s="17">
        <v>0</v>
      </c>
      <c r="BR14" s="15">
        <v>0</v>
      </c>
      <c r="BS14" s="15">
        <v>0</v>
      </c>
      <c r="BT14" s="17">
        <v>0</v>
      </c>
      <c r="BU14" s="15">
        <v>0</v>
      </c>
      <c r="BV14" s="15">
        <v>0</v>
      </c>
      <c r="BW14" s="17">
        <v>0</v>
      </c>
      <c r="BX14" s="15">
        <v>0</v>
      </c>
      <c r="BY14" s="53">
        <v>0</v>
      </c>
      <c r="BZ14" s="17">
        <v>0</v>
      </c>
      <c r="CA14" s="15">
        <v>0</v>
      </c>
      <c r="CB14" s="15">
        <v>0</v>
      </c>
      <c r="CC14" s="17">
        <v>0</v>
      </c>
      <c r="CD14" s="15">
        <v>0</v>
      </c>
      <c r="CE14" s="15">
        <v>0</v>
      </c>
      <c r="CF14" s="17">
        <v>0</v>
      </c>
      <c r="CG14" s="15">
        <v>0</v>
      </c>
      <c r="CH14" s="15">
        <v>0</v>
      </c>
      <c r="CI14" s="17">
        <v>0</v>
      </c>
      <c r="CJ14" s="15">
        <v>0</v>
      </c>
      <c r="CK14" s="15">
        <v>0</v>
      </c>
      <c r="CL14" s="17">
        <v>0</v>
      </c>
      <c r="CM14" s="15">
        <v>0</v>
      </c>
      <c r="CN14" s="15">
        <v>0</v>
      </c>
      <c r="CO14" s="17">
        <v>0</v>
      </c>
      <c r="CP14" s="15">
        <v>0</v>
      </c>
      <c r="CQ14" s="15">
        <v>0</v>
      </c>
      <c r="CR14" s="17">
        <v>0</v>
      </c>
      <c r="CS14" s="15">
        <v>0</v>
      </c>
      <c r="CT14" s="15">
        <v>0</v>
      </c>
      <c r="CU14" s="17">
        <v>0</v>
      </c>
      <c r="CV14" s="15">
        <v>0</v>
      </c>
      <c r="CW14" s="15">
        <v>0</v>
      </c>
      <c r="CX14" s="17">
        <v>0</v>
      </c>
      <c r="CY14" s="15">
        <v>0</v>
      </c>
      <c r="CZ14" s="15">
        <v>0</v>
      </c>
      <c r="DA14" s="17">
        <v>0</v>
      </c>
      <c r="DB14" s="15">
        <v>0</v>
      </c>
      <c r="DC14" s="15">
        <v>0</v>
      </c>
      <c r="DD14" s="17">
        <v>0</v>
      </c>
      <c r="DE14" s="15">
        <v>0</v>
      </c>
      <c r="DF14" s="15">
        <v>0</v>
      </c>
      <c r="DG14" s="17">
        <v>0</v>
      </c>
      <c r="DH14" s="15">
        <v>0</v>
      </c>
      <c r="DI14" s="15">
        <v>0</v>
      </c>
      <c r="DJ14" s="17">
        <v>0</v>
      </c>
      <c r="DK14" s="15">
        <v>0</v>
      </c>
      <c r="DL14" s="15">
        <v>0</v>
      </c>
      <c r="DM14" s="17">
        <v>0</v>
      </c>
      <c r="DN14" s="15">
        <v>0</v>
      </c>
      <c r="DO14" s="15">
        <v>0</v>
      </c>
      <c r="DP14" s="17">
        <v>0</v>
      </c>
      <c r="DQ14" s="15">
        <v>0</v>
      </c>
      <c r="DR14" s="15">
        <v>0</v>
      </c>
      <c r="DS14" s="17">
        <v>0</v>
      </c>
      <c r="DT14" s="15">
        <v>0</v>
      </c>
      <c r="DU14" s="15">
        <v>0</v>
      </c>
      <c r="DV14" s="17">
        <v>0</v>
      </c>
      <c r="DW14" s="15">
        <v>0</v>
      </c>
      <c r="DX14" s="15">
        <v>0</v>
      </c>
      <c r="DY14" s="17">
        <v>0</v>
      </c>
      <c r="DZ14" s="15">
        <v>0</v>
      </c>
      <c r="EA14" s="15">
        <v>0</v>
      </c>
      <c r="EB14" s="17">
        <v>0</v>
      </c>
      <c r="EC14" s="15">
        <v>0</v>
      </c>
      <c r="ED14" s="15">
        <v>0</v>
      </c>
      <c r="EE14" s="17">
        <v>0</v>
      </c>
      <c r="EF14" s="15">
        <v>0</v>
      </c>
      <c r="EG14" s="15">
        <v>0</v>
      </c>
      <c r="EH14" s="17">
        <v>0</v>
      </c>
      <c r="EI14" s="15">
        <v>0</v>
      </c>
      <c r="EJ14" s="15">
        <v>0</v>
      </c>
      <c r="EK14" s="17">
        <v>0</v>
      </c>
      <c r="EL14" s="15">
        <v>0</v>
      </c>
      <c r="EM14" s="15">
        <v>0</v>
      </c>
      <c r="EN14" s="17">
        <v>0</v>
      </c>
      <c r="EO14" s="15">
        <v>0</v>
      </c>
      <c r="EP14" s="15">
        <v>0</v>
      </c>
      <c r="EQ14" s="17">
        <v>0</v>
      </c>
      <c r="ER14" s="15">
        <v>0</v>
      </c>
      <c r="ES14" s="15">
        <v>0</v>
      </c>
      <c r="ET14" s="17">
        <v>0</v>
      </c>
      <c r="EU14" s="15">
        <v>0</v>
      </c>
      <c r="EV14" s="15">
        <v>0</v>
      </c>
      <c r="EW14" s="17">
        <v>0</v>
      </c>
      <c r="EX14" s="15">
        <v>0</v>
      </c>
      <c r="EY14" s="15">
        <v>0</v>
      </c>
      <c r="EZ14" s="17">
        <v>0</v>
      </c>
      <c r="FA14" s="15">
        <v>0</v>
      </c>
      <c r="FB14" s="15">
        <v>0</v>
      </c>
      <c r="FC14" s="17">
        <v>0</v>
      </c>
      <c r="FD14" s="55"/>
      <c r="FE14" s="56"/>
    </row>
    <row r="15" spans="1:161" ht="12.75">
      <c r="A15" s="40">
        <v>43846</v>
      </c>
      <c r="B15" s="44">
        <f t="shared" ref="B15:D15" si="20">SUM(P15,S15,V15,Y15,AK15,AN15,AQ15,AT15,AW15,AZ15,BF15,BR15,BU15,BX15,CM15,CP15,CS15,DH15,DB15,DK15,DW15,DZ15,EC15,EF15,ER15,EU15,)</f>
        <v>0</v>
      </c>
      <c r="C15" s="44">
        <f t="shared" si="20"/>
        <v>0</v>
      </c>
      <c r="D15" s="44">
        <f t="shared" si="20"/>
        <v>0</v>
      </c>
      <c r="E15" s="45">
        <f t="shared" si="1"/>
        <v>0</v>
      </c>
      <c r="F15" s="47">
        <f t="shared" ref="F15:H15" si="21">SUM(P15,S15,V15,AE15,AH15,AK15,AN15,AQ15,AT15,AW15,AZ15,BF15,BL15,BR15,BX15,CG15,CM15,CP15,CV15,DK15,DN15,DQ15,DT15,DZ15,EL15,EO15,ER15)</f>
        <v>0</v>
      </c>
      <c r="G15" s="41">
        <f t="shared" si="21"/>
        <v>0</v>
      </c>
      <c r="H15" s="41">
        <f t="shared" si="21"/>
        <v>0</v>
      </c>
      <c r="I15" s="51">
        <f t="shared" si="3"/>
        <v>0</v>
      </c>
      <c r="J15" s="15">
        <v>0</v>
      </c>
      <c r="K15" s="15">
        <v>0</v>
      </c>
      <c r="L15" s="17">
        <v>0</v>
      </c>
      <c r="M15" s="15">
        <v>0</v>
      </c>
      <c r="N15" s="15">
        <v>0</v>
      </c>
      <c r="O15" s="17">
        <v>0</v>
      </c>
      <c r="P15" s="15">
        <v>0</v>
      </c>
      <c r="Q15" s="15">
        <v>0</v>
      </c>
      <c r="R15" s="17">
        <v>0</v>
      </c>
      <c r="S15" s="15">
        <v>0</v>
      </c>
      <c r="T15" s="15">
        <v>0</v>
      </c>
      <c r="U15" s="17">
        <v>0</v>
      </c>
      <c r="V15" s="15">
        <v>0</v>
      </c>
      <c r="W15" s="15">
        <v>0</v>
      </c>
      <c r="X15" s="17">
        <v>0</v>
      </c>
      <c r="Y15" s="15">
        <v>0</v>
      </c>
      <c r="Z15" s="15">
        <v>0</v>
      </c>
      <c r="AA15" s="17">
        <v>0</v>
      </c>
      <c r="AB15" s="15">
        <v>0</v>
      </c>
      <c r="AC15" s="15">
        <v>0</v>
      </c>
      <c r="AD15" s="17">
        <v>0</v>
      </c>
      <c r="AE15" s="15">
        <v>0</v>
      </c>
      <c r="AF15" s="15">
        <v>0</v>
      </c>
      <c r="AG15" s="17">
        <v>0</v>
      </c>
      <c r="AH15" s="15">
        <v>0</v>
      </c>
      <c r="AI15" s="15">
        <v>0</v>
      </c>
      <c r="AJ15" s="17">
        <v>0</v>
      </c>
      <c r="AK15" s="15">
        <v>0</v>
      </c>
      <c r="AL15" s="15">
        <v>0</v>
      </c>
      <c r="AM15" s="17">
        <v>0</v>
      </c>
      <c r="AN15" s="15">
        <v>0</v>
      </c>
      <c r="AO15" s="15">
        <v>0</v>
      </c>
      <c r="AP15" s="17">
        <v>0</v>
      </c>
      <c r="AQ15" s="15">
        <v>0</v>
      </c>
      <c r="AR15" s="15">
        <v>0</v>
      </c>
      <c r="AS15" s="17">
        <v>0</v>
      </c>
      <c r="AT15" s="15">
        <v>0</v>
      </c>
      <c r="AU15" s="15">
        <v>0</v>
      </c>
      <c r="AV15" s="17">
        <v>0</v>
      </c>
      <c r="AW15" s="15">
        <v>0</v>
      </c>
      <c r="AX15" s="15">
        <v>0</v>
      </c>
      <c r="AY15" s="17">
        <v>0</v>
      </c>
      <c r="AZ15" s="15">
        <v>0</v>
      </c>
      <c r="BA15" s="15">
        <v>0</v>
      </c>
      <c r="BB15" s="17">
        <v>0</v>
      </c>
      <c r="BC15" s="15">
        <v>0</v>
      </c>
      <c r="BD15" s="15">
        <v>0</v>
      </c>
      <c r="BE15" s="17">
        <v>0</v>
      </c>
      <c r="BF15" s="15">
        <v>0</v>
      </c>
      <c r="BG15" s="15">
        <v>0</v>
      </c>
      <c r="BH15" s="17">
        <v>0</v>
      </c>
      <c r="BI15" s="15">
        <v>0</v>
      </c>
      <c r="BJ15" s="15">
        <v>0</v>
      </c>
      <c r="BK15" s="17">
        <v>0</v>
      </c>
      <c r="BL15" s="15">
        <v>0</v>
      </c>
      <c r="BM15" s="15">
        <v>0</v>
      </c>
      <c r="BN15" s="17">
        <v>0</v>
      </c>
      <c r="BO15" s="15">
        <v>0</v>
      </c>
      <c r="BP15" s="15">
        <v>0</v>
      </c>
      <c r="BQ15" s="17">
        <v>0</v>
      </c>
      <c r="BR15" s="15">
        <v>0</v>
      </c>
      <c r="BS15" s="15">
        <v>0</v>
      </c>
      <c r="BT15" s="17">
        <v>0</v>
      </c>
      <c r="BU15" s="15">
        <v>0</v>
      </c>
      <c r="BV15" s="15">
        <v>0</v>
      </c>
      <c r="BW15" s="17">
        <v>0</v>
      </c>
      <c r="BX15" s="15">
        <v>0</v>
      </c>
      <c r="BY15" s="53">
        <v>0</v>
      </c>
      <c r="BZ15" s="17">
        <v>0</v>
      </c>
      <c r="CA15" s="15">
        <v>0</v>
      </c>
      <c r="CB15" s="15">
        <v>0</v>
      </c>
      <c r="CC15" s="17">
        <v>0</v>
      </c>
      <c r="CD15" s="15">
        <v>0</v>
      </c>
      <c r="CE15" s="15">
        <v>0</v>
      </c>
      <c r="CF15" s="17">
        <v>0</v>
      </c>
      <c r="CG15" s="15">
        <v>0</v>
      </c>
      <c r="CH15" s="15">
        <v>0</v>
      </c>
      <c r="CI15" s="17">
        <v>0</v>
      </c>
      <c r="CJ15" s="15">
        <v>0</v>
      </c>
      <c r="CK15" s="15">
        <v>0</v>
      </c>
      <c r="CL15" s="17">
        <v>0</v>
      </c>
      <c r="CM15" s="15">
        <v>0</v>
      </c>
      <c r="CN15" s="15">
        <v>0</v>
      </c>
      <c r="CO15" s="17">
        <v>0</v>
      </c>
      <c r="CP15" s="15">
        <v>0</v>
      </c>
      <c r="CQ15" s="15">
        <v>0</v>
      </c>
      <c r="CR15" s="17">
        <v>0</v>
      </c>
      <c r="CS15" s="15">
        <v>0</v>
      </c>
      <c r="CT15" s="15">
        <v>0</v>
      </c>
      <c r="CU15" s="17">
        <v>0</v>
      </c>
      <c r="CV15" s="15">
        <v>0</v>
      </c>
      <c r="CW15" s="15">
        <v>0</v>
      </c>
      <c r="CX15" s="17">
        <v>0</v>
      </c>
      <c r="CY15" s="15">
        <v>0</v>
      </c>
      <c r="CZ15" s="15">
        <v>0</v>
      </c>
      <c r="DA15" s="17">
        <v>0</v>
      </c>
      <c r="DB15" s="15">
        <v>0</v>
      </c>
      <c r="DC15" s="15">
        <v>0</v>
      </c>
      <c r="DD15" s="17">
        <v>0</v>
      </c>
      <c r="DE15" s="15">
        <v>0</v>
      </c>
      <c r="DF15" s="15">
        <v>0</v>
      </c>
      <c r="DG15" s="17">
        <v>0</v>
      </c>
      <c r="DH15" s="15">
        <v>0</v>
      </c>
      <c r="DI15" s="15">
        <v>0</v>
      </c>
      <c r="DJ15" s="17">
        <v>0</v>
      </c>
      <c r="DK15" s="15">
        <v>0</v>
      </c>
      <c r="DL15" s="15">
        <v>0</v>
      </c>
      <c r="DM15" s="17">
        <v>0</v>
      </c>
      <c r="DN15" s="15">
        <v>0</v>
      </c>
      <c r="DO15" s="15">
        <v>0</v>
      </c>
      <c r="DP15" s="17">
        <v>0</v>
      </c>
      <c r="DQ15" s="15">
        <v>0</v>
      </c>
      <c r="DR15" s="15">
        <v>0</v>
      </c>
      <c r="DS15" s="17">
        <v>0</v>
      </c>
      <c r="DT15" s="15">
        <v>0</v>
      </c>
      <c r="DU15" s="15">
        <v>0</v>
      </c>
      <c r="DV15" s="17">
        <v>0</v>
      </c>
      <c r="DW15" s="15">
        <v>0</v>
      </c>
      <c r="DX15" s="15">
        <v>0</v>
      </c>
      <c r="DY15" s="17">
        <v>0</v>
      </c>
      <c r="DZ15" s="15">
        <v>0</v>
      </c>
      <c r="EA15" s="15">
        <v>0</v>
      </c>
      <c r="EB15" s="17">
        <v>0</v>
      </c>
      <c r="EC15" s="15">
        <v>0</v>
      </c>
      <c r="ED15" s="15">
        <v>0</v>
      </c>
      <c r="EE15" s="17">
        <v>0</v>
      </c>
      <c r="EF15" s="15">
        <v>0</v>
      </c>
      <c r="EG15" s="15">
        <v>0</v>
      </c>
      <c r="EH15" s="17">
        <v>0</v>
      </c>
      <c r="EI15" s="15">
        <v>0</v>
      </c>
      <c r="EJ15" s="15">
        <v>0</v>
      </c>
      <c r="EK15" s="17">
        <v>0</v>
      </c>
      <c r="EL15" s="15">
        <v>0</v>
      </c>
      <c r="EM15" s="15">
        <v>0</v>
      </c>
      <c r="EN15" s="17">
        <v>0</v>
      </c>
      <c r="EO15" s="15">
        <v>0</v>
      </c>
      <c r="EP15" s="15">
        <v>0</v>
      </c>
      <c r="EQ15" s="17">
        <v>0</v>
      </c>
      <c r="ER15" s="15">
        <v>0</v>
      </c>
      <c r="ES15" s="15">
        <v>0</v>
      </c>
      <c r="ET15" s="17">
        <v>0</v>
      </c>
      <c r="EU15" s="15">
        <v>0</v>
      </c>
      <c r="EV15" s="15">
        <v>0</v>
      </c>
      <c r="EW15" s="17">
        <v>0</v>
      </c>
      <c r="EX15" s="15">
        <v>0</v>
      </c>
      <c r="EY15" s="15">
        <v>0</v>
      </c>
      <c r="EZ15" s="17">
        <v>0</v>
      </c>
      <c r="FA15" s="15">
        <v>0</v>
      </c>
      <c r="FB15" s="15">
        <v>0</v>
      </c>
      <c r="FC15" s="17">
        <v>0</v>
      </c>
      <c r="FD15" s="55"/>
      <c r="FE15" s="56"/>
    </row>
    <row r="16" spans="1:161" ht="12.75">
      <c r="A16" s="49">
        <v>43847</v>
      </c>
      <c r="B16" s="68">
        <f t="shared" ref="B16:D16" si="22">SUM(P16,S16,V16,Y16,AK16,AN16,AQ16,AT16,AW16,AZ16,BF16,BR16,BU16,BX16,CM16,CP16,CS16,DH16,DB16,DK16,DW16,DZ16,EC16,EF16,ER16,EU16,)</f>
        <v>0</v>
      </c>
      <c r="C16" s="68">
        <f t="shared" si="22"/>
        <v>0</v>
      </c>
      <c r="D16" s="68">
        <f t="shared" si="22"/>
        <v>0</v>
      </c>
      <c r="E16" s="69">
        <f t="shared" si="1"/>
        <v>0</v>
      </c>
      <c r="F16" s="47">
        <f t="shared" ref="F16:H16" si="23">SUM(P16,S16,V16,AE16,AH16,AK16,AN16,AQ16,AT16,AW16,AZ16,BF16,BL16,BR16,BX16,CG16,CM16,CP16,CV16,DK16,DN16,DQ16,DT16,DZ16,EL16,EO16,ER16)</f>
        <v>0</v>
      </c>
      <c r="G16" s="41">
        <f t="shared" si="23"/>
        <v>0</v>
      </c>
      <c r="H16" s="41">
        <f t="shared" si="23"/>
        <v>0</v>
      </c>
      <c r="I16" s="51">
        <f t="shared" si="3"/>
        <v>0</v>
      </c>
      <c r="J16" s="50">
        <v>0</v>
      </c>
      <c r="K16" s="50">
        <v>0</v>
      </c>
      <c r="L16" s="52">
        <v>0</v>
      </c>
      <c r="M16" s="50">
        <v>0</v>
      </c>
      <c r="N16" s="50">
        <v>0</v>
      </c>
      <c r="O16" s="52">
        <v>0</v>
      </c>
      <c r="P16" s="50">
        <v>0</v>
      </c>
      <c r="Q16" s="50">
        <v>0</v>
      </c>
      <c r="R16" s="52">
        <v>0</v>
      </c>
      <c r="S16" s="50">
        <v>0</v>
      </c>
      <c r="T16" s="50">
        <v>0</v>
      </c>
      <c r="U16" s="52">
        <v>0</v>
      </c>
      <c r="V16" s="50">
        <v>0</v>
      </c>
      <c r="W16" s="50">
        <v>0</v>
      </c>
      <c r="X16" s="52">
        <v>0</v>
      </c>
      <c r="Y16" s="50">
        <v>0</v>
      </c>
      <c r="Z16" s="50">
        <v>0</v>
      </c>
      <c r="AA16" s="52">
        <v>0</v>
      </c>
      <c r="AB16" s="50">
        <v>0</v>
      </c>
      <c r="AC16" s="50">
        <v>0</v>
      </c>
      <c r="AD16" s="52">
        <v>0</v>
      </c>
      <c r="AE16" s="50">
        <v>0</v>
      </c>
      <c r="AF16" s="50">
        <v>0</v>
      </c>
      <c r="AG16" s="52">
        <v>0</v>
      </c>
      <c r="AH16" s="50">
        <v>0</v>
      </c>
      <c r="AI16" s="50">
        <v>0</v>
      </c>
      <c r="AJ16" s="52">
        <v>0</v>
      </c>
      <c r="AK16" s="50">
        <v>0</v>
      </c>
      <c r="AL16" s="50">
        <v>0</v>
      </c>
      <c r="AM16" s="52">
        <v>0</v>
      </c>
      <c r="AN16" s="50">
        <v>0</v>
      </c>
      <c r="AO16" s="50">
        <v>0</v>
      </c>
      <c r="AP16" s="52">
        <v>0</v>
      </c>
      <c r="AQ16" s="50">
        <v>0</v>
      </c>
      <c r="AR16" s="50">
        <v>0</v>
      </c>
      <c r="AS16" s="52">
        <v>0</v>
      </c>
      <c r="AT16" s="50">
        <v>0</v>
      </c>
      <c r="AU16" s="50">
        <v>0</v>
      </c>
      <c r="AV16" s="52">
        <v>0</v>
      </c>
      <c r="AW16" s="50">
        <v>0</v>
      </c>
      <c r="AX16" s="50">
        <v>0</v>
      </c>
      <c r="AY16" s="52">
        <v>0</v>
      </c>
      <c r="AZ16" s="50">
        <v>0</v>
      </c>
      <c r="BA16" s="50">
        <v>0</v>
      </c>
      <c r="BB16" s="52">
        <v>0</v>
      </c>
      <c r="BC16" s="50">
        <v>0</v>
      </c>
      <c r="BD16" s="50">
        <v>0</v>
      </c>
      <c r="BE16" s="52">
        <v>0</v>
      </c>
      <c r="BF16" s="50">
        <v>0</v>
      </c>
      <c r="BG16" s="50">
        <v>0</v>
      </c>
      <c r="BH16" s="52">
        <v>0</v>
      </c>
      <c r="BI16" s="50">
        <v>0</v>
      </c>
      <c r="BJ16" s="50">
        <v>0</v>
      </c>
      <c r="BK16" s="52">
        <v>0</v>
      </c>
      <c r="BL16" s="50">
        <v>0</v>
      </c>
      <c r="BM16" s="50">
        <v>0</v>
      </c>
      <c r="BN16" s="52">
        <v>0</v>
      </c>
      <c r="BO16" s="50">
        <v>0</v>
      </c>
      <c r="BP16" s="50">
        <v>0</v>
      </c>
      <c r="BQ16" s="52">
        <v>0</v>
      </c>
      <c r="BR16" s="50">
        <v>0</v>
      </c>
      <c r="BS16" s="50">
        <v>0</v>
      </c>
      <c r="BT16" s="52">
        <v>0</v>
      </c>
      <c r="BU16" s="50">
        <v>0</v>
      </c>
      <c r="BV16" s="50">
        <v>0</v>
      </c>
      <c r="BW16" s="52">
        <v>0</v>
      </c>
      <c r="BX16" s="50">
        <v>0</v>
      </c>
      <c r="BY16" s="70">
        <v>0</v>
      </c>
      <c r="BZ16" s="52">
        <v>0</v>
      </c>
      <c r="CA16" s="50">
        <v>0</v>
      </c>
      <c r="CB16" s="50">
        <v>0</v>
      </c>
      <c r="CC16" s="52">
        <v>0</v>
      </c>
      <c r="CD16" s="50">
        <v>0</v>
      </c>
      <c r="CE16" s="50">
        <v>0</v>
      </c>
      <c r="CF16" s="52">
        <v>0</v>
      </c>
      <c r="CG16" s="50">
        <v>0</v>
      </c>
      <c r="CH16" s="50">
        <v>0</v>
      </c>
      <c r="CI16" s="52">
        <v>0</v>
      </c>
      <c r="CJ16" s="50">
        <v>0</v>
      </c>
      <c r="CK16" s="50">
        <v>0</v>
      </c>
      <c r="CL16" s="52">
        <v>0</v>
      </c>
      <c r="CM16" s="50">
        <v>0</v>
      </c>
      <c r="CN16" s="50">
        <v>0</v>
      </c>
      <c r="CO16" s="52">
        <v>0</v>
      </c>
      <c r="CP16" s="50">
        <v>0</v>
      </c>
      <c r="CQ16" s="50">
        <v>0</v>
      </c>
      <c r="CR16" s="52">
        <v>0</v>
      </c>
      <c r="CS16" s="50">
        <v>0</v>
      </c>
      <c r="CT16" s="50">
        <v>0</v>
      </c>
      <c r="CU16" s="52">
        <v>0</v>
      </c>
      <c r="CV16" s="50">
        <v>0</v>
      </c>
      <c r="CW16" s="50">
        <v>0</v>
      </c>
      <c r="CX16" s="52">
        <v>0</v>
      </c>
      <c r="CY16" s="50">
        <v>0</v>
      </c>
      <c r="CZ16" s="50">
        <v>0</v>
      </c>
      <c r="DA16" s="52">
        <v>0</v>
      </c>
      <c r="DB16" s="50">
        <v>0</v>
      </c>
      <c r="DC16" s="50">
        <v>0</v>
      </c>
      <c r="DD16" s="52">
        <v>0</v>
      </c>
      <c r="DE16" s="50">
        <v>0</v>
      </c>
      <c r="DF16" s="50">
        <v>0</v>
      </c>
      <c r="DG16" s="52">
        <v>0</v>
      </c>
      <c r="DH16" s="50">
        <v>0</v>
      </c>
      <c r="DI16" s="50">
        <v>0</v>
      </c>
      <c r="DJ16" s="52">
        <v>0</v>
      </c>
      <c r="DK16" s="50">
        <v>0</v>
      </c>
      <c r="DL16" s="50">
        <v>0</v>
      </c>
      <c r="DM16" s="52">
        <v>0</v>
      </c>
      <c r="DN16" s="50">
        <v>0</v>
      </c>
      <c r="DO16" s="50">
        <v>0</v>
      </c>
      <c r="DP16" s="52">
        <v>0</v>
      </c>
      <c r="DQ16" s="50">
        <v>0</v>
      </c>
      <c r="DR16" s="50">
        <v>0</v>
      </c>
      <c r="DS16" s="52">
        <v>0</v>
      </c>
      <c r="DT16" s="50">
        <v>0</v>
      </c>
      <c r="DU16" s="50">
        <v>0</v>
      </c>
      <c r="DV16" s="52">
        <v>0</v>
      </c>
      <c r="DW16" s="50">
        <v>0</v>
      </c>
      <c r="DX16" s="50">
        <v>0</v>
      </c>
      <c r="DY16" s="52">
        <v>0</v>
      </c>
      <c r="DZ16" s="50">
        <v>0</v>
      </c>
      <c r="EA16" s="50">
        <v>0</v>
      </c>
      <c r="EB16" s="52">
        <v>0</v>
      </c>
      <c r="EC16" s="50">
        <v>0</v>
      </c>
      <c r="ED16" s="50">
        <v>0</v>
      </c>
      <c r="EE16" s="52">
        <v>0</v>
      </c>
      <c r="EF16" s="50">
        <v>0</v>
      </c>
      <c r="EG16" s="50">
        <v>0</v>
      </c>
      <c r="EH16" s="52">
        <v>0</v>
      </c>
      <c r="EI16" s="50">
        <v>0</v>
      </c>
      <c r="EJ16" s="50">
        <v>0</v>
      </c>
      <c r="EK16" s="52">
        <v>0</v>
      </c>
      <c r="EL16" s="50">
        <v>0</v>
      </c>
      <c r="EM16" s="50">
        <v>0</v>
      </c>
      <c r="EN16" s="52">
        <v>0</v>
      </c>
      <c r="EO16" s="50">
        <v>0</v>
      </c>
      <c r="EP16" s="50">
        <v>0</v>
      </c>
      <c r="EQ16" s="52">
        <v>0</v>
      </c>
      <c r="ER16" s="50">
        <v>0</v>
      </c>
      <c r="ES16" s="50">
        <v>0</v>
      </c>
      <c r="ET16" s="52">
        <v>0</v>
      </c>
      <c r="EU16" s="50">
        <v>0</v>
      </c>
      <c r="EV16" s="50">
        <v>0</v>
      </c>
      <c r="EW16" s="52">
        <v>0</v>
      </c>
      <c r="EX16" s="50">
        <v>0</v>
      </c>
      <c r="EY16" s="50">
        <v>0</v>
      </c>
      <c r="EZ16" s="52">
        <v>0</v>
      </c>
      <c r="FA16" s="50">
        <v>0</v>
      </c>
      <c r="FB16" s="50">
        <v>0</v>
      </c>
      <c r="FC16" s="52">
        <v>0</v>
      </c>
      <c r="FD16" s="54"/>
      <c r="FE16" s="54"/>
    </row>
    <row r="17" spans="1:161" ht="12.75">
      <c r="A17" s="40">
        <v>43848</v>
      </c>
      <c r="B17" s="44">
        <f t="shared" ref="B17:D17" si="24">SUM(P17,S17,V17,Y17,AK17,AN17,AQ17,AT17,AW17,AZ17,BF17,BR17,BU17,BX17,CM17,CP17,CS17,DH17,DB17,DK17,DW17,DZ17,EC17,EF17,ER17,EU17,)</f>
        <v>0</v>
      </c>
      <c r="C17" s="44">
        <f t="shared" si="24"/>
        <v>0</v>
      </c>
      <c r="D17" s="44">
        <f t="shared" si="24"/>
        <v>0</v>
      </c>
      <c r="E17" s="45">
        <f t="shared" si="1"/>
        <v>0</v>
      </c>
      <c r="F17" s="47">
        <f t="shared" ref="F17:H17" si="25">SUM(P17,S17,V17,AE17,AH17,AK17,AN17,AQ17,AT17,AW17,AZ17,BF17,BL17,BR17,BX17,CG17,CM17,CP17,CV17,DK17,DN17,DQ17,DT17,DZ17,EL17,EO17,ER17)</f>
        <v>0</v>
      </c>
      <c r="G17" s="41">
        <f t="shared" si="25"/>
        <v>0</v>
      </c>
      <c r="H17" s="41">
        <f t="shared" si="25"/>
        <v>0</v>
      </c>
      <c r="I17" s="51">
        <f t="shared" si="3"/>
        <v>0</v>
      </c>
      <c r="J17" s="15">
        <v>0</v>
      </c>
      <c r="K17" s="15">
        <v>0</v>
      </c>
      <c r="L17" s="17">
        <v>0</v>
      </c>
      <c r="M17" s="15">
        <v>0</v>
      </c>
      <c r="N17" s="15">
        <v>0</v>
      </c>
      <c r="O17" s="17">
        <v>0</v>
      </c>
      <c r="P17" s="15">
        <v>0</v>
      </c>
      <c r="Q17" s="15">
        <v>0</v>
      </c>
      <c r="R17" s="17">
        <v>0</v>
      </c>
      <c r="S17" s="15">
        <v>0</v>
      </c>
      <c r="T17" s="15">
        <v>0</v>
      </c>
      <c r="U17" s="17">
        <v>0</v>
      </c>
      <c r="V17" s="15">
        <v>0</v>
      </c>
      <c r="W17" s="15">
        <v>0</v>
      </c>
      <c r="X17" s="17">
        <v>0</v>
      </c>
      <c r="Y17" s="15">
        <v>0</v>
      </c>
      <c r="Z17" s="15">
        <v>0</v>
      </c>
      <c r="AA17" s="17">
        <v>0</v>
      </c>
      <c r="AB17" s="15">
        <v>0</v>
      </c>
      <c r="AC17" s="15">
        <v>0</v>
      </c>
      <c r="AD17" s="17">
        <v>0</v>
      </c>
      <c r="AE17" s="15">
        <v>0</v>
      </c>
      <c r="AF17" s="15">
        <v>0</v>
      </c>
      <c r="AG17" s="17">
        <v>0</v>
      </c>
      <c r="AH17" s="15">
        <v>0</v>
      </c>
      <c r="AI17" s="15">
        <v>0</v>
      </c>
      <c r="AJ17" s="17">
        <v>0</v>
      </c>
      <c r="AK17" s="15">
        <v>0</v>
      </c>
      <c r="AL17" s="15">
        <v>0</v>
      </c>
      <c r="AM17" s="17">
        <v>0</v>
      </c>
      <c r="AN17" s="15">
        <v>0</v>
      </c>
      <c r="AO17" s="15">
        <v>0</v>
      </c>
      <c r="AP17" s="17">
        <v>0</v>
      </c>
      <c r="AQ17" s="15">
        <v>0</v>
      </c>
      <c r="AR17" s="15">
        <v>0</v>
      </c>
      <c r="AS17" s="17">
        <v>0</v>
      </c>
      <c r="AT17" s="15">
        <v>0</v>
      </c>
      <c r="AU17" s="15">
        <v>0</v>
      </c>
      <c r="AV17" s="17">
        <v>0</v>
      </c>
      <c r="AW17" s="15">
        <v>0</v>
      </c>
      <c r="AX17" s="15">
        <v>0</v>
      </c>
      <c r="AY17" s="17">
        <v>0</v>
      </c>
      <c r="AZ17" s="15">
        <v>0</v>
      </c>
      <c r="BA17" s="15">
        <v>0</v>
      </c>
      <c r="BB17" s="17">
        <v>0</v>
      </c>
      <c r="BC17" s="15">
        <v>0</v>
      </c>
      <c r="BD17" s="15">
        <v>0</v>
      </c>
      <c r="BE17" s="17">
        <v>0</v>
      </c>
      <c r="BF17" s="15">
        <v>0</v>
      </c>
      <c r="BG17" s="15">
        <v>0</v>
      </c>
      <c r="BH17" s="17">
        <v>0</v>
      </c>
      <c r="BI17" s="15">
        <v>0</v>
      </c>
      <c r="BJ17" s="15">
        <v>0</v>
      </c>
      <c r="BK17" s="17">
        <v>0</v>
      </c>
      <c r="BL17" s="15">
        <v>0</v>
      </c>
      <c r="BM17" s="15">
        <v>0</v>
      </c>
      <c r="BN17" s="17">
        <v>0</v>
      </c>
      <c r="BO17" s="15">
        <v>0</v>
      </c>
      <c r="BP17" s="15">
        <v>0</v>
      </c>
      <c r="BQ17" s="17">
        <v>0</v>
      </c>
      <c r="BR17" s="15">
        <v>0</v>
      </c>
      <c r="BS17" s="15">
        <v>0</v>
      </c>
      <c r="BT17" s="17">
        <v>0</v>
      </c>
      <c r="BU17" s="15">
        <v>0</v>
      </c>
      <c r="BV17" s="15">
        <v>0</v>
      </c>
      <c r="BW17" s="17">
        <v>0</v>
      </c>
      <c r="BX17" s="15">
        <v>0</v>
      </c>
      <c r="BY17" s="53">
        <v>0</v>
      </c>
      <c r="BZ17" s="17">
        <v>0</v>
      </c>
      <c r="CA17" s="15">
        <v>0</v>
      </c>
      <c r="CB17" s="15">
        <v>0</v>
      </c>
      <c r="CC17" s="17">
        <v>0</v>
      </c>
      <c r="CD17" s="15">
        <v>0</v>
      </c>
      <c r="CE17" s="15">
        <v>0</v>
      </c>
      <c r="CF17" s="17">
        <v>0</v>
      </c>
      <c r="CG17" s="15">
        <v>0</v>
      </c>
      <c r="CH17" s="15">
        <v>0</v>
      </c>
      <c r="CI17" s="17">
        <v>0</v>
      </c>
      <c r="CJ17" s="15">
        <v>0</v>
      </c>
      <c r="CK17" s="15">
        <v>0</v>
      </c>
      <c r="CL17" s="17">
        <v>0</v>
      </c>
      <c r="CM17" s="15">
        <v>0</v>
      </c>
      <c r="CN17" s="15">
        <v>0</v>
      </c>
      <c r="CO17" s="17">
        <v>0</v>
      </c>
      <c r="CP17" s="15">
        <v>0</v>
      </c>
      <c r="CQ17" s="15">
        <v>0</v>
      </c>
      <c r="CR17" s="17">
        <v>0</v>
      </c>
      <c r="CS17" s="15">
        <v>0</v>
      </c>
      <c r="CT17" s="15">
        <v>0</v>
      </c>
      <c r="CU17" s="17">
        <v>0</v>
      </c>
      <c r="CV17" s="15">
        <v>0</v>
      </c>
      <c r="CW17" s="15">
        <v>0</v>
      </c>
      <c r="CX17" s="17">
        <v>0</v>
      </c>
      <c r="CY17" s="15">
        <v>0</v>
      </c>
      <c r="CZ17" s="15">
        <v>0</v>
      </c>
      <c r="DA17" s="17">
        <v>0</v>
      </c>
      <c r="DB17" s="15">
        <v>0</v>
      </c>
      <c r="DC17" s="15">
        <v>0</v>
      </c>
      <c r="DD17" s="17">
        <v>0</v>
      </c>
      <c r="DE17" s="15">
        <v>0</v>
      </c>
      <c r="DF17" s="15">
        <v>0</v>
      </c>
      <c r="DG17" s="17">
        <v>0</v>
      </c>
      <c r="DH17" s="15">
        <v>0</v>
      </c>
      <c r="DI17" s="15">
        <v>0</v>
      </c>
      <c r="DJ17" s="17">
        <v>0</v>
      </c>
      <c r="DK17" s="15">
        <v>0</v>
      </c>
      <c r="DL17" s="15">
        <v>0</v>
      </c>
      <c r="DM17" s="17">
        <v>0</v>
      </c>
      <c r="DN17" s="15">
        <v>0</v>
      </c>
      <c r="DO17" s="15">
        <v>0</v>
      </c>
      <c r="DP17" s="17">
        <v>0</v>
      </c>
      <c r="DQ17" s="15">
        <v>0</v>
      </c>
      <c r="DR17" s="15">
        <v>0</v>
      </c>
      <c r="DS17" s="17">
        <v>0</v>
      </c>
      <c r="DT17" s="15">
        <v>0</v>
      </c>
      <c r="DU17" s="15">
        <v>0</v>
      </c>
      <c r="DV17" s="17">
        <v>0</v>
      </c>
      <c r="DW17" s="15">
        <v>0</v>
      </c>
      <c r="DX17" s="15">
        <v>0</v>
      </c>
      <c r="DY17" s="17">
        <v>0</v>
      </c>
      <c r="DZ17" s="15">
        <v>0</v>
      </c>
      <c r="EA17" s="15">
        <v>0</v>
      </c>
      <c r="EB17" s="17">
        <v>0</v>
      </c>
      <c r="EC17" s="15">
        <v>0</v>
      </c>
      <c r="ED17" s="15">
        <v>0</v>
      </c>
      <c r="EE17" s="17">
        <v>0</v>
      </c>
      <c r="EF17" s="15">
        <v>0</v>
      </c>
      <c r="EG17" s="15">
        <v>0</v>
      </c>
      <c r="EH17" s="17">
        <v>0</v>
      </c>
      <c r="EI17" s="15">
        <v>0</v>
      </c>
      <c r="EJ17" s="15">
        <v>0</v>
      </c>
      <c r="EK17" s="17">
        <v>0</v>
      </c>
      <c r="EL17" s="15">
        <v>0</v>
      </c>
      <c r="EM17" s="15">
        <v>0</v>
      </c>
      <c r="EN17" s="17">
        <v>0</v>
      </c>
      <c r="EO17" s="15">
        <v>0</v>
      </c>
      <c r="EP17" s="15">
        <v>0</v>
      </c>
      <c r="EQ17" s="17">
        <v>0</v>
      </c>
      <c r="ER17" s="15">
        <v>0</v>
      </c>
      <c r="ES17" s="15">
        <v>0</v>
      </c>
      <c r="ET17" s="17">
        <v>0</v>
      </c>
      <c r="EU17" s="15">
        <v>0</v>
      </c>
      <c r="EV17" s="15">
        <v>0</v>
      </c>
      <c r="EW17" s="17">
        <v>0</v>
      </c>
      <c r="EX17" s="15">
        <v>0</v>
      </c>
      <c r="EY17" s="15">
        <v>0</v>
      </c>
      <c r="EZ17" s="17">
        <v>0</v>
      </c>
      <c r="FA17" s="15">
        <v>0</v>
      </c>
      <c r="FB17" s="15">
        <v>0</v>
      </c>
      <c r="FC17" s="17">
        <v>0</v>
      </c>
      <c r="FD17" s="55"/>
      <c r="FE17" s="56"/>
    </row>
    <row r="18" spans="1:161" ht="12.75">
      <c r="A18" s="49">
        <v>43849</v>
      </c>
      <c r="B18" s="68">
        <f t="shared" ref="B18:D18" si="26">SUM(P18,S18,V18,Y18,AK18,AN18,AQ18,AT18,AW18,AZ18,BF18,BR18,BU18,BX18,CM18,CP18,CS18,DH18,DB18,DK18,DW18,DZ18,EC18,EF18,ER18,EU18,)</f>
        <v>0</v>
      </c>
      <c r="C18" s="68">
        <f t="shared" si="26"/>
        <v>0</v>
      </c>
      <c r="D18" s="68">
        <f t="shared" si="26"/>
        <v>0</v>
      </c>
      <c r="E18" s="69">
        <f t="shared" si="1"/>
        <v>0</v>
      </c>
      <c r="F18" s="47">
        <f t="shared" ref="F18:H18" si="27">SUM(P18,S18,V18,AE18,AH18,AK18,AN18,AQ18,AT18,AW18,AZ18,BF18,BL18,BR18,BX18,CG18,CM18,CP18,CV18,DK18,DN18,DQ18,DT18,DZ18,EL18,EO18,ER18)</f>
        <v>0</v>
      </c>
      <c r="G18" s="41">
        <f t="shared" si="27"/>
        <v>0</v>
      </c>
      <c r="H18" s="41">
        <f t="shared" si="27"/>
        <v>0</v>
      </c>
      <c r="I18" s="51">
        <f t="shared" si="3"/>
        <v>0</v>
      </c>
      <c r="J18" s="50">
        <v>0</v>
      </c>
      <c r="K18" s="50">
        <v>0</v>
      </c>
      <c r="L18" s="52">
        <v>0</v>
      </c>
      <c r="M18" s="50">
        <v>0</v>
      </c>
      <c r="N18" s="50">
        <v>0</v>
      </c>
      <c r="O18" s="52">
        <v>0</v>
      </c>
      <c r="P18" s="50">
        <v>0</v>
      </c>
      <c r="Q18" s="50">
        <v>0</v>
      </c>
      <c r="R18" s="52">
        <v>0</v>
      </c>
      <c r="S18" s="50">
        <v>0</v>
      </c>
      <c r="T18" s="50">
        <v>0</v>
      </c>
      <c r="U18" s="52">
        <v>0</v>
      </c>
      <c r="V18" s="50">
        <v>0</v>
      </c>
      <c r="W18" s="50">
        <v>0</v>
      </c>
      <c r="X18" s="52">
        <v>0</v>
      </c>
      <c r="Y18" s="50">
        <v>0</v>
      </c>
      <c r="Z18" s="50">
        <v>0</v>
      </c>
      <c r="AA18" s="52">
        <v>0</v>
      </c>
      <c r="AB18" s="50">
        <v>0</v>
      </c>
      <c r="AC18" s="50">
        <v>0</v>
      </c>
      <c r="AD18" s="52">
        <v>0</v>
      </c>
      <c r="AE18" s="50">
        <v>0</v>
      </c>
      <c r="AF18" s="50">
        <v>0</v>
      </c>
      <c r="AG18" s="52">
        <v>0</v>
      </c>
      <c r="AH18" s="50">
        <v>0</v>
      </c>
      <c r="AI18" s="50">
        <v>0</v>
      </c>
      <c r="AJ18" s="52">
        <v>0</v>
      </c>
      <c r="AK18" s="50">
        <v>0</v>
      </c>
      <c r="AL18" s="50">
        <v>0</v>
      </c>
      <c r="AM18" s="52">
        <v>0</v>
      </c>
      <c r="AN18" s="50">
        <v>0</v>
      </c>
      <c r="AO18" s="50">
        <v>0</v>
      </c>
      <c r="AP18" s="52">
        <v>0</v>
      </c>
      <c r="AQ18" s="50">
        <v>0</v>
      </c>
      <c r="AR18" s="50">
        <v>0</v>
      </c>
      <c r="AS18" s="52">
        <v>0</v>
      </c>
      <c r="AT18" s="50">
        <v>0</v>
      </c>
      <c r="AU18" s="50">
        <v>0</v>
      </c>
      <c r="AV18" s="52">
        <v>0</v>
      </c>
      <c r="AW18" s="50">
        <v>0</v>
      </c>
      <c r="AX18" s="50">
        <v>0</v>
      </c>
      <c r="AY18" s="52">
        <v>0</v>
      </c>
      <c r="AZ18" s="50">
        <v>0</v>
      </c>
      <c r="BA18" s="50">
        <v>0</v>
      </c>
      <c r="BB18" s="52">
        <v>0</v>
      </c>
      <c r="BC18" s="50">
        <v>0</v>
      </c>
      <c r="BD18" s="50">
        <v>0</v>
      </c>
      <c r="BE18" s="52">
        <v>0</v>
      </c>
      <c r="BF18" s="50">
        <v>0</v>
      </c>
      <c r="BG18" s="50">
        <v>0</v>
      </c>
      <c r="BH18" s="52">
        <v>0</v>
      </c>
      <c r="BI18" s="50">
        <v>0</v>
      </c>
      <c r="BJ18" s="50">
        <v>0</v>
      </c>
      <c r="BK18" s="52">
        <v>0</v>
      </c>
      <c r="BL18" s="50">
        <v>0</v>
      </c>
      <c r="BM18" s="50">
        <v>0</v>
      </c>
      <c r="BN18" s="52">
        <v>0</v>
      </c>
      <c r="BO18" s="50">
        <v>0</v>
      </c>
      <c r="BP18" s="50">
        <v>0</v>
      </c>
      <c r="BQ18" s="52">
        <v>0</v>
      </c>
      <c r="BR18" s="50">
        <v>0</v>
      </c>
      <c r="BS18" s="50">
        <v>0</v>
      </c>
      <c r="BT18" s="52">
        <v>0</v>
      </c>
      <c r="BU18" s="50">
        <v>0</v>
      </c>
      <c r="BV18" s="50">
        <v>0</v>
      </c>
      <c r="BW18" s="52">
        <v>0</v>
      </c>
      <c r="BX18" s="50">
        <v>0</v>
      </c>
      <c r="BY18" s="70">
        <v>0</v>
      </c>
      <c r="BZ18" s="52">
        <v>0</v>
      </c>
      <c r="CA18" s="50">
        <v>0</v>
      </c>
      <c r="CB18" s="50">
        <v>0</v>
      </c>
      <c r="CC18" s="52">
        <v>0</v>
      </c>
      <c r="CD18" s="50">
        <v>0</v>
      </c>
      <c r="CE18" s="50">
        <v>0</v>
      </c>
      <c r="CF18" s="52">
        <v>0</v>
      </c>
      <c r="CG18" s="50">
        <v>0</v>
      </c>
      <c r="CH18" s="50">
        <v>0</v>
      </c>
      <c r="CI18" s="52">
        <v>0</v>
      </c>
      <c r="CJ18" s="50">
        <v>0</v>
      </c>
      <c r="CK18" s="50">
        <v>0</v>
      </c>
      <c r="CL18" s="52">
        <v>0</v>
      </c>
      <c r="CM18" s="50">
        <v>0</v>
      </c>
      <c r="CN18" s="50">
        <v>0</v>
      </c>
      <c r="CO18" s="52">
        <v>0</v>
      </c>
      <c r="CP18" s="50">
        <v>0</v>
      </c>
      <c r="CQ18" s="50">
        <v>0</v>
      </c>
      <c r="CR18" s="52">
        <v>0</v>
      </c>
      <c r="CS18" s="50">
        <v>0</v>
      </c>
      <c r="CT18" s="50">
        <v>0</v>
      </c>
      <c r="CU18" s="52">
        <v>0</v>
      </c>
      <c r="CV18" s="50">
        <v>0</v>
      </c>
      <c r="CW18" s="50">
        <v>0</v>
      </c>
      <c r="CX18" s="52">
        <v>0</v>
      </c>
      <c r="CY18" s="50">
        <v>0</v>
      </c>
      <c r="CZ18" s="50">
        <v>0</v>
      </c>
      <c r="DA18" s="52">
        <v>0</v>
      </c>
      <c r="DB18" s="50">
        <v>0</v>
      </c>
      <c r="DC18" s="50">
        <v>0</v>
      </c>
      <c r="DD18" s="52">
        <v>0</v>
      </c>
      <c r="DE18" s="50">
        <v>0</v>
      </c>
      <c r="DF18" s="50">
        <v>0</v>
      </c>
      <c r="DG18" s="52">
        <v>0</v>
      </c>
      <c r="DH18" s="50">
        <v>0</v>
      </c>
      <c r="DI18" s="50">
        <v>0</v>
      </c>
      <c r="DJ18" s="52">
        <v>0</v>
      </c>
      <c r="DK18" s="50">
        <v>0</v>
      </c>
      <c r="DL18" s="50">
        <v>0</v>
      </c>
      <c r="DM18" s="52">
        <v>0</v>
      </c>
      <c r="DN18" s="50">
        <v>0</v>
      </c>
      <c r="DO18" s="50">
        <v>0</v>
      </c>
      <c r="DP18" s="52">
        <v>0</v>
      </c>
      <c r="DQ18" s="50">
        <v>0</v>
      </c>
      <c r="DR18" s="50">
        <v>0</v>
      </c>
      <c r="DS18" s="52">
        <v>0</v>
      </c>
      <c r="DT18" s="50">
        <v>0</v>
      </c>
      <c r="DU18" s="50">
        <v>0</v>
      </c>
      <c r="DV18" s="52">
        <v>0</v>
      </c>
      <c r="DW18" s="50">
        <v>0</v>
      </c>
      <c r="DX18" s="50">
        <v>0</v>
      </c>
      <c r="DY18" s="52">
        <v>0</v>
      </c>
      <c r="DZ18" s="50">
        <v>0</v>
      </c>
      <c r="EA18" s="50">
        <v>0</v>
      </c>
      <c r="EB18" s="52">
        <v>0</v>
      </c>
      <c r="EC18" s="50">
        <v>0</v>
      </c>
      <c r="ED18" s="50">
        <v>0</v>
      </c>
      <c r="EE18" s="52">
        <v>0</v>
      </c>
      <c r="EF18" s="50">
        <v>0</v>
      </c>
      <c r="EG18" s="50">
        <v>0</v>
      </c>
      <c r="EH18" s="52">
        <v>0</v>
      </c>
      <c r="EI18" s="50">
        <v>0</v>
      </c>
      <c r="EJ18" s="50">
        <v>0</v>
      </c>
      <c r="EK18" s="52">
        <v>0</v>
      </c>
      <c r="EL18" s="50">
        <v>0</v>
      </c>
      <c r="EM18" s="50">
        <v>0</v>
      </c>
      <c r="EN18" s="52">
        <v>0</v>
      </c>
      <c r="EO18" s="50">
        <v>0</v>
      </c>
      <c r="EP18" s="50">
        <v>0</v>
      </c>
      <c r="EQ18" s="52">
        <v>0</v>
      </c>
      <c r="ER18" s="50">
        <v>0</v>
      </c>
      <c r="ES18" s="50">
        <v>0</v>
      </c>
      <c r="ET18" s="52">
        <v>0</v>
      </c>
      <c r="EU18" s="50">
        <v>0</v>
      </c>
      <c r="EV18" s="50">
        <v>0</v>
      </c>
      <c r="EW18" s="52">
        <v>0</v>
      </c>
      <c r="EX18" s="50">
        <v>0</v>
      </c>
      <c r="EY18" s="50">
        <v>0</v>
      </c>
      <c r="EZ18" s="52">
        <v>0</v>
      </c>
      <c r="FA18" s="50">
        <v>0</v>
      </c>
      <c r="FB18" s="50">
        <v>0</v>
      </c>
      <c r="FC18" s="52">
        <v>0</v>
      </c>
      <c r="FD18" s="54"/>
      <c r="FE18" s="54"/>
    </row>
    <row r="19" spans="1:161" ht="12.75">
      <c r="A19" s="40">
        <v>43850</v>
      </c>
      <c r="B19" s="44">
        <f t="shared" ref="B19:D19" si="28">SUM(P19,S19,V19,Y19,AK19,AN19,AQ19,AT19,AW19,AZ19,BF19,BR19,BU19,BX19,CM19,CP19,CS19,DH19,DB19,DK19,DW19,DZ19,EC19,EF19,ER19,EU19,)</f>
        <v>0</v>
      </c>
      <c r="C19" s="44">
        <f t="shared" si="28"/>
        <v>0</v>
      </c>
      <c r="D19" s="44">
        <f t="shared" si="28"/>
        <v>0</v>
      </c>
      <c r="E19" s="45">
        <f t="shared" si="1"/>
        <v>0</v>
      </c>
      <c r="F19" s="47">
        <f t="shared" ref="F19:H19" si="29">SUM(P19,S19,V19,AE19,AH19,AK19,AN19,AQ19,AT19,AW19,AZ19,BF19,BL19,BR19,BX19,CG19,CM19,CP19,CV19,DK19,DN19,DQ19,DT19,DZ19,EL19,EO19,ER19)</f>
        <v>0</v>
      </c>
      <c r="G19" s="41">
        <f t="shared" si="29"/>
        <v>0</v>
      </c>
      <c r="H19" s="41">
        <f t="shared" si="29"/>
        <v>0</v>
      </c>
      <c r="I19" s="51">
        <f t="shared" si="3"/>
        <v>0</v>
      </c>
      <c r="J19" s="15">
        <v>0</v>
      </c>
      <c r="K19" s="15">
        <v>0</v>
      </c>
      <c r="L19" s="17">
        <v>0</v>
      </c>
      <c r="M19" s="15">
        <v>0</v>
      </c>
      <c r="N19" s="15">
        <v>0</v>
      </c>
      <c r="O19" s="17">
        <v>0</v>
      </c>
      <c r="P19" s="15">
        <v>0</v>
      </c>
      <c r="Q19" s="15">
        <v>0</v>
      </c>
      <c r="R19" s="17">
        <v>0</v>
      </c>
      <c r="S19" s="15">
        <v>0</v>
      </c>
      <c r="T19" s="15">
        <v>0</v>
      </c>
      <c r="U19" s="17">
        <v>0</v>
      </c>
      <c r="V19" s="15">
        <v>0</v>
      </c>
      <c r="W19" s="15">
        <v>0</v>
      </c>
      <c r="X19" s="17">
        <v>0</v>
      </c>
      <c r="Y19" s="15">
        <v>0</v>
      </c>
      <c r="Z19" s="15">
        <v>0</v>
      </c>
      <c r="AA19" s="17">
        <v>0</v>
      </c>
      <c r="AB19" s="15">
        <v>0</v>
      </c>
      <c r="AC19" s="15">
        <v>0</v>
      </c>
      <c r="AD19" s="17">
        <v>0</v>
      </c>
      <c r="AE19" s="15">
        <v>0</v>
      </c>
      <c r="AF19" s="15">
        <v>0</v>
      </c>
      <c r="AG19" s="17">
        <v>0</v>
      </c>
      <c r="AH19" s="15">
        <v>0</v>
      </c>
      <c r="AI19" s="15">
        <v>0</v>
      </c>
      <c r="AJ19" s="17">
        <v>0</v>
      </c>
      <c r="AK19" s="15">
        <v>0</v>
      </c>
      <c r="AL19" s="15">
        <v>0</v>
      </c>
      <c r="AM19" s="17">
        <v>0</v>
      </c>
      <c r="AN19" s="15">
        <v>0</v>
      </c>
      <c r="AO19" s="15">
        <v>0</v>
      </c>
      <c r="AP19" s="17">
        <v>0</v>
      </c>
      <c r="AQ19" s="15">
        <v>0</v>
      </c>
      <c r="AR19" s="15">
        <v>0</v>
      </c>
      <c r="AS19" s="17">
        <v>0</v>
      </c>
      <c r="AT19" s="15">
        <v>0</v>
      </c>
      <c r="AU19" s="15">
        <v>0</v>
      </c>
      <c r="AV19" s="17">
        <v>0</v>
      </c>
      <c r="AW19" s="15">
        <v>0</v>
      </c>
      <c r="AX19" s="15">
        <v>0</v>
      </c>
      <c r="AY19" s="17">
        <v>0</v>
      </c>
      <c r="AZ19" s="15">
        <v>0</v>
      </c>
      <c r="BA19" s="15">
        <v>0</v>
      </c>
      <c r="BB19" s="17">
        <v>0</v>
      </c>
      <c r="BC19" s="15">
        <v>0</v>
      </c>
      <c r="BD19" s="15">
        <v>0</v>
      </c>
      <c r="BE19" s="17">
        <v>0</v>
      </c>
      <c r="BF19" s="15">
        <v>0</v>
      </c>
      <c r="BG19" s="15">
        <v>0</v>
      </c>
      <c r="BH19" s="17">
        <v>0</v>
      </c>
      <c r="BI19" s="15">
        <v>0</v>
      </c>
      <c r="BJ19" s="15">
        <v>0</v>
      </c>
      <c r="BK19" s="17">
        <v>0</v>
      </c>
      <c r="BL19" s="15">
        <v>0</v>
      </c>
      <c r="BM19" s="15">
        <v>0</v>
      </c>
      <c r="BN19" s="17">
        <v>0</v>
      </c>
      <c r="BO19" s="15">
        <v>0</v>
      </c>
      <c r="BP19" s="15">
        <v>0</v>
      </c>
      <c r="BQ19" s="17">
        <v>0</v>
      </c>
      <c r="BR19" s="15">
        <v>0</v>
      </c>
      <c r="BS19" s="15">
        <v>0</v>
      </c>
      <c r="BT19" s="17">
        <v>0</v>
      </c>
      <c r="BU19" s="15">
        <v>0</v>
      </c>
      <c r="BV19" s="15">
        <v>0</v>
      </c>
      <c r="BW19" s="17">
        <v>0</v>
      </c>
      <c r="BX19" s="15">
        <v>0</v>
      </c>
      <c r="BY19" s="53">
        <v>0</v>
      </c>
      <c r="BZ19" s="17">
        <v>0</v>
      </c>
      <c r="CA19" s="15">
        <v>0</v>
      </c>
      <c r="CB19" s="15">
        <v>0</v>
      </c>
      <c r="CC19" s="17">
        <v>0</v>
      </c>
      <c r="CD19" s="15">
        <v>0</v>
      </c>
      <c r="CE19" s="15">
        <v>0</v>
      </c>
      <c r="CF19" s="17">
        <v>0</v>
      </c>
      <c r="CG19" s="15">
        <v>0</v>
      </c>
      <c r="CH19" s="15">
        <v>0</v>
      </c>
      <c r="CI19" s="17">
        <v>0</v>
      </c>
      <c r="CJ19" s="15">
        <v>0</v>
      </c>
      <c r="CK19" s="15">
        <v>0</v>
      </c>
      <c r="CL19" s="17">
        <v>0</v>
      </c>
      <c r="CM19" s="15">
        <v>0</v>
      </c>
      <c r="CN19" s="15">
        <v>0</v>
      </c>
      <c r="CO19" s="17">
        <v>0</v>
      </c>
      <c r="CP19" s="15">
        <v>0</v>
      </c>
      <c r="CQ19" s="15">
        <v>0</v>
      </c>
      <c r="CR19" s="17">
        <v>0</v>
      </c>
      <c r="CS19" s="15">
        <v>0</v>
      </c>
      <c r="CT19" s="15">
        <v>0</v>
      </c>
      <c r="CU19" s="17">
        <v>0</v>
      </c>
      <c r="CV19" s="15">
        <v>0</v>
      </c>
      <c r="CW19" s="15">
        <v>0</v>
      </c>
      <c r="CX19" s="17">
        <v>0</v>
      </c>
      <c r="CY19" s="15">
        <v>0</v>
      </c>
      <c r="CZ19" s="15">
        <v>0</v>
      </c>
      <c r="DA19" s="17">
        <v>0</v>
      </c>
      <c r="DB19" s="15">
        <v>0</v>
      </c>
      <c r="DC19" s="15">
        <v>0</v>
      </c>
      <c r="DD19" s="17">
        <v>0</v>
      </c>
      <c r="DE19" s="15">
        <v>0</v>
      </c>
      <c r="DF19" s="15">
        <v>0</v>
      </c>
      <c r="DG19" s="17">
        <v>0</v>
      </c>
      <c r="DH19" s="15">
        <v>0</v>
      </c>
      <c r="DI19" s="15">
        <v>0</v>
      </c>
      <c r="DJ19" s="17">
        <v>0</v>
      </c>
      <c r="DK19" s="15">
        <v>0</v>
      </c>
      <c r="DL19" s="15">
        <v>0</v>
      </c>
      <c r="DM19" s="17">
        <v>0</v>
      </c>
      <c r="DN19" s="15">
        <v>0</v>
      </c>
      <c r="DO19" s="15">
        <v>0</v>
      </c>
      <c r="DP19" s="17">
        <v>0</v>
      </c>
      <c r="DQ19" s="15">
        <v>0</v>
      </c>
      <c r="DR19" s="15">
        <v>0</v>
      </c>
      <c r="DS19" s="17">
        <v>0</v>
      </c>
      <c r="DT19" s="15">
        <v>0</v>
      </c>
      <c r="DU19" s="15">
        <v>0</v>
      </c>
      <c r="DV19" s="17">
        <v>0</v>
      </c>
      <c r="DW19" s="15">
        <v>0</v>
      </c>
      <c r="DX19" s="15">
        <v>0</v>
      </c>
      <c r="DY19" s="17">
        <v>0</v>
      </c>
      <c r="DZ19" s="15">
        <v>0</v>
      </c>
      <c r="EA19" s="15">
        <v>0</v>
      </c>
      <c r="EB19" s="17">
        <v>0</v>
      </c>
      <c r="EC19" s="15">
        <v>0</v>
      </c>
      <c r="ED19" s="15">
        <v>0</v>
      </c>
      <c r="EE19" s="17">
        <v>0</v>
      </c>
      <c r="EF19" s="15">
        <v>0</v>
      </c>
      <c r="EG19" s="15">
        <v>0</v>
      </c>
      <c r="EH19" s="17">
        <v>0</v>
      </c>
      <c r="EI19" s="15">
        <v>0</v>
      </c>
      <c r="EJ19" s="15">
        <v>0</v>
      </c>
      <c r="EK19" s="17">
        <v>0</v>
      </c>
      <c r="EL19" s="15">
        <v>0</v>
      </c>
      <c r="EM19" s="15">
        <v>0</v>
      </c>
      <c r="EN19" s="17">
        <v>0</v>
      </c>
      <c r="EO19" s="15">
        <v>0</v>
      </c>
      <c r="EP19" s="15">
        <v>0</v>
      </c>
      <c r="EQ19" s="17">
        <v>0</v>
      </c>
      <c r="ER19" s="15">
        <v>0</v>
      </c>
      <c r="ES19" s="15">
        <v>0</v>
      </c>
      <c r="ET19" s="17">
        <v>0</v>
      </c>
      <c r="EU19" s="15">
        <v>0</v>
      </c>
      <c r="EV19" s="15">
        <v>0</v>
      </c>
      <c r="EW19" s="17">
        <v>0</v>
      </c>
      <c r="EX19" s="15">
        <v>0</v>
      </c>
      <c r="EY19" s="15">
        <v>0</v>
      </c>
      <c r="EZ19" s="17">
        <v>0</v>
      </c>
      <c r="FA19" s="15">
        <v>0</v>
      </c>
      <c r="FB19" s="15">
        <v>0</v>
      </c>
      <c r="FC19" s="17">
        <v>0</v>
      </c>
      <c r="FD19" s="55"/>
      <c r="FE19" s="56"/>
    </row>
    <row r="20" spans="1:161" ht="12.75">
      <c r="A20" s="40">
        <v>43851</v>
      </c>
      <c r="B20" s="44">
        <f t="shared" ref="B20:D20" si="30">SUM(P20,S20,V20,Y20,AK20,AN20,AQ20,AT20,AW20,AZ20,BF20,BR20,BU20,BX20,CM20,CP20,CS20,DH20,DB20,DK20,DW20,DZ20,EC20,EF20,ER20,EU20,)</f>
        <v>0</v>
      </c>
      <c r="C20" s="44">
        <f t="shared" si="30"/>
        <v>0</v>
      </c>
      <c r="D20" s="44">
        <f t="shared" si="30"/>
        <v>0</v>
      </c>
      <c r="E20" s="45">
        <f t="shared" si="1"/>
        <v>0</v>
      </c>
      <c r="F20" s="47">
        <f t="shared" ref="F20:H20" si="31">SUM(P20,S20,V20,AE20,AH20,AK20,AN20,AQ20,AT20,AW20,AZ20,BF20,BL20,BR20,BX20,CG20,CM20,CP20,CV20,DK20,DN20,DQ20,DT20,DZ20,EL20,EO20,ER20)</f>
        <v>0</v>
      </c>
      <c r="G20" s="41">
        <f t="shared" si="31"/>
        <v>0</v>
      </c>
      <c r="H20" s="41">
        <f t="shared" si="31"/>
        <v>0</v>
      </c>
      <c r="I20" s="51">
        <f t="shared" si="3"/>
        <v>0</v>
      </c>
      <c r="J20" s="15">
        <v>0</v>
      </c>
      <c r="K20" s="15">
        <v>0</v>
      </c>
      <c r="L20" s="17">
        <v>0</v>
      </c>
      <c r="M20" s="15">
        <v>0</v>
      </c>
      <c r="N20" s="15">
        <v>0</v>
      </c>
      <c r="O20" s="17">
        <v>0</v>
      </c>
      <c r="P20" s="15">
        <v>0</v>
      </c>
      <c r="Q20" s="15">
        <v>0</v>
      </c>
      <c r="R20" s="17">
        <v>0</v>
      </c>
      <c r="S20" s="15">
        <v>0</v>
      </c>
      <c r="T20" s="15">
        <v>0</v>
      </c>
      <c r="U20" s="17">
        <v>0</v>
      </c>
      <c r="V20" s="15">
        <v>0</v>
      </c>
      <c r="W20" s="15">
        <v>0</v>
      </c>
      <c r="X20" s="17">
        <v>0</v>
      </c>
      <c r="Y20" s="15">
        <v>0</v>
      </c>
      <c r="Z20" s="15">
        <v>0</v>
      </c>
      <c r="AA20" s="17">
        <v>0</v>
      </c>
      <c r="AB20" s="15">
        <v>0</v>
      </c>
      <c r="AC20" s="15">
        <v>0</v>
      </c>
      <c r="AD20" s="17">
        <v>0</v>
      </c>
      <c r="AE20" s="15">
        <v>0</v>
      </c>
      <c r="AF20" s="15">
        <v>0</v>
      </c>
      <c r="AG20" s="17">
        <v>0</v>
      </c>
      <c r="AH20" s="15">
        <v>0</v>
      </c>
      <c r="AI20" s="15">
        <v>0</v>
      </c>
      <c r="AJ20" s="17">
        <v>0</v>
      </c>
      <c r="AK20" s="15">
        <v>0</v>
      </c>
      <c r="AL20" s="15">
        <v>0</v>
      </c>
      <c r="AM20" s="17">
        <v>0</v>
      </c>
      <c r="AN20" s="15">
        <v>0</v>
      </c>
      <c r="AO20" s="15">
        <v>0</v>
      </c>
      <c r="AP20" s="17">
        <v>0</v>
      </c>
      <c r="AQ20" s="15">
        <v>0</v>
      </c>
      <c r="AR20" s="15">
        <v>0</v>
      </c>
      <c r="AS20" s="17">
        <v>0</v>
      </c>
      <c r="AT20" s="15">
        <v>0</v>
      </c>
      <c r="AU20" s="15">
        <v>0</v>
      </c>
      <c r="AV20" s="17">
        <v>0</v>
      </c>
      <c r="AW20" s="15">
        <v>0</v>
      </c>
      <c r="AX20" s="15">
        <v>0</v>
      </c>
      <c r="AY20" s="17">
        <v>0</v>
      </c>
      <c r="AZ20" s="15">
        <v>0</v>
      </c>
      <c r="BA20" s="15">
        <v>0</v>
      </c>
      <c r="BB20" s="17">
        <v>0</v>
      </c>
      <c r="BC20" s="15">
        <v>0</v>
      </c>
      <c r="BD20" s="15">
        <v>0</v>
      </c>
      <c r="BE20" s="17">
        <v>0</v>
      </c>
      <c r="BF20" s="15">
        <v>0</v>
      </c>
      <c r="BG20" s="15">
        <v>0</v>
      </c>
      <c r="BH20" s="17">
        <v>0</v>
      </c>
      <c r="BI20" s="15">
        <v>0</v>
      </c>
      <c r="BJ20" s="15">
        <v>0</v>
      </c>
      <c r="BK20" s="17">
        <v>0</v>
      </c>
      <c r="BL20" s="15">
        <v>0</v>
      </c>
      <c r="BM20" s="15">
        <v>0</v>
      </c>
      <c r="BN20" s="17">
        <v>0</v>
      </c>
      <c r="BO20" s="15">
        <v>0</v>
      </c>
      <c r="BP20" s="15">
        <v>0</v>
      </c>
      <c r="BQ20" s="17">
        <v>0</v>
      </c>
      <c r="BR20" s="15">
        <v>0</v>
      </c>
      <c r="BS20" s="15">
        <v>0</v>
      </c>
      <c r="BT20" s="17">
        <v>0</v>
      </c>
      <c r="BU20" s="15">
        <v>0</v>
      </c>
      <c r="BV20" s="15">
        <v>0</v>
      </c>
      <c r="BW20" s="17">
        <v>0</v>
      </c>
      <c r="BX20" s="15">
        <v>0</v>
      </c>
      <c r="BY20" s="53">
        <v>0</v>
      </c>
      <c r="BZ20" s="17">
        <v>0</v>
      </c>
      <c r="CA20" s="15">
        <v>0</v>
      </c>
      <c r="CB20" s="15">
        <v>0</v>
      </c>
      <c r="CC20" s="17">
        <v>0</v>
      </c>
      <c r="CD20" s="15">
        <v>0</v>
      </c>
      <c r="CE20" s="15">
        <v>0</v>
      </c>
      <c r="CF20" s="17">
        <v>0</v>
      </c>
      <c r="CG20" s="15">
        <v>0</v>
      </c>
      <c r="CH20" s="15">
        <v>0</v>
      </c>
      <c r="CI20" s="17">
        <v>0</v>
      </c>
      <c r="CJ20" s="15">
        <v>0</v>
      </c>
      <c r="CK20" s="15">
        <v>0</v>
      </c>
      <c r="CL20" s="17">
        <v>0</v>
      </c>
      <c r="CM20" s="15">
        <v>0</v>
      </c>
      <c r="CN20" s="15">
        <v>0</v>
      </c>
      <c r="CO20" s="17">
        <v>0</v>
      </c>
      <c r="CP20" s="15">
        <v>0</v>
      </c>
      <c r="CQ20" s="15">
        <v>0</v>
      </c>
      <c r="CR20" s="17">
        <v>0</v>
      </c>
      <c r="CS20" s="15">
        <v>0</v>
      </c>
      <c r="CT20" s="15">
        <v>0</v>
      </c>
      <c r="CU20" s="17">
        <v>0</v>
      </c>
      <c r="CV20" s="15">
        <v>0</v>
      </c>
      <c r="CW20" s="15">
        <v>0</v>
      </c>
      <c r="CX20" s="17">
        <v>0</v>
      </c>
      <c r="CY20" s="15">
        <v>0</v>
      </c>
      <c r="CZ20" s="15">
        <v>0</v>
      </c>
      <c r="DA20" s="17">
        <v>0</v>
      </c>
      <c r="DB20" s="15">
        <v>0</v>
      </c>
      <c r="DC20" s="15">
        <v>0</v>
      </c>
      <c r="DD20" s="17">
        <v>0</v>
      </c>
      <c r="DE20" s="15">
        <v>0</v>
      </c>
      <c r="DF20" s="15">
        <v>0</v>
      </c>
      <c r="DG20" s="17">
        <v>0</v>
      </c>
      <c r="DH20" s="15">
        <v>0</v>
      </c>
      <c r="DI20" s="15">
        <v>0</v>
      </c>
      <c r="DJ20" s="17">
        <v>0</v>
      </c>
      <c r="DK20" s="15">
        <v>0</v>
      </c>
      <c r="DL20" s="15">
        <v>0</v>
      </c>
      <c r="DM20" s="17">
        <v>0</v>
      </c>
      <c r="DN20" s="15">
        <v>0</v>
      </c>
      <c r="DO20" s="15">
        <v>0</v>
      </c>
      <c r="DP20" s="17">
        <v>0</v>
      </c>
      <c r="DQ20" s="15">
        <v>0</v>
      </c>
      <c r="DR20" s="15">
        <v>0</v>
      </c>
      <c r="DS20" s="17">
        <v>0</v>
      </c>
      <c r="DT20" s="15">
        <v>0</v>
      </c>
      <c r="DU20" s="15">
        <v>0</v>
      </c>
      <c r="DV20" s="17">
        <v>0</v>
      </c>
      <c r="DW20" s="15">
        <v>0</v>
      </c>
      <c r="DX20" s="15">
        <v>0</v>
      </c>
      <c r="DY20" s="17">
        <v>0</v>
      </c>
      <c r="DZ20" s="15">
        <v>0</v>
      </c>
      <c r="EA20" s="15">
        <v>0</v>
      </c>
      <c r="EB20" s="17">
        <v>0</v>
      </c>
      <c r="EC20" s="15">
        <v>0</v>
      </c>
      <c r="ED20" s="15">
        <v>0</v>
      </c>
      <c r="EE20" s="17">
        <v>0</v>
      </c>
      <c r="EF20" s="15">
        <v>0</v>
      </c>
      <c r="EG20" s="15">
        <v>0</v>
      </c>
      <c r="EH20" s="17">
        <v>0</v>
      </c>
      <c r="EI20" s="15">
        <v>0</v>
      </c>
      <c r="EJ20" s="15">
        <v>0</v>
      </c>
      <c r="EK20" s="17">
        <v>0</v>
      </c>
      <c r="EL20" s="15">
        <v>0</v>
      </c>
      <c r="EM20" s="15">
        <v>0</v>
      </c>
      <c r="EN20" s="17">
        <v>0</v>
      </c>
      <c r="EO20" s="15">
        <v>0</v>
      </c>
      <c r="EP20" s="15">
        <v>0</v>
      </c>
      <c r="EQ20" s="17">
        <v>0</v>
      </c>
      <c r="ER20" s="15">
        <v>0</v>
      </c>
      <c r="ES20" s="15">
        <v>0</v>
      </c>
      <c r="ET20" s="17">
        <v>0</v>
      </c>
      <c r="EU20" s="15">
        <v>0</v>
      </c>
      <c r="EV20" s="15">
        <v>0</v>
      </c>
      <c r="EW20" s="17">
        <v>0</v>
      </c>
      <c r="EX20" s="15">
        <v>0</v>
      </c>
      <c r="EY20" s="15">
        <v>0</v>
      </c>
      <c r="EZ20" s="17">
        <v>0</v>
      </c>
      <c r="FA20" s="15">
        <v>0</v>
      </c>
      <c r="FB20" s="15">
        <v>0</v>
      </c>
      <c r="FC20" s="17">
        <v>0</v>
      </c>
      <c r="FD20" s="55"/>
      <c r="FE20" s="56"/>
    </row>
    <row r="21" spans="1:161" ht="12.75">
      <c r="A21" s="40">
        <v>43852</v>
      </c>
      <c r="B21" s="44">
        <f t="shared" ref="B21:D21" si="32">SUM(P21,S21,V21,Y21,AK21,AN21,AQ21,AT21,AW21,AZ21,BF21,BR21,BU21,BX21,CM21,CP21,CS21,DH21,DB21,DK21,DW21,DZ21,EC21,EF21,ER21,EU21,)</f>
        <v>0</v>
      </c>
      <c r="C21" s="44">
        <f t="shared" si="32"/>
        <v>0</v>
      </c>
      <c r="D21" s="44">
        <f t="shared" si="32"/>
        <v>0</v>
      </c>
      <c r="E21" s="45">
        <f t="shared" si="1"/>
        <v>0</v>
      </c>
      <c r="F21" s="47">
        <f t="shared" ref="F21:H21" si="33">SUM(P21,S21,V21,AE21,AH21,AK21,AN21,AQ21,AT21,AW21,AZ21,BF21,BL21,BR21,BX21,CG21,CM21,CP21,CV21,DK21,DN21,DQ21,DT21,DZ21,EL21,EO21,ER21)</f>
        <v>0</v>
      </c>
      <c r="G21" s="41">
        <f t="shared" si="33"/>
        <v>0</v>
      </c>
      <c r="H21" s="41">
        <f t="shared" si="33"/>
        <v>0</v>
      </c>
      <c r="I21" s="51">
        <f t="shared" si="3"/>
        <v>0</v>
      </c>
      <c r="J21" s="15">
        <v>0</v>
      </c>
      <c r="K21" s="15">
        <v>0</v>
      </c>
      <c r="L21" s="17">
        <v>0</v>
      </c>
      <c r="M21" s="15">
        <v>0</v>
      </c>
      <c r="N21" s="15">
        <v>0</v>
      </c>
      <c r="O21" s="17">
        <v>0</v>
      </c>
      <c r="P21" s="15">
        <v>0</v>
      </c>
      <c r="Q21" s="15">
        <v>0</v>
      </c>
      <c r="R21" s="17">
        <v>0</v>
      </c>
      <c r="S21" s="15">
        <v>0</v>
      </c>
      <c r="T21" s="15">
        <v>0</v>
      </c>
      <c r="U21" s="17">
        <v>0</v>
      </c>
      <c r="V21" s="15">
        <v>0</v>
      </c>
      <c r="W21" s="15">
        <v>0</v>
      </c>
      <c r="X21" s="17">
        <v>0</v>
      </c>
      <c r="Y21" s="15">
        <v>0</v>
      </c>
      <c r="Z21" s="15">
        <v>0</v>
      </c>
      <c r="AA21" s="17">
        <v>0</v>
      </c>
      <c r="AB21" s="15">
        <v>0</v>
      </c>
      <c r="AC21" s="15">
        <v>0</v>
      </c>
      <c r="AD21" s="17">
        <v>0</v>
      </c>
      <c r="AE21" s="15">
        <v>0</v>
      </c>
      <c r="AF21" s="15">
        <v>0</v>
      </c>
      <c r="AG21" s="17">
        <v>0</v>
      </c>
      <c r="AH21" s="15">
        <v>0</v>
      </c>
      <c r="AI21" s="15">
        <v>0</v>
      </c>
      <c r="AJ21" s="17">
        <v>0</v>
      </c>
      <c r="AK21" s="15">
        <v>0</v>
      </c>
      <c r="AL21" s="15">
        <v>0</v>
      </c>
      <c r="AM21" s="17">
        <v>0</v>
      </c>
      <c r="AN21" s="15">
        <v>0</v>
      </c>
      <c r="AO21" s="15">
        <v>0</v>
      </c>
      <c r="AP21" s="17">
        <v>0</v>
      </c>
      <c r="AQ21" s="15">
        <v>0</v>
      </c>
      <c r="AR21" s="15">
        <v>0</v>
      </c>
      <c r="AS21" s="17">
        <v>0</v>
      </c>
      <c r="AT21" s="15">
        <v>0</v>
      </c>
      <c r="AU21" s="15">
        <v>0</v>
      </c>
      <c r="AV21" s="17">
        <v>0</v>
      </c>
      <c r="AW21" s="15">
        <v>0</v>
      </c>
      <c r="AX21" s="15">
        <v>0</v>
      </c>
      <c r="AY21" s="17">
        <v>0</v>
      </c>
      <c r="AZ21" s="15">
        <v>0</v>
      </c>
      <c r="BA21" s="15">
        <v>0</v>
      </c>
      <c r="BB21" s="17">
        <v>0</v>
      </c>
      <c r="BC21" s="15">
        <v>0</v>
      </c>
      <c r="BD21" s="15">
        <v>0</v>
      </c>
      <c r="BE21" s="17">
        <v>0</v>
      </c>
      <c r="BF21" s="15">
        <v>0</v>
      </c>
      <c r="BG21" s="15">
        <v>0</v>
      </c>
      <c r="BH21" s="17">
        <v>0</v>
      </c>
      <c r="BI21" s="15">
        <v>0</v>
      </c>
      <c r="BJ21" s="15">
        <v>0</v>
      </c>
      <c r="BK21" s="17">
        <v>0</v>
      </c>
      <c r="BL21" s="15">
        <v>0</v>
      </c>
      <c r="BM21" s="15">
        <v>0</v>
      </c>
      <c r="BN21" s="17">
        <v>0</v>
      </c>
      <c r="BO21" s="15">
        <v>0</v>
      </c>
      <c r="BP21" s="15">
        <v>0</v>
      </c>
      <c r="BQ21" s="17">
        <v>0</v>
      </c>
      <c r="BR21" s="15">
        <v>0</v>
      </c>
      <c r="BS21" s="15">
        <v>0</v>
      </c>
      <c r="BT21" s="17">
        <v>0</v>
      </c>
      <c r="BU21" s="15">
        <v>0</v>
      </c>
      <c r="BV21" s="15">
        <v>0</v>
      </c>
      <c r="BW21" s="17">
        <v>0</v>
      </c>
      <c r="BX21" s="15">
        <v>0</v>
      </c>
      <c r="BY21" s="53">
        <v>0</v>
      </c>
      <c r="BZ21" s="17">
        <v>0</v>
      </c>
      <c r="CA21" s="15">
        <v>0</v>
      </c>
      <c r="CB21" s="15">
        <v>0</v>
      </c>
      <c r="CC21" s="17">
        <v>0</v>
      </c>
      <c r="CD21" s="15">
        <v>0</v>
      </c>
      <c r="CE21" s="15">
        <v>0</v>
      </c>
      <c r="CF21" s="17">
        <v>0</v>
      </c>
      <c r="CG21" s="15">
        <v>0</v>
      </c>
      <c r="CH21" s="15">
        <v>0</v>
      </c>
      <c r="CI21" s="17">
        <v>0</v>
      </c>
      <c r="CJ21" s="15">
        <v>0</v>
      </c>
      <c r="CK21" s="15">
        <v>0</v>
      </c>
      <c r="CL21" s="17">
        <v>0</v>
      </c>
      <c r="CM21" s="15">
        <v>0</v>
      </c>
      <c r="CN21" s="15">
        <v>0</v>
      </c>
      <c r="CO21" s="17">
        <v>0</v>
      </c>
      <c r="CP21" s="15">
        <v>0</v>
      </c>
      <c r="CQ21" s="15">
        <v>0</v>
      </c>
      <c r="CR21" s="17">
        <v>0</v>
      </c>
      <c r="CS21" s="15">
        <v>0</v>
      </c>
      <c r="CT21" s="15">
        <v>0</v>
      </c>
      <c r="CU21" s="17">
        <v>0</v>
      </c>
      <c r="CV21" s="15">
        <v>0</v>
      </c>
      <c r="CW21" s="15">
        <v>0</v>
      </c>
      <c r="CX21" s="17">
        <v>0</v>
      </c>
      <c r="CY21" s="15">
        <v>0</v>
      </c>
      <c r="CZ21" s="15">
        <v>0</v>
      </c>
      <c r="DA21" s="17">
        <v>0</v>
      </c>
      <c r="DB21" s="15">
        <v>0</v>
      </c>
      <c r="DC21" s="15">
        <v>0</v>
      </c>
      <c r="DD21" s="17">
        <v>0</v>
      </c>
      <c r="DE21" s="15">
        <v>0</v>
      </c>
      <c r="DF21" s="15">
        <v>0</v>
      </c>
      <c r="DG21" s="17">
        <v>0</v>
      </c>
      <c r="DH21" s="15">
        <v>0</v>
      </c>
      <c r="DI21" s="15">
        <v>0</v>
      </c>
      <c r="DJ21" s="17">
        <v>0</v>
      </c>
      <c r="DK21" s="15">
        <v>0</v>
      </c>
      <c r="DL21" s="15">
        <v>0</v>
      </c>
      <c r="DM21" s="17">
        <v>0</v>
      </c>
      <c r="DN21" s="15">
        <v>0</v>
      </c>
      <c r="DO21" s="15">
        <v>0</v>
      </c>
      <c r="DP21" s="17">
        <v>0</v>
      </c>
      <c r="DQ21" s="15">
        <v>0</v>
      </c>
      <c r="DR21" s="15">
        <v>0</v>
      </c>
      <c r="DS21" s="17">
        <v>0</v>
      </c>
      <c r="DT21" s="15">
        <v>0</v>
      </c>
      <c r="DU21" s="15">
        <v>0</v>
      </c>
      <c r="DV21" s="17">
        <v>0</v>
      </c>
      <c r="DW21" s="15">
        <v>0</v>
      </c>
      <c r="DX21" s="15">
        <v>0</v>
      </c>
      <c r="DY21" s="17">
        <v>0</v>
      </c>
      <c r="DZ21" s="15">
        <v>0</v>
      </c>
      <c r="EA21" s="15">
        <v>0</v>
      </c>
      <c r="EB21" s="17">
        <v>0</v>
      </c>
      <c r="EC21" s="15">
        <v>0</v>
      </c>
      <c r="ED21" s="15">
        <v>0</v>
      </c>
      <c r="EE21" s="17">
        <v>0</v>
      </c>
      <c r="EF21" s="15">
        <v>0</v>
      </c>
      <c r="EG21" s="15">
        <v>0</v>
      </c>
      <c r="EH21" s="17">
        <v>0</v>
      </c>
      <c r="EI21" s="15">
        <v>0</v>
      </c>
      <c r="EJ21" s="15">
        <v>0</v>
      </c>
      <c r="EK21" s="17">
        <v>0</v>
      </c>
      <c r="EL21" s="15">
        <v>0</v>
      </c>
      <c r="EM21" s="15">
        <v>0</v>
      </c>
      <c r="EN21" s="17">
        <v>0</v>
      </c>
      <c r="EO21" s="15">
        <v>0</v>
      </c>
      <c r="EP21" s="15">
        <v>0</v>
      </c>
      <c r="EQ21" s="17">
        <v>0</v>
      </c>
      <c r="ER21" s="15">
        <v>0</v>
      </c>
      <c r="ES21" s="15">
        <v>0</v>
      </c>
      <c r="ET21" s="17">
        <v>0</v>
      </c>
      <c r="EU21" s="15">
        <v>0</v>
      </c>
      <c r="EV21" s="15">
        <v>0</v>
      </c>
      <c r="EW21" s="17">
        <v>0</v>
      </c>
      <c r="EX21" s="15">
        <v>0</v>
      </c>
      <c r="EY21" s="15">
        <v>0</v>
      </c>
      <c r="EZ21" s="17">
        <v>0</v>
      </c>
      <c r="FA21" s="15">
        <v>0</v>
      </c>
      <c r="FB21" s="15">
        <v>0</v>
      </c>
      <c r="FC21" s="17">
        <v>0</v>
      </c>
      <c r="FD21" s="55"/>
      <c r="FE21" s="56"/>
    </row>
    <row r="22" spans="1:161" ht="12.75">
      <c r="A22" s="40">
        <v>43853</v>
      </c>
      <c r="B22" s="44">
        <f t="shared" ref="B22:D22" si="34">SUM(P22,S22,V22,Y22,AK22,AN22,AQ22,AT22,AW22,AZ22,BF22,BR22,BU22,BX22,CM22,CP22,CS22,DH22,DB22,DK22,DW22,DZ22,EC22,EF22,ER22,EU22,)</f>
        <v>0</v>
      </c>
      <c r="C22" s="44">
        <f t="shared" si="34"/>
        <v>0</v>
      </c>
      <c r="D22" s="44">
        <f t="shared" si="34"/>
        <v>0</v>
      </c>
      <c r="E22" s="45">
        <f t="shared" si="1"/>
        <v>0</v>
      </c>
      <c r="F22" s="47">
        <f t="shared" ref="F22:H22" si="35">SUM(P22,S22,V22,AE22,AH22,AK22,AN22,AQ22,AT22,AW22,AZ22,BF22,BL22,BR22,BX22,CG22,CM22,CP22,CV22,DK22,DN22,DQ22,DT22,DZ22,EL22,EO22,ER22)</f>
        <v>0</v>
      </c>
      <c r="G22" s="41">
        <f t="shared" si="35"/>
        <v>0</v>
      </c>
      <c r="H22" s="41">
        <f t="shared" si="35"/>
        <v>0</v>
      </c>
      <c r="I22" s="51">
        <f t="shared" si="3"/>
        <v>0</v>
      </c>
      <c r="J22" s="15">
        <v>0</v>
      </c>
      <c r="K22" s="15">
        <v>0</v>
      </c>
      <c r="L22" s="17">
        <v>0</v>
      </c>
      <c r="M22" s="15">
        <v>0</v>
      </c>
      <c r="N22" s="15">
        <v>0</v>
      </c>
      <c r="O22" s="17">
        <v>0</v>
      </c>
      <c r="P22" s="15">
        <v>0</v>
      </c>
      <c r="Q22" s="15">
        <v>0</v>
      </c>
      <c r="R22" s="17">
        <v>0</v>
      </c>
      <c r="S22" s="15">
        <v>0</v>
      </c>
      <c r="T22" s="15">
        <v>0</v>
      </c>
      <c r="U22" s="17">
        <v>0</v>
      </c>
      <c r="V22" s="15">
        <v>0</v>
      </c>
      <c r="W22" s="15">
        <v>0</v>
      </c>
      <c r="X22" s="17">
        <v>0</v>
      </c>
      <c r="Y22" s="15">
        <v>0</v>
      </c>
      <c r="Z22" s="15">
        <v>0</v>
      </c>
      <c r="AA22" s="17">
        <v>0</v>
      </c>
      <c r="AB22" s="15">
        <v>0</v>
      </c>
      <c r="AC22" s="15">
        <v>0</v>
      </c>
      <c r="AD22" s="17">
        <v>0</v>
      </c>
      <c r="AE22" s="15">
        <v>0</v>
      </c>
      <c r="AF22" s="15">
        <v>0</v>
      </c>
      <c r="AG22" s="17">
        <v>0</v>
      </c>
      <c r="AH22" s="15">
        <v>0</v>
      </c>
      <c r="AI22" s="15">
        <v>0</v>
      </c>
      <c r="AJ22" s="17">
        <v>0</v>
      </c>
      <c r="AK22" s="15">
        <v>0</v>
      </c>
      <c r="AL22" s="15">
        <v>0</v>
      </c>
      <c r="AM22" s="17">
        <v>0</v>
      </c>
      <c r="AN22" s="15">
        <v>0</v>
      </c>
      <c r="AO22" s="15">
        <v>0</v>
      </c>
      <c r="AP22" s="17">
        <v>0</v>
      </c>
      <c r="AQ22" s="15">
        <v>0</v>
      </c>
      <c r="AR22" s="15">
        <v>0</v>
      </c>
      <c r="AS22" s="17">
        <v>0</v>
      </c>
      <c r="AT22" s="15">
        <v>0</v>
      </c>
      <c r="AU22" s="15">
        <v>0</v>
      </c>
      <c r="AV22" s="17">
        <v>0</v>
      </c>
      <c r="AW22" s="15">
        <v>0</v>
      </c>
      <c r="AX22" s="15">
        <v>0</v>
      </c>
      <c r="AY22" s="17">
        <v>0</v>
      </c>
      <c r="AZ22" s="15">
        <v>0</v>
      </c>
      <c r="BA22" s="15">
        <v>0</v>
      </c>
      <c r="BB22" s="17">
        <v>0</v>
      </c>
      <c r="BC22" s="15">
        <v>0</v>
      </c>
      <c r="BD22" s="15">
        <v>0</v>
      </c>
      <c r="BE22" s="17">
        <v>0</v>
      </c>
      <c r="BF22" s="15">
        <v>0</v>
      </c>
      <c r="BG22" s="15">
        <v>0</v>
      </c>
      <c r="BH22" s="17">
        <v>0</v>
      </c>
      <c r="BI22" s="15">
        <v>0</v>
      </c>
      <c r="BJ22" s="15">
        <v>0</v>
      </c>
      <c r="BK22" s="17">
        <v>0</v>
      </c>
      <c r="BL22" s="15">
        <v>0</v>
      </c>
      <c r="BM22" s="15">
        <v>0</v>
      </c>
      <c r="BN22" s="17">
        <v>0</v>
      </c>
      <c r="BO22" s="15">
        <v>0</v>
      </c>
      <c r="BP22" s="15">
        <v>0</v>
      </c>
      <c r="BQ22" s="17">
        <v>0</v>
      </c>
      <c r="BR22" s="15">
        <v>0</v>
      </c>
      <c r="BS22" s="15">
        <v>0</v>
      </c>
      <c r="BT22" s="17">
        <v>0</v>
      </c>
      <c r="BU22" s="15">
        <v>0</v>
      </c>
      <c r="BV22" s="15">
        <v>0</v>
      </c>
      <c r="BW22" s="17">
        <v>0</v>
      </c>
      <c r="BX22" s="15">
        <v>0</v>
      </c>
      <c r="BY22" s="53">
        <v>0</v>
      </c>
      <c r="BZ22" s="17">
        <v>0</v>
      </c>
      <c r="CA22" s="15">
        <v>0</v>
      </c>
      <c r="CB22" s="15">
        <v>0</v>
      </c>
      <c r="CC22" s="17">
        <v>0</v>
      </c>
      <c r="CD22" s="15">
        <v>0</v>
      </c>
      <c r="CE22" s="15">
        <v>0</v>
      </c>
      <c r="CF22" s="17">
        <v>0</v>
      </c>
      <c r="CG22" s="15">
        <v>0</v>
      </c>
      <c r="CH22" s="15">
        <v>0</v>
      </c>
      <c r="CI22" s="17">
        <v>0</v>
      </c>
      <c r="CJ22" s="15">
        <v>0</v>
      </c>
      <c r="CK22" s="15">
        <v>0</v>
      </c>
      <c r="CL22" s="17">
        <v>0</v>
      </c>
      <c r="CM22" s="15">
        <v>0</v>
      </c>
      <c r="CN22" s="15">
        <v>0</v>
      </c>
      <c r="CO22" s="17">
        <v>0</v>
      </c>
      <c r="CP22" s="15">
        <v>0</v>
      </c>
      <c r="CQ22" s="15">
        <v>0</v>
      </c>
      <c r="CR22" s="17">
        <v>0</v>
      </c>
      <c r="CS22" s="15">
        <v>0</v>
      </c>
      <c r="CT22" s="15">
        <v>0</v>
      </c>
      <c r="CU22" s="17">
        <v>0</v>
      </c>
      <c r="CV22" s="15">
        <v>0</v>
      </c>
      <c r="CW22" s="15">
        <v>0</v>
      </c>
      <c r="CX22" s="17">
        <v>0</v>
      </c>
      <c r="CY22" s="15">
        <v>0</v>
      </c>
      <c r="CZ22" s="15">
        <v>0</v>
      </c>
      <c r="DA22" s="17">
        <v>0</v>
      </c>
      <c r="DB22" s="15">
        <v>0</v>
      </c>
      <c r="DC22" s="15">
        <v>0</v>
      </c>
      <c r="DD22" s="17">
        <v>0</v>
      </c>
      <c r="DE22" s="15">
        <v>0</v>
      </c>
      <c r="DF22" s="15">
        <v>0</v>
      </c>
      <c r="DG22" s="17">
        <v>0</v>
      </c>
      <c r="DH22" s="15">
        <v>0</v>
      </c>
      <c r="DI22" s="15">
        <v>0</v>
      </c>
      <c r="DJ22" s="17">
        <v>0</v>
      </c>
      <c r="DK22" s="15">
        <v>0</v>
      </c>
      <c r="DL22" s="15">
        <v>0</v>
      </c>
      <c r="DM22" s="17">
        <v>0</v>
      </c>
      <c r="DN22" s="15">
        <v>0</v>
      </c>
      <c r="DO22" s="15">
        <v>0</v>
      </c>
      <c r="DP22" s="17">
        <v>0</v>
      </c>
      <c r="DQ22" s="15">
        <v>0</v>
      </c>
      <c r="DR22" s="15">
        <v>0</v>
      </c>
      <c r="DS22" s="17">
        <v>0</v>
      </c>
      <c r="DT22" s="15">
        <v>0</v>
      </c>
      <c r="DU22" s="15">
        <v>0</v>
      </c>
      <c r="DV22" s="17">
        <v>0</v>
      </c>
      <c r="DW22" s="15">
        <v>0</v>
      </c>
      <c r="DX22" s="15">
        <v>0</v>
      </c>
      <c r="DY22" s="17">
        <v>0</v>
      </c>
      <c r="DZ22" s="15">
        <v>0</v>
      </c>
      <c r="EA22" s="15">
        <v>0</v>
      </c>
      <c r="EB22" s="17">
        <v>0</v>
      </c>
      <c r="EC22" s="15">
        <v>0</v>
      </c>
      <c r="ED22" s="15">
        <v>0</v>
      </c>
      <c r="EE22" s="17">
        <v>0</v>
      </c>
      <c r="EF22" s="15">
        <v>0</v>
      </c>
      <c r="EG22" s="15">
        <v>0</v>
      </c>
      <c r="EH22" s="17">
        <v>0</v>
      </c>
      <c r="EI22" s="15">
        <v>0</v>
      </c>
      <c r="EJ22" s="15">
        <v>0</v>
      </c>
      <c r="EK22" s="17">
        <v>0</v>
      </c>
      <c r="EL22" s="15">
        <v>0</v>
      </c>
      <c r="EM22" s="15">
        <v>0</v>
      </c>
      <c r="EN22" s="17">
        <v>0</v>
      </c>
      <c r="EO22" s="15">
        <v>0</v>
      </c>
      <c r="EP22" s="15">
        <v>0</v>
      </c>
      <c r="EQ22" s="17">
        <v>0</v>
      </c>
      <c r="ER22" s="15">
        <v>0</v>
      </c>
      <c r="ES22" s="15">
        <v>0</v>
      </c>
      <c r="ET22" s="17">
        <v>0</v>
      </c>
      <c r="EU22" s="15">
        <v>0</v>
      </c>
      <c r="EV22" s="15">
        <v>0</v>
      </c>
      <c r="EW22" s="17">
        <v>0</v>
      </c>
      <c r="EX22" s="15">
        <v>0</v>
      </c>
      <c r="EY22" s="15">
        <v>0</v>
      </c>
      <c r="EZ22" s="17">
        <v>0</v>
      </c>
      <c r="FA22" s="15">
        <v>0</v>
      </c>
      <c r="FB22" s="15">
        <v>0</v>
      </c>
      <c r="FC22" s="17">
        <v>0</v>
      </c>
      <c r="FD22" s="55"/>
      <c r="FE22" s="56"/>
    </row>
    <row r="23" spans="1:161" ht="12.75">
      <c r="A23" s="40">
        <v>43854</v>
      </c>
      <c r="B23" s="41">
        <f t="shared" ref="B23:D23" si="36">SUM(J23,P23,S23,V23,Y23,AB23,AK23,AN23,AQ23,AT23,AW23,AZ23,BC23,BF23,BL23,BO23,BR23,BU23,BX23,CG23,CJ23,CM23,CP23,CS23,CV23,DH23,CY23,DB23,DK23,DN23,DQ23,DT23,DW23,DZ23,EC23,EF23,EI23,EL23,EO23,ER23,EU23,EX23,FA23,)</f>
        <v>0</v>
      </c>
      <c r="C23" s="41">
        <f t="shared" si="36"/>
        <v>0</v>
      </c>
      <c r="D23" s="41">
        <f t="shared" si="36"/>
        <v>0</v>
      </c>
      <c r="E23" s="51">
        <f t="shared" si="1"/>
        <v>0</v>
      </c>
      <c r="F23" s="47">
        <f t="shared" ref="F23:H23" si="37">SUM(P23,S23,V23,AE23,AH23,AK23,AN23,AQ23,AT23,AW23,AZ23,BF23,BL23,BR23,BX23,CG23,CM23,CP23,CV23,DK23,DN23,DQ23,DT23,DZ23,EL23,EO23,ER23)</f>
        <v>0</v>
      </c>
      <c r="G23" s="41">
        <f t="shared" si="37"/>
        <v>0</v>
      </c>
      <c r="H23" s="41">
        <f t="shared" si="37"/>
        <v>0</v>
      </c>
      <c r="I23" s="51">
        <f t="shared" si="3"/>
        <v>0</v>
      </c>
      <c r="J23" s="15">
        <v>0</v>
      </c>
      <c r="K23" s="15">
        <v>0</v>
      </c>
      <c r="L23" s="17">
        <v>0</v>
      </c>
      <c r="M23" s="15">
        <v>0</v>
      </c>
      <c r="N23" s="15">
        <v>0</v>
      </c>
      <c r="O23" s="17">
        <v>0</v>
      </c>
      <c r="P23" s="15">
        <v>0</v>
      </c>
      <c r="Q23" s="15">
        <v>0</v>
      </c>
      <c r="R23" s="17">
        <v>0</v>
      </c>
      <c r="S23" s="15">
        <v>0</v>
      </c>
      <c r="T23" s="15">
        <v>0</v>
      </c>
      <c r="U23" s="17">
        <v>0</v>
      </c>
      <c r="V23" s="15">
        <v>0</v>
      </c>
      <c r="W23" s="15">
        <v>0</v>
      </c>
      <c r="X23" s="17">
        <v>0</v>
      </c>
      <c r="Y23" s="15">
        <v>0</v>
      </c>
      <c r="Z23" s="15">
        <v>0</v>
      </c>
      <c r="AA23" s="17">
        <v>0</v>
      </c>
      <c r="AB23" s="15">
        <v>0</v>
      </c>
      <c r="AC23" s="15">
        <v>0</v>
      </c>
      <c r="AD23" s="17">
        <v>0</v>
      </c>
      <c r="AE23" s="15">
        <v>0</v>
      </c>
      <c r="AF23" s="15">
        <v>0</v>
      </c>
      <c r="AG23" s="17">
        <v>0</v>
      </c>
      <c r="AH23" s="15">
        <v>0</v>
      </c>
      <c r="AI23" s="15">
        <v>0</v>
      </c>
      <c r="AJ23" s="17">
        <v>0</v>
      </c>
      <c r="AK23" s="15">
        <v>0</v>
      </c>
      <c r="AL23" s="15">
        <v>0</v>
      </c>
      <c r="AM23" s="17">
        <v>0</v>
      </c>
      <c r="AN23" s="15">
        <v>0</v>
      </c>
      <c r="AO23" s="15">
        <v>0</v>
      </c>
      <c r="AP23" s="17">
        <v>0</v>
      </c>
      <c r="AQ23" s="15">
        <v>0</v>
      </c>
      <c r="AR23" s="15">
        <v>0</v>
      </c>
      <c r="AS23" s="17">
        <v>0</v>
      </c>
      <c r="AT23" s="15">
        <v>0</v>
      </c>
      <c r="AU23" s="15">
        <v>0</v>
      </c>
      <c r="AV23" s="17">
        <v>0</v>
      </c>
      <c r="AW23" s="15">
        <v>0</v>
      </c>
      <c r="AX23" s="15">
        <v>0</v>
      </c>
      <c r="AY23" s="17">
        <v>0</v>
      </c>
      <c r="AZ23" s="15">
        <v>0</v>
      </c>
      <c r="BA23" s="15">
        <v>0</v>
      </c>
      <c r="BB23" s="17">
        <v>0</v>
      </c>
      <c r="BC23" s="15">
        <v>0</v>
      </c>
      <c r="BD23" s="15">
        <v>0</v>
      </c>
      <c r="BE23" s="17">
        <v>0</v>
      </c>
      <c r="BF23" s="15">
        <v>0</v>
      </c>
      <c r="BG23" s="15">
        <v>0</v>
      </c>
      <c r="BH23" s="17">
        <v>0</v>
      </c>
      <c r="BI23" s="15">
        <v>0</v>
      </c>
      <c r="BJ23" s="15">
        <v>0</v>
      </c>
      <c r="BK23" s="17">
        <v>0</v>
      </c>
      <c r="BL23" s="15">
        <v>0</v>
      </c>
      <c r="BM23" s="15">
        <v>0</v>
      </c>
      <c r="BN23" s="17">
        <v>0</v>
      </c>
      <c r="BO23" s="15">
        <v>0</v>
      </c>
      <c r="BP23" s="15">
        <v>0</v>
      </c>
      <c r="BQ23" s="17">
        <v>0</v>
      </c>
      <c r="BR23" s="15">
        <v>0</v>
      </c>
      <c r="BS23" s="15">
        <v>0</v>
      </c>
      <c r="BT23" s="17">
        <v>0</v>
      </c>
      <c r="BU23" s="15">
        <v>0</v>
      </c>
      <c r="BV23" s="15">
        <v>0</v>
      </c>
      <c r="BW23" s="17">
        <v>0</v>
      </c>
      <c r="BX23" s="15">
        <v>0</v>
      </c>
      <c r="BY23" s="53">
        <v>0</v>
      </c>
      <c r="BZ23" s="17">
        <v>0</v>
      </c>
      <c r="CA23" s="15">
        <v>0</v>
      </c>
      <c r="CB23" s="15">
        <v>0</v>
      </c>
      <c r="CC23" s="17">
        <v>0</v>
      </c>
      <c r="CD23" s="15">
        <v>0</v>
      </c>
      <c r="CE23" s="15">
        <v>0</v>
      </c>
      <c r="CF23" s="17">
        <v>0</v>
      </c>
      <c r="CG23" s="15">
        <v>0</v>
      </c>
      <c r="CH23" s="15">
        <v>0</v>
      </c>
      <c r="CI23" s="17">
        <v>0</v>
      </c>
      <c r="CJ23" s="15">
        <v>0</v>
      </c>
      <c r="CK23" s="15">
        <v>0</v>
      </c>
      <c r="CL23" s="17">
        <v>0</v>
      </c>
      <c r="CM23" s="15">
        <v>0</v>
      </c>
      <c r="CN23" s="15">
        <v>0</v>
      </c>
      <c r="CO23" s="17">
        <v>0</v>
      </c>
      <c r="CP23" s="15">
        <v>0</v>
      </c>
      <c r="CQ23" s="15">
        <v>0</v>
      </c>
      <c r="CR23" s="17">
        <v>0</v>
      </c>
      <c r="CS23" s="15">
        <v>0</v>
      </c>
      <c r="CT23" s="15">
        <v>0</v>
      </c>
      <c r="CU23" s="17">
        <v>0</v>
      </c>
      <c r="CV23" s="15">
        <v>0</v>
      </c>
      <c r="CW23" s="15">
        <v>0</v>
      </c>
      <c r="CX23" s="17">
        <v>0</v>
      </c>
      <c r="CY23" s="15">
        <v>0</v>
      </c>
      <c r="CZ23" s="15">
        <v>0</v>
      </c>
      <c r="DA23" s="17">
        <v>0</v>
      </c>
      <c r="DB23" s="15">
        <v>0</v>
      </c>
      <c r="DC23" s="15">
        <v>0</v>
      </c>
      <c r="DD23" s="17">
        <v>0</v>
      </c>
      <c r="DE23" s="15">
        <v>0</v>
      </c>
      <c r="DF23" s="15">
        <v>0</v>
      </c>
      <c r="DG23" s="17">
        <v>0</v>
      </c>
      <c r="DH23" s="15">
        <v>0</v>
      </c>
      <c r="DI23" s="15">
        <v>0</v>
      </c>
      <c r="DJ23" s="17">
        <v>0</v>
      </c>
      <c r="DK23" s="15">
        <v>0</v>
      </c>
      <c r="DL23" s="15">
        <v>0</v>
      </c>
      <c r="DM23" s="17">
        <v>0</v>
      </c>
      <c r="DN23" s="15">
        <v>0</v>
      </c>
      <c r="DO23" s="15">
        <v>0</v>
      </c>
      <c r="DP23" s="17">
        <v>0</v>
      </c>
      <c r="DQ23" s="15">
        <v>0</v>
      </c>
      <c r="DR23" s="15">
        <v>0</v>
      </c>
      <c r="DS23" s="17">
        <v>0</v>
      </c>
      <c r="DT23" s="15">
        <v>0</v>
      </c>
      <c r="DU23" s="15">
        <v>0</v>
      </c>
      <c r="DV23" s="17">
        <v>0</v>
      </c>
      <c r="DW23" s="15">
        <v>0</v>
      </c>
      <c r="DX23" s="15">
        <v>0</v>
      </c>
      <c r="DY23" s="17">
        <v>0</v>
      </c>
      <c r="DZ23" s="15">
        <v>0</v>
      </c>
      <c r="EA23" s="15">
        <v>0</v>
      </c>
      <c r="EB23" s="17">
        <v>0</v>
      </c>
      <c r="EC23" s="15">
        <v>0</v>
      </c>
      <c r="ED23" s="15">
        <v>0</v>
      </c>
      <c r="EE23" s="17">
        <v>0</v>
      </c>
      <c r="EF23" s="15">
        <v>0</v>
      </c>
      <c r="EG23" s="15">
        <v>0</v>
      </c>
      <c r="EH23" s="17">
        <v>0</v>
      </c>
      <c r="EI23" s="15">
        <v>0</v>
      </c>
      <c r="EJ23" s="15">
        <v>0</v>
      </c>
      <c r="EK23" s="17">
        <v>0</v>
      </c>
      <c r="EL23" s="15">
        <v>0</v>
      </c>
      <c r="EM23" s="15">
        <v>0</v>
      </c>
      <c r="EN23" s="17">
        <v>0</v>
      </c>
      <c r="EO23" s="15">
        <v>0</v>
      </c>
      <c r="EP23" s="15">
        <v>0</v>
      </c>
      <c r="EQ23" s="17">
        <v>0</v>
      </c>
      <c r="ER23" s="15">
        <v>0</v>
      </c>
      <c r="ES23" s="15">
        <v>0</v>
      </c>
      <c r="ET23" s="17">
        <v>0</v>
      </c>
      <c r="EU23" s="15">
        <v>0</v>
      </c>
      <c r="EV23" s="15">
        <v>0</v>
      </c>
      <c r="EW23" s="17">
        <v>0</v>
      </c>
      <c r="EX23" s="15">
        <v>0</v>
      </c>
      <c r="EY23" s="15">
        <v>0</v>
      </c>
      <c r="EZ23" s="17">
        <v>0</v>
      </c>
      <c r="FA23" s="15">
        <v>0</v>
      </c>
      <c r="FB23" s="15">
        <v>0</v>
      </c>
      <c r="FC23" s="17">
        <v>0</v>
      </c>
      <c r="FD23" s="55"/>
      <c r="FE23" s="56"/>
    </row>
    <row r="24" spans="1:161" ht="12.75">
      <c r="A24" s="40">
        <v>43855</v>
      </c>
      <c r="B24" s="84">
        <f t="shared" ref="B24:D24" si="38">SUM(J24,P24,S24,V24,Y24,AB24,AK24,AN24,AQ24,AT24,AW24,AZ24,BC24,BF24,BL24,BO24,BR24,BU24,BX24,CG24,CJ24,CM24,CP24,CS24,CV24,DH24,CY24,DB24,DK24,DN24,DQ24,DT24,DW24,DZ24,EC24,EF24,EI24,EL24,EO24,ER24,EU24,EX24,FA24,)</f>
        <v>3</v>
      </c>
      <c r="C24" s="44">
        <f t="shared" si="38"/>
        <v>0</v>
      </c>
      <c r="D24" s="44">
        <f t="shared" si="38"/>
        <v>0</v>
      </c>
      <c r="E24" s="85">
        <f t="shared" si="1"/>
        <v>3</v>
      </c>
      <c r="F24" s="86">
        <f t="shared" ref="F24:H24" si="39">SUM(P24,S24,V24,AE24,AH24,AK24,AN24,AQ24,AT24,AW24,AZ24,BF24,BL24,BR24,BX24,CG24,CM24,CP24,CV24,DK24,DN24,DQ24,DT24,DZ24,EL24,EO24,ER24)</f>
        <v>3</v>
      </c>
      <c r="G24" s="41">
        <f t="shared" si="39"/>
        <v>0</v>
      </c>
      <c r="H24" s="41">
        <f t="shared" si="39"/>
        <v>0</v>
      </c>
      <c r="I24" s="85">
        <f t="shared" si="3"/>
        <v>3</v>
      </c>
      <c r="J24" s="15">
        <v>0</v>
      </c>
      <c r="K24" s="15">
        <v>0</v>
      </c>
      <c r="L24" s="17">
        <v>0</v>
      </c>
      <c r="M24" s="15">
        <v>0</v>
      </c>
      <c r="N24" s="15">
        <v>0</v>
      </c>
      <c r="O24" s="17">
        <v>0</v>
      </c>
      <c r="P24" s="15">
        <v>0</v>
      </c>
      <c r="Q24" s="15">
        <v>0</v>
      </c>
      <c r="R24" s="17">
        <v>0</v>
      </c>
      <c r="S24" s="15">
        <v>0</v>
      </c>
      <c r="T24" s="15">
        <v>0</v>
      </c>
      <c r="U24" s="17">
        <v>0</v>
      </c>
      <c r="V24" s="15">
        <v>0</v>
      </c>
      <c r="W24" s="15">
        <v>0</v>
      </c>
      <c r="X24" s="17">
        <v>0</v>
      </c>
      <c r="Y24" s="15">
        <v>0</v>
      </c>
      <c r="Z24" s="15">
        <v>0</v>
      </c>
      <c r="AA24" s="17">
        <v>0</v>
      </c>
      <c r="AB24" s="15">
        <v>0</v>
      </c>
      <c r="AC24" s="15">
        <v>0</v>
      </c>
      <c r="AD24" s="17">
        <v>0</v>
      </c>
      <c r="AE24" s="15">
        <v>0</v>
      </c>
      <c r="AF24" s="15">
        <v>0</v>
      </c>
      <c r="AG24" s="17">
        <v>0</v>
      </c>
      <c r="AH24" s="15">
        <v>0</v>
      </c>
      <c r="AI24" s="15">
        <v>0</v>
      </c>
      <c r="AJ24" s="17">
        <v>0</v>
      </c>
      <c r="AK24" s="15">
        <v>0</v>
      </c>
      <c r="AL24" s="15">
        <v>0</v>
      </c>
      <c r="AM24" s="17">
        <v>0</v>
      </c>
      <c r="AN24" s="15">
        <v>0</v>
      </c>
      <c r="AO24" s="15">
        <v>0</v>
      </c>
      <c r="AP24" s="17">
        <v>0</v>
      </c>
      <c r="AQ24" s="15">
        <v>0</v>
      </c>
      <c r="AR24" s="15">
        <v>0</v>
      </c>
      <c r="AS24" s="17">
        <v>0</v>
      </c>
      <c r="AT24" s="15">
        <v>0</v>
      </c>
      <c r="AU24" s="15">
        <v>0</v>
      </c>
      <c r="AV24" s="17">
        <v>0</v>
      </c>
      <c r="AW24" s="15">
        <v>0</v>
      </c>
      <c r="AX24" s="15">
        <v>0</v>
      </c>
      <c r="AY24" s="17">
        <v>0</v>
      </c>
      <c r="AZ24" s="87">
        <v>3</v>
      </c>
      <c r="BA24" s="15">
        <v>0</v>
      </c>
      <c r="BB24" s="17">
        <v>0</v>
      </c>
      <c r="BC24" s="15">
        <v>0</v>
      </c>
      <c r="BD24" s="15">
        <v>0</v>
      </c>
      <c r="BE24" s="17">
        <v>0</v>
      </c>
      <c r="BF24" s="15">
        <v>0</v>
      </c>
      <c r="BG24" s="15">
        <v>0</v>
      </c>
      <c r="BH24" s="17">
        <v>0</v>
      </c>
      <c r="BI24" s="15">
        <v>0</v>
      </c>
      <c r="BJ24" s="15">
        <v>0</v>
      </c>
      <c r="BK24" s="17">
        <v>0</v>
      </c>
      <c r="BL24" s="15">
        <v>0</v>
      </c>
      <c r="BM24" s="15">
        <v>0</v>
      </c>
      <c r="BN24" s="17">
        <v>0</v>
      </c>
      <c r="BO24" s="15">
        <v>0</v>
      </c>
      <c r="BP24" s="15">
        <v>0</v>
      </c>
      <c r="BQ24" s="17">
        <v>0</v>
      </c>
      <c r="BR24" s="15">
        <v>0</v>
      </c>
      <c r="BS24" s="15">
        <v>0</v>
      </c>
      <c r="BT24" s="17">
        <v>0</v>
      </c>
      <c r="BU24" s="15">
        <v>0</v>
      </c>
      <c r="BV24" s="15">
        <v>0</v>
      </c>
      <c r="BW24" s="17">
        <v>0</v>
      </c>
      <c r="BX24" s="15">
        <v>0</v>
      </c>
      <c r="BY24" s="53">
        <v>0</v>
      </c>
      <c r="BZ24" s="17">
        <v>0</v>
      </c>
      <c r="CA24" s="15">
        <v>0</v>
      </c>
      <c r="CB24" s="15">
        <v>0</v>
      </c>
      <c r="CC24" s="17">
        <v>0</v>
      </c>
      <c r="CD24" s="15">
        <v>0</v>
      </c>
      <c r="CE24" s="15">
        <v>0</v>
      </c>
      <c r="CF24" s="17">
        <v>0</v>
      </c>
      <c r="CG24" s="15">
        <v>0</v>
      </c>
      <c r="CH24" s="15">
        <v>0</v>
      </c>
      <c r="CI24" s="17">
        <v>0</v>
      </c>
      <c r="CJ24" s="15">
        <v>0</v>
      </c>
      <c r="CK24" s="15">
        <v>0</v>
      </c>
      <c r="CL24" s="17">
        <v>0</v>
      </c>
      <c r="CM24" s="15">
        <v>0</v>
      </c>
      <c r="CN24" s="15">
        <v>0</v>
      </c>
      <c r="CO24" s="17">
        <v>0</v>
      </c>
      <c r="CP24" s="15">
        <v>0</v>
      </c>
      <c r="CQ24" s="15">
        <v>0</v>
      </c>
      <c r="CR24" s="17">
        <v>0</v>
      </c>
      <c r="CS24" s="15">
        <v>0</v>
      </c>
      <c r="CT24" s="15">
        <v>0</v>
      </c>
      <c r="CU24" s="17">
        <v>0</v>
      </c>
      <c r="CV24" s="15">
        <v>0</v>
      </c>
      <c r="CW24" s="15">
        <v>0</v>
      </c>
      <c r="CX24" s="17">
        <v>0</v>
      </c>
      <c r="CY24" s="15">
        <v>0</v>
      </c>
      <c r="CZ24" s="15">
        <v>0</v>
      </c>
      <c r="DA24" s="17">
        <v>0</v>
      </c>
      <c r="DB24" s="15">
        <v>0</v>
      </c>
      <c r="DC24" s="15">
        <v>0</v>
      </c>
      <c r="DD24" s="17">
        <v>0</v>
      </c>
      <c r="DE24" s="15">
        <v>0</v>
      </c>
      <c r="DF24" s="15">
        <v>0</v>
      </c>
      <c r="DG24" s="17">
        <v>0</v>
      </c>
      <c r="DH24" s="15">
        <v>0</v>
      </c>
      <c r="DI24" s="15">
        <v>0</v>
      </c>
      <c r="DJ24" s="17">
        <v>0</v>
      </c>
      <c r="DK24" s="15">
        <v>0</v>
      </c>
      <c r="DL24" s="15">
        <v>0</v>
      </c>
      <c r="DM24" s="17">
        <v>0</v>
      </c>
      <c r="DN24" s="15">
        <v>0</v>
      </c>
      <c r="DO24" s="15">
        <v>0</v>
      </c>
      <c r="DP24" s="17">
        <v>0</v>
      </c>
      <c r="DQ24" s="15">
        <v>0</v>
      </c>
      <c r="DR24" s="15">
        <v>0</v>
      </c>
      <c r="DS24" s="17">
        <v>0</v>
      </c>
      <c r="DT24" s="15">
        <v>0</v>
      </c>
      <c r="DU24" s="15">
        <v>0</v>
      </c>
      <c r="DV24" s="17">
        <v>0</v>
      </c>
      <c r="DW24" s="15">
        <v>0</v>
      </c>
      <c r="DX24" s="15">
        <v>0</v>
      </c>
      <c r="DY24" s="17">
        <v>0</v>
      </c>
      <c r="DZ24" s="15">
        <v>0</v>
      </c>
      <c r="EA24" s="15">
        <v>0</v>
      </c>
      <c r="EB24" s="17">
        <v>0</v>
      </c>
      <c r="EC24" s="15">
        <v>0</v>
      </c>
      <c r="ED24" s="15">
        <v>0</v>
      </c>
      <c r="EE24" s="17">
        <v>0</v>
      </c>
      <c r="EF24" s="15">
        <v>0</v>
      </c>
      <c r="EG24" s="15">
        <v>0</v>
      </c>
      <c r="EH24" s="17">
        <v>0</v>
      </c>
      <c r="EI24" s="15">
        <v>0</v>
      </c>
      <c r="EJ24" s="15">
        <v>0</v>
      </c>
      <c r="EK24" s="17">
        <v>0</v>
      </c>
      <c r="EL24" s="15">
        <v>0</v>
      </c>
      <c r="EM24" s="15">
        <v>0</v>
      </c>
      <c r="EN24" s="17">
        <v>0</v>
      </c>
      <c r="EO24" s="15">
        <v>0</v>
      </c>
      <c r="EP24" s="15">
        <v>0</v>
      </c>
      <c r="EQ24" s="17">
        <v>0</v>
      </c>
      <c r="ER24" s="15">
        <v>0</v>
      </c>
      <c r="ES24" s="15">
        <v>0</v>
      </c>
      <c r="ET24" s="17">
        <v>0</v>
      </c>
      <c r="EU24" s="15">
        <v>0</v>
      </c>
      <c r="EV24" s="15">
        <v>0</v>
      </c>
      <c r="EW24" s="17">
        <v>0</v>
      </c>
      <c r="EX24" s="15">
        <v>0</v>
      </c>
      <c r="EY24" s="15">
        <v>0</v>
      </c>
      <c r="EZ24" s="17">
        <v>0</v>
      </c>
      <c r="FA24" s="15">
        <v>0</v>
      </c>
      <c r="FB24" s="15">
        <v>0</v>
      </c>
      <c r="FC24" s="17">
        <v>0</v>
      </c>
      <c r="FD24" s="55" t="s">
        <v>201</v>
      </c>
      <c r="FE24" s="57" t="s">
        <v>192</v>
      </c>
    </row>
    <row r="25" spans="1:161" ht="12.75">
      <c r="A25" s="40">
        <v>43856</v>
      </c>
      <c r="B25" s="84">
        <f t="shared" ref="B25:D25" si="40">SUM(J25,P25,S25,V25,Y25,AB25,AK25,AN25,AQ25,AT25,AW25,AZ25,BC25,BF25,BL25,BO25,BR25,BU25,BX25,CG25,CJ25,CM25,CP25,CS25,CV25,DH25,CY25,DB25,DK25,DN25,DQ25,DT25,DW25,DZ25,EC25,EF25,EI25,EL25,EO25,ER25,EU25,EX25,FA25,)</f>
        <v>3</v>
      </c>
      <c r="C25" s="44">
        <f t="shared" si="40"/>
        <v>0</v>
      </c>
      <c r="D25" s="44">
        <f t="shared" si="40"/>
        <v>0</v>
      </c>
      <c r="E25" s="85">
        <f t="shared" si="1"/>
        <v>3</v>
      </c>
      <c r="F25" s="86">
        <f t="shared" ref="F25:H25" si="41">SUM(P25,S25,V25,AE25,AH25,AK25,AN25,AQ25,AT25,AW25,AZ25,BF25,BL25,BR25,BX25,CG25,CM25,CP25,CV25,DK25,DN25,DQ25,DT25,DZ25,EL25,EO25,ER25)</f>
        <v>3</v>
      </c>
      <c r="G25" s="41">
        <f t="shared" si="41"/>
        <v>0</v>
      </c>
      <c r="H25" s="41">
        <f t="shared" si="41"/>
        <v>0</v>
      </c>
      <c r="I25" s="85">
        <f t="shared" si="3"/>
        <v>3</v>
      </c>
      <c r="J25" s="15">
        <v>0</v>
      </c>
      <c r="K25" s="15">
        <v>0</v>
      </c>
      <c r="L25" s="17">
        <v>0</v>
      </c>
      <c r="M25" s="15">
        <v>0</v>
      </c>
      <c r="N25" s="15">
        <v>0</v>
      </c>
      <c r="O25" s="17">
        <v>0</v>
      </c>
      <c r="P25" s="15">
        <v>0</v>
      </c>
      <c r="Q25" s="15">
        <v>0</v>
      </c>
      <c r="R25" s="17">
        <v>0</v>
      </c>
      <c r="S25" s="15">
        <v>0</v>
      </c>
      <c r="T25" s="15">
        <v>0</v>
      </c>
      <c r="U25" s="17">
        <v>0</v>
      </c>
      <c r="V25" s="15">
        <v>0</v>
      </c>
      <c r="W25" s="15">
        <v>0</v>
      </c>
      <c r="X25" s="17">
        <v>0</v>
      </c>
      <c r="Y25" s="15">
        <v>0</v>
      </c>
      <c r="Z25" s="15">
        <v>0</v>
      </c>
      <c r="AA25" s="17">
        <v>0</v>
      </c>
      <c r="AB25" s="15">
        <v>0</v>
      </c>
      <c r="AC25" s="15">
        <v>0</v>
      </c>
      <c r="AD25" s="17">
        <v>0</v>
      </c>
      <c r="AE25" s="15">
        <v>0</v>
      </c>
      <c r="AF25" s="15">
        <v>0</v>
      </c>
      <c r="AG25" s="17">
        <v>0</v>
      </c>
      <c r="AH25" s="15">
        <v>0</v>
      </c>
      <c r="AI25" s="15">
        <v>0</v>
      </c>
      <c r="AJ25" s="17">
        <v>0</v>
      </c>
      <c r="AK25" s="15">
        <v>0</v>
      </c>
      <c r="AL25" s="15">
        <v>0</v>
      </c>
      <c r="AM25" s="17">
        <v>0</v>
      </c>
      <c r="AN25" s="15">
        <v>0</v>
      </c>
      <c r="AO25" s="15">
        <v>0</v>
      </c>
      <c r="AP25" s="17">
        <v>0</v>
      </c>
      <c r="AQ25" s="15">
        <v>0</v>
      </c>
      <c r="AR25" s="15">
        <v>0</v>
      </c>
      <c r="AS25" s="17">
        <v>0</v>
      </c>
      <c r="AT25" s="15">
        <v>0</v>
      </c>
      <c r="AU25" s="15">
        <v>0</v>
      </c>
      <c r="AV25" s="17">
        <v>0</v>
      </c>
      <c r="AW25" s="15">
        <v>0</v>
      </c>
      <c r="AX25" s="15">
        <v>0</v>
      </c>
      <c r="AY25" s="17">
        <v>0</v>
      </c>
      <c r="AZ25" s="87">
        <v>3</v>
      </c>
      <c r="BA25" s="53">
        <v>0</v>
      </c>
      <c r="BB25" s="17">
        <v>0</v>
      </c>
      <c r="BC25" s="15">
        <v>0</v>
      </c>
      <c r="BD25" s="15">
        <v>0</v>
      </c>
      <c r="BE25" s="17">
        <v>0</v>
      </c>
      <c r="BF25" s="15">
        <v>0</v>
      </c>
      <c r="BG25" s="15">
        <v>0</v>
      </c>
      <c r="BH25" s="17">
        <v>0</v>
      </c>
      <c r="BI25" s="15">
        <v>0</v>
      </c>
      <c r="BJ25" s="15">
        <v>0</v>
      </c>
      <c r="BK25" s="17">
        <v>0</v>
      </c>
      <c r="BL25" s="15">
        <v>0</v>
      </c>
      <c r="BM25" s="15">
        <v>0</v>
      </c>
      <c r="BN25" s="17">
        <v>0</v>
      </c>
      <c r="BO25" s="15">
        <v>0</v>
      </c>
      <c r="BP25" s="15">
        <v>0</v>
      </c>
      <c r="BQ25" s="17">
        <v>0</v>
      </c>
      <c r="BR25" s="15">
        <v>0</v>
      </c>
      <c r="BS25" s="15">
        <v>0</v>
      </c>
      <c r="BT25" s="17">
        <v>0</v>
      </c>
      <c r="BU25" s="15">
        <v>0</v>
      </c>
      <c r="BV25" s="15">
        <v>0</v>
      </c>
      <c r="BW25" s="17">
        <v>0</v>
      </c>
      <c r="BX25" s="15">
        <v>0</v>
      </c>
      <c r="BY25" s="53">
        <v>0</v>
      </c>
      <c r="BZ25" s="17">
        <v>0</v>
      </c>
      <c r="CA25" s="15">
        <v>0</v>
      </c>
      <c r="CB25" s="15">
        <v>0</v>
      </c>
      <c r="CC25" s="17">
        <v>0</v>
      </c>
      <c r="CD25" s="15">
        <v>0</v>
      </c>
      <c r="CE25" s="15">
        <v>0</v>
      </c>
      <c r="CF25" s="17">
        <v>0</v>
      </c>
      <c r="CG25" s="15">
        <v>0</v>
      </c>
      <c r="CH25" s="15">
        <v>0</v>
      </c>
      <c r="CI25" s="17">
        <v>0</v>
      </c>
      <c r="CJ25" s="15">
        <v>0</v>
      </c>
      <c r="CK25" s="15">
        <v>0</v>
      </c>
      <c r="CL25" s="17">
        <v>0</v>
      </c>
      <c r="CM25" s="15">
        <v>0</v>
      </c>
      <c r="CN25" s="15">
        <v>0</v>
      </c>
      <c r="CO25" s="17">
        <v>0</v>
      </c>
      <c r="CP25" s="15">
        <v>0</v>
      </c>
      <c r="CQ25" s="15">
        <v>0</v>
      </c>
      <c r="CR25" s="17">
        <v>0</v>
      </c>
      <c r="CS25" s="15">
        <v>0</v>
      </c>
      <c r="CT25" s="15">
        <v>0</v>
      </c>
      <c r="CU25" s="17">
        <v>0</v>
      </c>
      <c r="CV25" s="15">
        <v>0</v>
      </c>
      <c r="CW25" s="15">
        <v>0</v>
      </c>
      <c r="CX25" s="17">
        <v>0</v>
      </c>
      <c r="CY25" s="15">
        <v>0</v>
      </c>
      <c r="CZ25" s="15">
        <v>0</v>
      </c>
      <c r="DA25" s="17">
        <v>0</v>
      </c>
      <c r="DB25" s="15">
        <v>0</v>
      </c>
      <c r="DC25" s="15">
        <v>0</v>
      </c>
      <c r="DD25" s="17">
        <v>0</v>
      </c>
      <c r="DE25" s="15">
        <v>0</v>
      </c>
      <c r="DF25" s="15">
        <v>0</v>
      </c>
      <c r="DG25" s="17">
        <v>0</v>
      </c>
      <c r="DH25" s="15">
        <v>0</v>
      </c>
      <c r="DI25" s="15">
        <v>0</v>
      </c>
      <c r="DJ25" s="17">
        <v>0</v>
      </c>
      <c r="DK25" s="15">
        <v>0</v>
      </c>
      <c r="DL25" s="15">
        <v>0</v>
      </c>
      <c r="DM25" s="17">
        <v>0</v>
      </c>
      <c r="DN25" s="15">
        <v>0</v>
      </c>
      <c r="DO25" s="15">
        <v>0</v>
      </c>
      <c r="DP25" s="17">
        <v>0</v>
      </c>
      <c r="DQ25" s="15">
        <v>0</v>
      </c>
      <c r="DR25" s="15">
        <v>0</v>
      </c>
      <c r="DS25" s="17">
        <v>0</v>
      </c>
      <c r="DT25" s="15">
        <v>0</v>
      </c>
      <c r="DU25" s="15">
        <v>0</v>
      </c>
      <c r="DV25" s="17">
        <v>0</v>
      </c>
      <c r="DW25" s="15">
        <v>0</v>
      </c>
      <c r="DX25" s="15">
        <v>0</v>
      </c>
      <c r="DY25" s="17">
        <v>0</v>
      </c>
      <c r="DZ25" s="15">
        <v>0</v>
      </c>
      <c r="EA25" s="15">
        <v>0</v>
      </c>
      <c r="EB25" s="17">
        <v>0</v>
      </c>
      <c r="EC25" s="15">
        <v>0</v>
      </c>
      <c r="ED25" s="15">
        <v>0</v>
      </c>
      <c r="EE25" s="17">
        <v>0</v>
      </c>
      <c r="EF25" s="15">
        <v>0</v>
      </c>
      <c r="EG25" s="15">
        <v>0</v>
      </c>
      <c r="EH25" s="17">
        <v>0</v>
      </c>
      <c r="EI25" s="15">
        <v>0</v>
      </c>
      <c r="EJ25" s="15">
        <v>0</v>
      </c>
      <c r="EK25" s="17">
        <v>0</v>
      </c>
      <c r="EL25" s="15">
        <v>0</v>
      </c>
      <c r="EM25" s="15">
        <v>0</v>
      </c>
      <c r="EN25" s="17">
        <v>0</v>
      </c>
      <c r="EO25" s="15">
        <v>0</v>
      </c>
      <c r="EP25" s="15">
        <v>0</v>
      </c>
      <c r="EQ25" s="17">
        <v>0</v>
      </c>
      <c r="ER25" s="15">
        <v>0</v>
      </c>
      <c r="ES25" s="15">
        <v>0</v>
      </c>
      <c r="ET25" s="17">
        <v>0</v>
      </c>
      <c r="EU25" s="15">
        <v>0</v>
      </c>
      <c r="EV25" s="15">
        <v>0</v>
      </c>
      <c r="EW25" s="17">
        <v>0</v>
      </c>
      <c r="EX25" s="15">
        <v>0</v>
      </c>
      <c r="EY25" s="15">
        <v>0</v>
      </c>
      <c r="EZ25" s="17">
        <v>0</v>
      </c>
      <c r="FA25" s="15">
        <v>0</v>
      </c>
      <c r="FB25" s="15">
        <v>0</v>
      </c>
      <c r="FC25" s="17">
        <v>0</v>
      </c>
      <c r="FD25" s="55"/>
      <c r="FE25" s="56"/>
    </row>
    <row r="26" spans="1:161" ht="12.75">
      <c r="A26" s="40">
        <v>43857</v>
      </c>
      <c r="B26" s="84">
        <f t="shared" ref="B26:D26" si="42">SUM(J26,P26,S26,V26,Y26,AB26,AK26,AN26,AQ26,AT26,AW26,AZ26,BC26,BF26,BL26,BO26,BR26,BU26,BX26,CG26,CJ26,CM26,CP26,CS26,CV26,DH26,CY26,DB26,DK26,DN26,DQ26,DT26,DW26,DZ26,EC26,EF26,EI26,EL26,EO26,ER26,EU26,EX26,FA26,)</f>
        <v>4</v>
      </c>
      <c r="C26" s="44">
        <f t="shared" si="42"/>
        <v>0</v>
      </c>
      <c r="D26" s="44">
        <f t="shared" si="42"/>
        <v>0</v>
      </c>
      <c r="E26" s="85">
        <f t="shared" si="1"/>
        <v>4</v>
      </c>
      <c r="F26" s="86">
        <f t="shared" ref="F26:H26" si="43">SUM(P26,S26,V26,AE26,AH26,AK26,AN26,AQ26,AT26,AW26,AZ26,BF26,BL26,BR26,BX26,CG26,CM26,CP26,CV26,DK26,DN26,DQ26,DT26,DZ26,EL26,EO26,ER26)</f>
        <v>4</v>
      </c>
      <c r="G26" s="41">
        <f t="shared" si="43"/>
        <v>0</v>
      </c>
      <c r="H26" s="41">
        <f t="shared" si="43"/>
        <v>0</v>
      </c>
      <c r="I26" s="85">
        <f t="shared" si="3"/>
        <v>4</v>
      </c>
      <c r="J26" s="15">
        <v>0</v>
      </c>
      <c r="K26" s="15">
        <v>0</v>
      </c>
      <c r="L26" s="17">
        <v>0</v>
      </c>
      <c r="M26" s="15">
        <v>0</v>
      </c>
      <c r="N26" s="15">
        <v>0</v>
      </c>
      <c r="O26" s="17">
        <v>0</v>
      </c>
      <c r="P26" s="87">
        <v>1</v>
      </c>
      <c r="Q26" s="15">
        <v>0</v>
      </c>
      <c r="R26" s="17">
        <v>0</v>
      </c>
      <c r="S26" s="15">
        <v>0</v>
      </c>
      <c r="T26" s="15">
        <v>0</v>
      </c>
      <c r="U26" s="17">
        <v>0</v>
      </c>
      <c r="V26" s="15">
        <v>0</v>
      </c>
      <c r="W26" s="15">
        <v>0</v>
      </c>
      <c r="X26" s="17">
        <v>0</v>
      </c>
      <c r="Y26" s="15">
        <v>0</v>
      </c>
      <c r="Z26" s="15">
        <v>0</v>
      </c>
      <c r="AA26" s="17">
        <v>0</v>
      </c>
      <c r="AB26" s="15">
        <v>0</v>
      </c>
      <c r="AC26" s="15">
        <v>0</v>
      </c>
      <c r="AD26" s="17">
        <v>0</v>
      </c>
      <c r="AE26" s="15">
        <v>0</v>
      </c>
      <c r="AF26" s="15">
        <v>0</v>
      </c>
      <c r="AG26" s="17">
        <v>0</v>
      </c>
      <c r="AH26" s="15">
        <v>0</v>
      </c>
      <c r="AI26" s="15">
        <v>0</v>
      </c>
      <c r="AJ26" s="17">
        <v>0</v>
      </c>
      <c r="AK26" s="15">
        <v>0</v>
      </c>
      <c r="AL26" s="15">
        <v>0</v>
      </c>
      <c r="AM26" s="17">
        <v>0</v>
      </c>
      <c r="AN26" s="15">
        <v>0</v>
      </c>
      <c r="AO26" s="15">
        <v>0</v>
      </c>
      <c r="AP26" s="17">
        <v>0</v>
      </c>
      <c r="AQ26" s="15">
        <v>0</v>
      </c>
      <c r="AR26" s="15">
        <v>0</v>
      </c>
      <c r="AS26" s="17">
        <v>0</v>
      </c>
      <c r="AT26" s="15">
        <v>0</v>
      </c>
      <c r="AU26" s="15">
        <v>0</v>
      </c>
      <c r="AV26" s="17">
        <v>0</v>
      </c>
      <c r="AW26" s="15">
        <v>0</v>
      </c>
      <c r="AX26" s="15">
        <v>0</v>
      </c>
      <c r="AY26" s="17">
        <v>0</v>
      </c>
      <c r="AZ26" s="87">
        <v>3</v>
      </c>
      <c r="BA26" s="53">
        <v>0</v>
      </c>
      <c r="BB26" s="17">
        <v>0</v>
      </c>
      <c r="BC26" s="15">
        <v>0</v>
      </c>
      <c r="BD26" s="15">
        <v>0</v>
      </c>
      <c r="BE26" s="17">
        <v>0</v>
      </c>
      <c r="BF26" s="15">
        <v>0</v>
      </c>
      <c r="BG26" s="15">
        <v>0</v>
      </c>
      <c r="BH26" s="17">
        <v>0</v>
      </c>
      <c r="BI26" s="15">
        <v>0</v>
      </c>
      <c r="BJ26" s="15">
        <v>0</v>
      </c>
      <c r="BK26" s="17">
        <v>0</v>
      </c>
      <c r="BL26" s="15">
        <v>0</v>
      </c>
      <c r="BM26" s="15">
        <v>0</v>
      </c>
      <c r="BN26" s="17">
        <v>0</v>
      </c>
      <c r="BO26" s="15">
        <v>0</v>
      </c>
      <c r="BP26" s="15">
        <v>0</v>
      </c>
      <c r="BQ26" s="17">
        <v>0</v>
      </c>
      <c r="BR26" s="15">
        <v>0</v>
      </c>
      <c r="BS26" s="15">
        <v>0</v>
      </c>
      <c r="BT26" s="17">
        <v>0</v>
      </c>
      <c r="BU26" s="15">
        <v>0</v>
      </c>
      <c r="BV26" s="15">
        <v>0</v>
      </c>
      <c r="BW26" s="17">
        <v>0</v>
      </c>
      <c r="BX26" s="15">
        <v>0</v>
      </c>
      <c r="BY26" s="53">
        <v>0</v>
      </c>
      <c r="BZ26" s="17">
        <v>0</v>
      </c>
      <c r="CA26" s="15">
        <v>0</v>
      </c>
      <c r="CB26" s="15">
        <v>0</v>
      </c>
      <c r="CC26" s="17">
        <v>0</v>
      </c>
      <c r="CD26" s="15">
        <v>0</v>
      </c>
      <c r="CE26" s="15">
        <v>0</v>
      </c>
      <c r="CF26" s="17">
        <v>0</v>
      </c>
      <c r="CG26" s="15">
        <v>0</v>
      </c>
      <c r="CH26" s="15">
        <v>0</v>
      </c>
      <c r="CI26" s="17">
        <v>0</v>
      </c>
      <c r="CJ26" s="15">
        <v>0</v>
      </c>
      <c r="CK26" s="15">
        <v>0</v>
      </c>
      <c r="CL26" s="17">
        <v>0</v>
      </c>
      <c r="CM26" s="15">
        <v>0</v>
      </c>
      <c r="CN26" s="15">
        <v>0</v>
      </c>
      <c r="CO26" s="17">
        <v>0</v>
      </c>
      <c r="CP26" s="15">
        <v>0</v>
      </c>
      <c r="CQ26" s="15">
        <v>0</v>
      </c>
      <c r="CR26" s="17">
        <v>0</v>
      </c>
      <c r="CS26" s="15">
        <v>0</v>
      </c>
      <c r="CT26" s="15">
        <v>0</v>
      </c>
      <c r="CU26" s="17">
        <v>0</v>
      </c>
      <c r="CV26" s="15">
        <v>0</v>
      </c>
      <c r="CW26" s="15">
        <v>0</v>
      </c>
      <c r="CX26" s="17">
        <v>0</v>
      </c>
      <c r="CY26" s="15">
        <v>0</v>
      </c>
      <c r="CZ26" s="15">
        <v>0</v>
      </c>
      <c r="DA26" s="17">
        <v>0</v>
      </c>
      <c r="DB26" s="15">
        <v>0</v>
      </c>
      <c r="DC26" s="15">
        <v>0</v>
      </c>
      <c r="DD26" s="17">
        <v>0</v>
      </c>
      <c r="DE26" s="15">
        <v>0</v>
      </c>
      <c r="DF26" s="15">
        <v>0</v>
      </c>
      <c r="DG26" s="17">
        <v>0</v>
      </c>
      <c r="DH26" s="15">
        <v>0</v>
      </c>
      <c r="DI26" s="15">
        <v>0</v>
      </c>
      <c r="DJ26" s="17">
        <v>0</v>
      </c>
      <c r="DK26" s="15">
        <v>0</v>
      </c>
      <c r="DL26" s="15">
        <v>0</v>
      </c>
      <c r="DM26" s="17">
        <v>0</v>
      </c>
      <c r="DN26" s="15">
        <v>0</v>
      </c>
      <c r="DO26" s="15">
        <v>0</v>
      </c>
      <c r="DP26" s="17">
        <v>0</v>
      </c>
      <c r="DQ26" s="15">
        <v>0</v>
      </c>
      <c r="DR26" s="15">
        <v>0</v>
      </c>
      <c r="DS26" s="17">
        <v>0</v>
      </c>
      <c r="DT26" s="15">
        <v>0</v>
      </c>
      <c r="DU26" s="15">
        <v>0</v>
      </c>
      <c r="DV26" s="17">
        <v>0</v>
      </c>
      <c r="DW26" s="15">
        <v>0</v>
      </c>
      <c r="DX26" s="15">
        <v>0</v>
      </c>
      <c r="DY26" s="17">
        <v>0</v>
      </c>
      <c r="DZ26" s="15">
        <v>0</v>
      </c>
      <c r="EA26" s="15">
        <v>0</v>
      </c>
      <c r="EB26" s="17">
        <v>0</v>
      </c>
      <c r="EC26" s="15">
        <v>0</v>
      </c>
      <c r="ED26" s="15">
        <v>0</v>
      </c>
      <c r="EE26" s="17">
        <v>0</v>
      </c>
      <c r="EF26" s="15">
        <v>0</v>
      </c>
      <c r="EG26" s="15">
        <v>0</v>
      </c>
      <c r="EH26" s="17">
        <v>0</v>
      </c>
      <c r="EI26" s="15">
        <v>0</v>
      </c>
      <c r="EJ26" s="15">
        <v>0</v>
      </c>
      <c r="EK26" s="17">
        <v>0</v>
      </c>
      <c r="EL26" s="15">
        <v>0</v>
      </c>
      <c r="EM26" s="15">
        <v>0</v>
      </c>
      <c r="EN26" s="17">
        <v>0</v>
      </c>
      <c r="EO26" s="15">
        <v>0</v>
      </c>
      <c r="EP26" s="15">
        <v>0</v>
      </c>
      <c r="EQ26" s="17">
        <v>0</v>
      </c>
      <c r="ER26" s="15">
        <v>0</v>
      </c>
      <c r="ES26" s="15">
        <v>0</v>
      </c>
      <c r="ET26" s="17">
        <v>0</v>
      </c>
      <c r="EU26" s="15">
        <v>0</v>
      </c>
      <c r="EV26" s="15">
        <v>0</v>
      </c>
      <c r="EW26" s="17">
        <v>0</v>
      </c>
      <c r="EX26" s="15">
        <v>0</v>
      </c>
      <c r="EY26" s="15">
        <v>0</v>
      </c>
      <c r="EZ26" s="17">
        <v>0</v>
      </c>
      <c r="FA26" s="15">
        <v>0</v>
      </c>
      <c r="FB26" s="15">
        <v>0</v>
      </c>
      <c r="FC26" s="17">
        <v>0</v>
      </c>
      <c r="FD26" s="55" t="s">
        <v>203</v>
      </c>
      <c r="FE26" s="77" t="s">
        <v>195</v>
      </c>
    </row>
    <row r="27" spans="1:161" ht="12.75">
      <c r="A27" s="40">
        <v>43858</v>
      </c>
      <c r="B27" s="84">
        <f t="shared" ref="B27:D27" si="44">SUM(J27,P27,S27,V27,Y27,AB27,AK27,AN27,AQ27,AT27,AW27,AZ27,BC27,BF27,BL27,BO27,BR27,BU27,BX27,CG27,CJ27,CM27,CP27,CS27,CV27,DH27,CY27,DB27,DK27,DN27,DQ27,DT27,DW27,DZ27,EC27,EF27,EI27,EL27,EO27,ER27,EU27,EX27,FA27,)</f>
        <v>8</v>
      </c>
      <c r="C27" s="44">
        <f t="shared" si="44"/>
        <v>0</v>
      </c>
      <c r="D27" s="44">
        <f t="shared" si="44"/>
        <v>0</v>
      </c>
      <c r="E27" s="85">
        <f t="shared" si="1"/>
        <v>8</v>
      </c>
      <c r="F27" s="86">
        <f t="shared" ref="F27:H27" si="45">SUM(P27,S27,V27,AE27,AH27,AK27,AN27,AQ27,AT27,AW27,AZ27,BF27,BL27,BR27,BX27,CG27,CM27,CP27,CV27,DK27,DN27,DQ27,DT27,DZ27,EL27,EO27,ER27)</f>
        <v>8</v>
      </c>
      <c r="G27" s="41">
        <f t="shared" si="45"/>
        <v>0</v>
      </c>
      <c r="H27" s="41">
        <f t="shared" si="45"/>
        <v>0</v>
      </c>
      <c r="I27" s="85">
        <f t="shared" si="3"/>
        <v>8</v>
      </c>
      <c r="J27" s="15">
        <v>0</v>
      </c>
      <c r="K27" s="15">
        <v>0</v>
      </c>
      <c r="L27" s="17">
        <v>0</v>
      </c>
      <c r="M27" s="15">
        <v>0</v>
      </c>
      <c r="N27" s="15">
        <v>0</v>
      </c>
      <c r="O27" s="17">
        <v>0</v>
      </c>
      <c r="P27" s="87">
        <v>4</v>
      </c>
      <c r="Q27" s="15">
        <v>0</v>
      </c>
      <c r="R27" s="17">
        <v>0</v>
      </c>
      <c r="S27" s="15">
        <v>0</v>
      </c>
      <c r="T27" s="15">
        <v>0</v>
      </c>
      <c r="U27" s="17">
        <v>0</v>
      </c>
      <c r="V27" s="15">
        <v>0</v>
      </c>
      <c r="W27" s="15">
        <v>0</v>
      </c>
      <c r="X27" s="17">
        <v>0</v>
      </c>
      <c r="Y27" s="15">
        <v>0</v>
      </c>
      <c r="Z27" s="15">
        <v>0</v>
      </c>
      <c r="AA27" s="17">
        <v>0</v>
      </c>
      <c r="AB27" s="15">
        <v>0</v>
      </c>
      <c r="AC27" s="15">
        <v>0</v>
      </c>
      <c r="AD27" s="17">
        <v>0</v>
      </c>
      <c r="AE27" s="15">
        <v>0</v>
      </c>
      <c r="AF27" s="15">
        <v>0</v>
      </c>
      <c r="AG27" s="17">
        <v>0</v>
      </c>
      <c r="AH27" s="15">
        <v>0</v>
      </c>
      <c r="AI27" s="15">
        <v>0</v>
      </c>
      <c r="AJ27" s="17">
        <v>0</v>
      </c>
      <c r="AK27" s="15">
        <v>0</v>
      </c>
      <c r="AL27" s="15">
        <v>0</v>
      </c>
      <c r="AM27" s="17">
        <v>0</v>
      </c>
      <c r="AN27" s="15">
        <v>0</v>
      </c>
      <c r="AO27" s="15">
        <v>0</v>
      </c>
      <c r="AP27" s="17">
        <v>0</v>
      </c>
      <c r="AQ27" s="15">
        <v>0</v>
      </c>
      <c r="AR27" s="15">
        <v>0</v>
      </c>
      <c r="AS27" s="17">
        <v>0</v>
      </c>
      <c r="AT27" s="15">
        <v>0</v>
      </c>
      <c r="AU27" s="15">
        <v>0</v>
      </c>
      <c r="AV27" s="17">
        <v>0</v>
      </c>
      <c r="AW27" s="15">
        <v>0</v>
      </c>
      <c r="AX27" s="15">
        <v>0</v>
      </c>
      <c r="AY27" s="17">
        <v>0</v>
      </c>
      <c r="AZ27" s="87">
        <v>4</v>
      </c>
      <c r="BA27" s="53">
        <v>0</v>
      </c>
      <c r="BB27" s="17">
        <v>0</v>
      </c>
      <c r="BC27" s="15">
        <v>0</v>
      </c>
      <c r="BD27" s="15">
        <v>0</v>
      </c>
      <c r="BE27" s="17">
        <v>0</v>
      </c>
      <c r="BF27" s="15">
        <v>0</v>
      </c>
      <c r="BG27" s="15">
        <v>0</v>
      </c>
      <c r="BH27" s="17">
        <v>0</v>
      </c>
      <c r="BI27" s="15">
        <v>0</v>
      </c>
      <c r="BJ27" s="15">
        <v>0</v>
      </c>
      <c r="BK27" s="17">
        <v>0</v>
      </c>
      <c r="BL27" s="15">
        <v>0</v>
      </c>
      <c r="BM27" s="15">
        <v>0</v>
      </c>
      <c r="BN27" s="17">
        <v>0</v>
      </c>
      <c r="BO27" s="15">
        <v>0</v>
      </c>
      <c r="BP27" s="15">
        <v>0</v>
      </c>
      <c r="BQ27" s="17">
        <v>0</v>
      </c>
      <c r="BR27" s="15">
        <v>0</v>
      </c>
      <c r="BS27" s="15">
        <v>0</v>
      </c>
      <c r="BT27" s="17">
        <v>0</v>
      </c>
      <c r="BU27" s="15">
        <v>0</v>
      </c>
      <c r="BV27" s="15">
        <v>0</v>
      </c>
      <c r="BW27" s="17">
        <v>0</v>
      </c>
      <c r="BX27" s="15">
        <v>0</v>
      </c>
      <c r="BY27" s="53">
        <v>0</v>
      </c>
      <c r="BZ27" s="17">
        <v>0</v>
      </c>
      <c r="CA27" s="15">
        <v>0</v>
      </c>
      <c r="CB27" s="15">
        <v>0</v>
      </c>
      <c r="CC27" s="17">
        <v>0</v>
      </c>
      <c r="CD27" s="15">
        <v>0</v>
      </c>
      <c r="CE27" s="15">
        <v>0</v>
      </c>
      <c r="CF27" s="17">
        <v>0</v>
      </c>
      <c r="CG27" s="15">
        <v>0</v>
      </c>
      <c r="CH27" s="15">
        <v>0</v>
      </c>
      <c r="CI27" s="17">
        <v>0</v>
      </c>
      <c r="CJ27" s="15">
        <v>0</v>
      </c>
      <c r="CK27" s="15">
        <v>0</v>
      </c>
      <c r="CL27" s="17">
        <v>0</v>
      </c>
      <c r="CM27" s="15">
        <v>0</v>
      </c>
      <c r="CN27" s="15">
        <v>0</v>
      </c>
      <c r="CO27" s="17">
        <v>0</v>
      </c>
      <c r="CP27" s="15">
        <v>0</v>
      </c>
      <c r="CQ27" s="15">
        <v>0</v>
      </c>
      <c r="CR27" s="17">
        <v>0</v>
      </c>
      <c r="CS27" s="15">
        <v>0</v>
      </c>
      <c r="CT27" s="15">
        <v>0</v>
      </c>
      <c r="CU27" s="17">
        <v>0</v>
      </c>
      <c r="CV27" s="15">
        <v>0</v>
      </c>
      <c r="CW27" s="15">
        <v>0</v>
      </c>
      <c r="CX27" s="17">
        <v>0</v>
      </c>
      <c r="CY27" s="15">
        <v>0</v>
      </c>
      <c r="CZ27" s="15">
        <v>0</v>
      </c>
      <c r="DA27" s="17">
        <v>0</v>
      </c>
      <c r="DB27" s="15">
        <v>0</v>
      </c>
      <c r="DC27" s="15">
        <v>0</v>
      </c>
      <c r="DD27" s="17">
        <v>0</v>
      </c>
      <c r="DE27" s="15">
        <v>0</v>
      </c>
      <c r="DF27" s="15">
        <v>0</v>
      </c>
      <c r="DG27" s="17">
        <v>0</v>
      </c>
      <c r="DH27" s="15">
        <v>0</v>
      </c>
      <c r="DI27" s="15">
        <v>0</v>
      </c>
      <c r="DJ27" s="17">
        <v>0</v>
      </c>
      <c r="DK27" s="15">
        <v>0</v>
      </c>
      <c r="DL27" s="15">
        <v>0</v>
      </c>
      <c r="DM27" s="17">
        <v>0</v>
      </c>
      <c r="DN27" s="15">
        <v>0</v>
      </c>
      <c r="DO27" s="15">
        <v>0</v>
      </c>
      <c r="DP27" s="17">
        <v>0</v>
      </c>
      <c r="DQ27" s="15">
        <v>0</v>
      </c>
      <c r="DR27" s="15">
        <v>0</v>
      </c>
      <c r="DS27" s="17">
        <v>0</v>
      </c>
      <c r="DT27" s="15">
        <v>0</v>
      </c>
      <c r="DU27" s="15">
        <v>0</v>
      </c>
      <c r="DV27" s="17">
        <v>0</v>
      </c>
      <c r="DW27" s="15">
        <v>0</v>
      </c>
      <c r="DX27" s="15">
        <v>0</v>
      </c>
      <c r="DY27" s="17">
        <v>0</v>
      </c>
      <c r="DZ27" s="15">
        <v>0</v>
      </c>
      <c r="EA27" s="15">
        <v>0</v>
      </c>
      <c r="EB27" s="17">
        <v>0</v>
      </c>
      <c r="EC27" s="15">
        <v>0</v>
      </c>
      <c r="ED27" s="15">
        <v>0</v>
      </c>
      <c r="EE27" s="17">
        <v>0</v>
      </c>
      <c r="EF27" s="15">
        <v>0</v>
      </c>
      <c r="EG27" s="15">
        <v>0</v>
      </c>
      <c r="EH27" s="17">
        <v>0</v>
      </c>
      <c r="EI27" s="15">
        <v>0</v>
      </c>
      <c r="EJ27" s="15">
        <v>0</v>
      </c>
      <c r="EK27" s="17">
        <v>0</v>
      </c>
      <c r="EL27" s="15">
        <v>0</v>
      </c>
      <c r="EM27" s="15">
        <v>0</v>
      </c>
      <c r="EN27" s="17">
        <v>0</v>
      </c>
      <c r="EO27" s="15">
        <v>0</v>
      </c>
      <c r="EP27" s="15">
        <v>0</v>
      </c>
      <c r="EQ27" s="17">
        <v>0</v>
      </c>
      <c r="ER27" s="15">
        <v>0</v>
      </c>
      <c r="ES27" s="15">
        <v>0</v>
      </c>
      <c r="ET27" s="17">
        <v>0</v>
      </c>
      <c r="EU27" s="15">
        <v>0</v>
      </c>
      <c r="EV27" s="15">
        <v>0</v>
      </c>
      <c r="EW27" s="17">
        <v>0</v>
      </c>
      <c r="EX27" s="15">
        <v>0</v>
      </c>
      <c r="EY27" s="15">
        <v>0</v>
      </c>
      <c r="EZ27" s="17">
        <v>0</v>
      </c>
      <c r="FA27" s="15">
        <v>0</v>
      </c>
      <c r="FB27" s="15">
        <v>0</v>
      </c>
      <c r="FC27" s="17">
        <v>0</v>
      </c>
      <c r="FD27" s="55"/>
      <c r="FE27" s="56"/>
    </row>
    <row r="28" spans="1:161" ht="12.75">
      <c r="A28" s="40">
        <v>43859</v>
      </c>
      <c r="B28" s="84">
        <f t="shared" ref="B28:D28" si="46">SUM(J28,P28,S28,V28,Y28,AB28,AK28,AN28,AQ28,AT28,AW28,AZ28,BC28,BF28,BL28,BO28,BR28,BU28,BX28,CG28,CJ28,CM28,CP28,CS28,CV28,DH28,CY28,DB28,DK28,DN28,DQ28,DT28,DW28,DZ28,EC28,EF28,EI28,EL28,EO28,ER28,EU28,EX28,FA28,)</f>
        <v>10</v>
      </c>
      <c r="C28" s="44">
        <f t="shared" si="46"/>
        <v>0</v>
      </c>
      <c r="D28" s="44">
        <f t="shared" si="46"/>
        <v>0</v>
      </c>
      <c r="E28" s="85">
        <f t="shared" si="1"/>
        <v>10</v>
      </c>
      <c r="F28" s="86">
        <f t="shared" ref="F28:H28" si="47">SUM(P28,S28,V28,AE28,AH28,AK28,AN28,AQ28,AT28,AW28,AZ28,BF28,BL28,BR28,BX28,CG28,CM28,CP28,CV28,DK28,DN28,DQ28,DT28,DZ28,EL28,EO28,ER28)</f>
        <v>10</v>
      </c>
      <c r="G28" s="41">
        <f t="shared" si="47"/>
        <v>0</v>
      </c>
      <c r="H28" s="41">
        <f t="shared" si="47"/>
        <v>0</v>
      </c>
      <c r="I28" s="85">
        <f t="shared" si="3"/>
        <v>10</v>
      </c>
      <c r="J28" s="15">
        <v>0</v>
      </c>
      <c r="K28" s="15">
        <v>0</v>
      </c>
      <c r="L28" s="17">
        <v>0</v>
      </c>
      <c r="M28" s="15">
        <v>0</v>
      </c>
      <c r="N28" s="15">
        <v>0</v>
      </c>
      <c r="O28" s="17">
        <v>0</v>
      </c>
      <c r="P28" s="87">
        <v>4</v>
      </c>
      <c r="Q28" s="15">
        <v>0</v>
      </c>
      <c r="R28" s="17">
        <v>0</v>
      </c>
      <c r="S28" s="15">
        <v>0</v>
      </c>
      <c r="T28" s="15">
        <v>0</v>
      </c>
      <c r="U28" s="17">
        <v>0</v>
      </c>
      <c r="V28" s="15">
        <v>0</v>
      </c>
      <c r="W28" s="15">
        <v>0</v>
      </c>
      <c r="X28" s="17">
        <v>0</v>
      </c>
      <c r="Y28" s="15">
        <v>0</v>
      </c>
      <c r="Z28" s="15">
        <v>0</v>
      </c>
      <c r="AA28" s="17">
        <v>0</v>
      </c>
      <c r="AB28" s="15">
        <v>0</v>
      </c>
      <c r="AC28" s="15">
        <v>0</v>
      </c>
      <c r="AD28" s="17">
        <v>0</v>
      </c>
      <c r="AE28" s="15">
        <v>0</v>
      </c>
      <c r="AF28" s="15">
        <v>0</v>
      </c>
      <c r="AG28" s="17">
        <v>0</v>
      </c>
      <c r="AH28" s="15">
        <v>0</v>
      </c>
      <c r="AI28" s="15">
        <v>0</v>
      </c>
      <c r="AJ28" s="17">
        <v>0</v>
      </c>
      <c r="AK28" s="15">
        <v>0</v>
      </c>
      <c r="AL28" s="15">
        <v>0</v>
      </c>
      <c r="AM28" s="17">
        <v>0</v>
      </c>
      <c r="AN28" s="15">
        <v>0</v>
      </c>
      <c r="AO28" s="15">
        <v>0</v>
      </c>
      <c r="AP28" s="17">
        <v>0</v>
      </c>
      <c r="AQ28" s="15">
        <v>0</v>
      </c>
      <c r="AR28" s="15">
        <v>0</v>
      </c>
      <c r="AS28" s="17">
        <v>0</v>
      </c>
      <c r="AT28" s="15">
        <v>0</v>
      </c>
      <c r="AU28" s="15">
        <v>0</v>
      </c>
      <c r="AV28" s="17">
        <v>0</v>
      </c>
      <c r="AW28" s="87">
        <v>1</v>
      </c>
      <c r="AX28" s="15">
        <v>0</v>
      </c>
      <c r="AY28" s="17">
        <v>0</v>
      </c>
      <c r="AZ28" s="87">
        <v>5</v>
      </c>
      <c r="BA28" s="53">
        <v>0</v>
      </c>
      <c r="BB28" s="17">
        <v>0</v>
      </c>
      <c r="BC28" s="15">
        <v>0</v>
      </c>
      <c r="BD28" s="15">
        <v>0</v>
      </c>
      <c r="BE28" s="17">
        <v>0</v>
      </c>
      <c r="BF28" s="15">
        <v>0</v>
      </c>
      <c r="BG28" s="15">
        <v>0</v>
      </c>
      <c r="BH28" s="17">
        <v>0</v>
      </c>
      <c r="BI28" s="15">
        <v>0</v>
      </c>
      <c r="BJ28" s="15">
        <v>0</v>
      </c>
      <c r="BK28" s="17">
        <v>0</v>
      </c>
      <c r="BL28" s="15">
        <v>0</v>
      </c>
      <c r="BM28" s="15">
        <v>0</v>
      </c>
      <c r="BN28" s="17">
        <v>0</v>
      </c>
      <c r="BO28" s="15">
        <v>0</v>
      </c>
      <c r="BP28" s="15">
        <v>0</v>
      </c>
      <c r="BQ28" s="17">
        <v>0</v>
      </c>
      <c r="BR28" s="15">
        <v>0</v>
      </c>
      <c r="BS28" s="15">
        <v>0</v>
      </c>
      <c r="BT28" s="17">
        <v>0</v>
      </c>
      <c r="BU28" s="15">
        <v>0</v>
      </c>
      <c r="BV28" s="15">
        <v>0</v>
      </c>
      <c r="BW28" s="17">
        <v>0</v>
      </c>
      <c r="BX28" s="15">
        <v>0</v>
      </c>
      <c r="BY28" s="53">
        <v>0</v>
      </c>
      <c r="BZ28" s="17">
        <v>0</v>
      </c>
      <c r="CA28" s="15">
        <v>0</v>
      </c>
      <c r="CB28" s="15">
        <v>0</v>
      </c>
      <c r="CC28" s="17">
        <v>0</v>
      </c>
      <c r="CD28" s="15">
        <v>0</v>
      </c>
      <c r="CE28" s="15">
        <v>0</v>
      </c>
      <c r="CF28" s="17">
        <v>0</v>
      </c>
      <c r="CG28" s="15">
        <v>0</v>
      </c>
      <c r="CH28" s="15">
        <v>0</v>
      </c>
      <c r="CI28" s="17">
        <v>0</v>
      </c>
      <c r="CJ28" s="15">
        <v>0</v>
      </c>
      <c r="CK28" s="15">
        <v>0</v>
      </c>
      <c r="CL28" s="17">
        <v>0</v>
      </c>
      <c r="CM28" s="15">
        <v>0</v>
      </c>
      <c r="CN28" s="15">
        <v>0</v>
      </c>
      <c r="CO28" s="17">
        <v>0</v>
      </c>
      <c r="CP28" s="15">
        <v>0</v>
      </c>
      <c r="CQ28" s="15">
        <v>0</v>
      </c>
      <c r="CR28" s="17">
        <v>0</v>
      </c>
      <c r="CS28" s="15">
        <v>0</v>
      </c>
      <c r="CT28" s="15">
        <v>0</v>
      </c>
      <c r="CU28" s="17">
        <v>0</v>
      </c>
      <c r="CV28" s="15">
        <v>0</v>
      </c>
      <c r="CW28" s="15">
        <v>0</v>
      </c>
      <c r="CX28" s="17">
        <v>0</v>
      </c>
      <c r="CY28" s="15">
        <v>0</v>
      </c>
      <c r="CZ28" s="15">
        <v>0</v>
      </c>
      <c r="DA28" s="17">
        <v>0</v>
      </c>
      <c r="DB28" s="15">
        <v>0</v>
      </c>
      <c r="DC28" s="15">
        <v>0</v>
      </c>
      <c r="DD28" s="17">
        <v>0</v>
      </c>
      <c r="DE28" s="15">
        <v>0</v>
      </c>
      <c r="DF28" s="15">
        <v>0</v>
      </c>
      <c r="DG28" s="17">
        <v>0</v>
      </c>
      <c r="DH28" s="15">
        <v>0</v>
      </c>
      <c r="DI28" s="15">
        <v>0</v>
      </c>
      <c r="DJ28" s="17">
        <v>0</v>
      </c>
      <c r="DK28" s="15">
        <v>0</v>
      </c>
      <c r="DL28" s="15">
        <v>0</v>
      </c>
      <c r="DM28" s="17">
        <v>0</v>
      </c>
      <c r="DN28" s="15">
        <v>0</v>
      </c>
      <c r="DO28" s="15">
        <v>0</v>
      </c>
      <c r="DP28" s="17">
        <v>0</v>
      </c>
      <c r="DQ28" s="15">
        <v>0</v>
      </c>
      <c r="DR28" s="15">
        <v>0</v>
      </c>
      <c r="DS28" s="17">
        <v>0</v>
      </c>
      <c r="DT28" s="15">
        <v>0</v>
      </c>
      <c r="DU28" s="15">
        <v>0</v>
      </c>
      <c r="DV28" s="17">
        <v>0</v>
      </c>
      <c r="DW28" s="15">
        <v>0</v>
      </c>
      <c r="DX28" s="15">
        <v>0</v>
      </c>
      <c r="DY28" s="17">
        <v>0</v>
      </c>
      <c r="DZ28" s="15">
        <v>0</v>
      </c>
      <c r="EA28" s="15">
        <v>0</v>
      </c>
      <c r="EB28" s="17">
        <v>0</v>
      </c>
      <c r="EC28" s="15">
        <v>0</v>
      </c>
      <c r="ED28" s="15">
        <v>0</v>
      </c>
      <c r="EE28" s="17">
        <v>0</v>
      </c>
      <c r="EF28" s="15">
        <v>0</v>
      </c>
      <c r="EG28" s="15">
        <v>0</v>
      </c>
      <c r="EH28" s="17">
        <v>0</v>
      </c>
      <c r="EI28" s="15">
        <v>0</v>
      </c>
      <c r="EJ28" s="15">
        <v>0</v>
      </c>
      <c r="EK28" s="17">
        <v>0</v>
      </c>
      <c r="EL28" s="15">
        <v>0</v>
      </c>
      <c r="EM28" s="15">
        <v>0</v>
      </c>
      <c r="EN28" s="17">
        <v>0</v>
      </c>
      <c r="EO28" s="15">
        <v>0</v>
      </c>
      <c r="EP28" s="15">
        <v>0</v>
      </c>
      <c r="EQ28" s="17">
        <v>0</v>
      </c>
      <c r="ER28" s="15">
        <v>0</v>
      </c>
      <c r="ES28" s="15">
        <v>0</v>
      </c>
      <c r="ET28" s="17">
        <v>0</v>
      </c>
      <c r="EU28" s="15">
        <v>0</v>
      </c>
      <c r="EV28" s="15">
        <v>0</v>
      </c>
      <c r="EW28" s="17">
        <v>0</v>
      </c>
      <c r="EX28" s="15">
        <v>0</v>
      </c>
      <c r="EY28" s="15">
        <v>0</v>
      </c>
      <c r="EZ28" s="17">
        <v>0</v>
      </c>
      <c r="FA28" s="15">
        <v>0</v>
      </c>
      <c r="FB28" s="15">
        <v>0</v>
      </c>
      <c r="FC28" s="17">
        <v>0</v>
      </c>
      <c r="FD28" s="55" t="s">
        <v>206</v>
      </c>
      <c r="FE28" s="77" t="s">
        <v>197</v>
      </c>
    </row>
    <row r="29" spans="1:161" ht="12.75">
      <c r="A29" s="40">
        <v>43860</v>
      </c>
      <c r="B29" s="84">
        <f t="shared" ref="B29:D29" si="48">SUM(J29,P29,S29,V29,Y29,AB29,AK29,AN29,AQ29,AT29,AW29,AZ29,BC29,BF29,BL29,BO29,BR29,BU29,BX29,CG29,CJ29,CM29,CP29,CS29,CV29,DH29,CY29,DB29,DK29,DN29,DQ29,DT29,DW29,DZ29,EC29,EF29,EI29,EL29,EO29,ER29,EU29,EX29,FA29,)</f>
        <v>14</v>
      </c>
      <c r="C29" s="44">
        <f t="shared" si="48"/>
        <v>0</v>
      </c>
      <c r="D29" s="44">
        <f t="shared" si="48"/>
        <v>0</v>
      </c>
      <c r="E29" s="85">
        <f t="shared" si="1"/>
        <v>14</v>
      </c>
      <c r="F29" s="86">
        <f t="shared" ref="F29:H29" si="49">SUM(P29,S29,V29,AE29,AH29,AK29,AN29,AQ29,AT29,AW29,AZ29,BF29,BL29,BR29,BX29,CG29,CM29,CP29,CV29,DK29,DN29,DQ29,DT29,DZ29,EL29,EO29,ER29)</f>
        <v>14</v>
      </c>
      <c r="G29" s="41">
        <f t="shared" si="49"/>
        <v>0</v>
      </c>
      <c r="H29" s="41">
        <f t="shared" si="49"/>
        <v>0</v>
      </c>
      <c r="I29" s="85">
        <f t="shared" si="3"/>
        <v>14</v>
      </c>
      <c r="J29" s="15">
        <v>0</v>
      </c>
      <c r="K29" s="15">
        <v>0</v>
      </c>
      <c r="L29" s="17">
        <v>0</v>
      </c>
      <c r="M29" s="15">
        <v>0</v>
      </c>
      <c r="N29" s="15">
        <v>0</v>
      </c>
      <c r="O29" s="17">
        <v>0</v>
      </c>
      <c r="P29" s="87">
        <v>5</v>
      </c>
      <c r="Q29" s="15">
        <v>0</v>
      </c>
      <c r="R29" s="17">
        <v>0</v>
      </c>
      <c r="S29" s="15">
        <v>0</v>
      </c>
      <c r="T29" s="15">
        <v>0</v>
      </c>
      <c r="U29" s="17">
        <v>0</v>
      </c>
      <c r="V29" s="15">
        <v>0</v>
      </c>
      <c r="W29" s="15">
        <v>0</v>
      </c>
      <c r="X29" s="17">
        <v>0</v>
      </c>
      <c r="Y29" s="15">
        <v>0</v>
      </c>
      <c r="Z29" s="15">
        <v>0</v>
      </c>
      <c r="AA29" s="17">
        <v>0</v>
      </c>
      <c r="AB29" s="15">
        <v>0</v>
      </c>
      <c r="AC29" s="15">
        <v>0</v>
      </c>
      <c r="AD29" s="17">
        <v>0</v>
      </c>
      <c r="AE29" s="15">
        <v>0</v>
      </c>
      <c r="AF29" s="15">
        <v>0</v>
      </c>
      <c r="AG29" s="17">
        <v>0</v>
      </c>
      <c r="AH29" s="15">
        <v>0</v>
      </c>
      <c r="AI29" s="15">
        <v>0</v>
      </c>
      <c r="AJ29" s="17">
        <v>0</v>
      </c>
      <c r="AK29" s="15">
        <v>0</v>
      </c>
      <c r="AL29" s="15">
        <v>0</v>
      </c>
      <c r="AM29" s="17">
        <v>0</v>
      </c>
      <c r="AN29" s="15">
        <v>0</v>
      </c>
      <c r="AO29" s="15">
        <v>0</v>
      </c>
      <c r="AP29" s="17">
        <v>0</v>
      </c>
      <c r="AQ29" s="15">
        <v>0</v>
      </c>
      <c r="AR29" s="15">
        <v>0</v>
      </c>
      <c r="AS29" s="17">
        <v>0</v>
      </c>
      <c r="AT29" s="15">
        <v>0</v>
      </c>
      <c r="AU29" s="15">
        <v>0</v>
      </c>
      <c r="AV29" s="17">
        <v>0</v>
      </c>
      <c r="AW29" s="87">
        <v>1</v>
      </c>
      <c r="AX29" s="15">
        <v>0</v>
      </c>
      <c r="AY29" s="17">
        <v>0</v>
      </c>
      <c r="AZ29" s="87">
        <v>6</v>
      </c>
      <c r="BA29" s="53">
        <v>0</v>
      </c>
      <c r="BB29" s="17">
        <v>0</v>
      </c>
      <c r="BC29" s="15">
        <v>0</v>
      </c>
      <c r="BD29" s="15">
        <v>0</v>
      </c>
      <c r="BE29" s="17">
        <v>0</v>
      </c>
      <c r="BF29" s="15">
        <v>0</v>
      </c>
      <c r="BG29" s="15">
        <v>0</v>
      </c>
      <c r="BH29" s="17">
        <v>0</v>
      </c>
      <c r="BI29" s="15">
        <v>0</v>
      </c>
      <c r="BJ29" s="15">
        <v>0</v>
      </c>
      <c r="BK29" s="17">
        <v>0</v>
      </c>
      <c r="BL29" s="15">
        <v>0</v>
      </c>
      <c r="BM29" s="15">
        <v>0</v>
      </c>
      <c r="BN29" s="17">
        <v>0</v>
      </c>
      <c r="BO29" s="15">
        <v>0</v>
      </c>
      <c r="BP29" s="15">
        <v>0</v>
      </c>
      <c r="BQ29" s="17">
        <v>0</v>
      </c>
      <c r="BR29" s="15">
        <v>0</v>
      </c>
      <c r="BS29" s="15">
        <v>0</v>
      </c>
      <c r="BT29" s="17">
        <v>0</v>
      </c>
      <c r="BU29" s="15">
        <v>0</v>
      </c>
      <c r="BV29" s="15">
        <v>0</v>
      </c>
      <c r="BW29" s="17">
        <v>0</v>
      </c>
      <c r="BX29" s="87">
        <v>2</v>
      </c>
      <c r="BY29" s="53">
        <v>0</v>
      </c>
      <c r="BZ29" s="17">
        <v>0</v>
      </c>
      <c r="CA29" s="15">
        <v>0</v>
      </c>
      <c r="CB29" s="15">
        <v>0</v>
      </c>
      <c r="CC29" s="17">
        <v>0</v>
      </c>
      <c r="CD29" s="15">
        <v>0</v>
      </c>
      <c r="CE29" s="15">
        <v>0</v>
      </c>
      <c r="CF29" s="17">
        <v>0</v>
      </c>
      <c r="CG29" s="15">
        <v>0</v>
      </c>
      <c r="CH29" s="15">
        <v>0</v>
      </c>
      <c r="CI29" s="17">
        <v>0</v>
      </c>
      <c r="CJ29" s="15">
        <v>0</v>
      </c>
      <c r="CK29" s="15">
        <v>0</v>
      </c>
      <c r="CL29" s="17">
        <v>0</v>
      </c>
      <c r="CM29" s="15">
        <v>0</v>
      </c>
      <c r="CN29" s="15">
        <v>0</v>
      </c>
      <c r="CO29" s="17">
        <v>0</v>
      </c>
      <c r="CP29" s="15">
        <v>0</v>
      </c>
      <c r="CQ29" s="15">
        <v>0</v>
      </c>
      <c r="CR29" s="17">
        <v>0</v>
      </c>
      <c r="CS29" s="15">
        <v>0</v>
      </c>
      <c r="CT29" s="15">
        <v>0</v>
      </c>
      <c r="CU29" s="17">
        <v>0</v>
      </c>
      <c r="CV29" s="15">
        <v>0</v>
      </c>
      <c r="CW29" s="15">
        <v>0</v>
      </c>
      <c r="CX29" s="17">
        <v>0</v>
      </c>
      <c r="CY29" s="15">
        <v>0</v>
      </c>
      <c r="CZ29" s="15">
        <v>0</v>
      </c>
      <c r="DA29" s="17">
        <v>0</v>
      </c>
      <c r="DB29" s="15">
        <v>0</v>
      </c>
      <c r="DC29" s="15">
        <v>0</v>
      </c>
      <c r="DD29" s="17">
        <v>0</v>
      </c>
      <c r="DE29" s="15">
        <v>0</v>
      </c>
      <c r="DF29" s="15">
        <v>0</v>
      </c>
      <c r="DG29" s="17">
        <v>0</v>
      </c>
      <c r="DH29" s="15">
        <v>0</v>
      </c>
      <c r="DI29" s="15">
        <v>0</v>
      </c>
      <c r="DJ29" s="17">
        <v>0</v>
      </c>
      <c r="DK29" s="15">
        <v>0</v>
      </c>
      <c r="DL29" s="15">
        <v>0</v>
      </c>
      <c r="DM29" s="17">
        <v>0</v>
      </c>
      <c r="DN29" s="15">
        <v>0</v>
      </c>
      <c r="DO29" s="15">
        <v>0</v>
      </c>
      <c r="DP29" s="17">
        <v>0</v>
      </c>
      <c r="DQ29" s="15">
        <v>0</v>
      </c>
      <c r="DR29" s="15">
        <v>0</v>
      </c>
      <c r="DS29" s="17">
        <v>0</v>
      </c>
      <c r="DT29" s="15">
        <v>0</v>
      </c>
      <c r="DU29" s="15">
        <v>0</v>
      </c>
      <c r="DV29" s="17">
        <v>0</v>
      </c>
      <c r="DW29" s="15">
        <v>0</v>
      </c>
      <c r="DX29" s="15">
        <v>0</v>
      </c>
      <c r="DY29" s="17">
        <v>0</v>
      </c>
      <c r="DZ29" s="15">
        <v>0</v>
      </c>
      <c r="EA29" s="15">
        <v>0</v>
      </c>
      <c r="EB29" s="17">
        <v>0</v>
      </c>
      <c r="EC29" s="15">
        <v>0</v>
      </c>
      <c r="ED29" s="15">
        <v>0</v>
      </c>
      <c r="EE29" s="17">
        <v>0</v>
      </c>
      <c r="EF29" s="15">
        <v>0</v>
      </c>
      <c r="EG29" s="15">
        <v>0</v>
      </c>
      <c r="EH29" s="17">
        <v>0</v>
      </c>
      <c r="EI29" s="15">
        <v>0</v>
      </c>
      <c r="EJ29" s="15">
        <v>0</v>
      </c>
      <c r="EK29" s="17">
        <v>0</v>
      </c>
      <c r="EL29" s="15">
        <v>0</v>
      </c>
      <c r="EM29" s="15">
        <v>0</v>
      </c>
      <c r="EN29" s="17">
        <v>0</v>
      </c>
      <c r="EO29" s="15">
        <v>0</v>
      </c>
      <c r="EP29" s="15">
        <v>0</v>
      </c>
      <c r="EQ29" s="17">
        <v>0</v>
      </c>
      <c r="ER29" s="15">
        <v>0</v>
      </c>
      <c r="ES29" s="15">
        <v>0</v>
      </c>
      <c r="ET29" s="17">
        <v>0</v>
      </c>
      <c r="EU29" s="15">
        <v>0</v>
      </c>
      <c r="EV29" s="15">
        <v>0</v>
      </c>
      <c r="EW29" s="17">
        <v>0</v>
      </c>
      <c r="EX29" s="15">
        <v>0</v>
      </c>
      <c r="EY29" s="15">
        <v>0</v>
      </c>
      <c r="EZ29" s="17">
        <v>0</v>
      </c>
      <c r="FA29" s="15">
        <v>0</v>
      </c>
      <c r="FB29" s="15">
        <v>0</v>
      </c>
      <c r="FC29" s="17">
        <v>0</v>
      </c>
      <c r="FD29" s="55" t="s">
        <v>208</v>
      </c>
      <c r="FE29" s="77" t="s">
        <v>209</v>
      </c>
    </row>
    <row r="30" spans="1:161" ht="12.75">
      <c r="A30" s="81">
        <v>43861</v>
      </c>
      <c r="B30" s="89">
        <f t="shared" ref="B30:D30" si="50">SUM(J30,P30,S30,V30,Y30,AB30,AK30,AN30,AQ30,AT30,AW30,AZ30,BC30,BF30,BL30,BO30,BR30,BU30,BX30,CG30,CJ30,CM30,CP30,CS30,CV30,DH30,CY30,DB30,DK30,DN30,DQ30,DT30,DW30,DZ30,EC30,EF30,EI30,EL30,EO30,ER30,EU30,EX30,FA30,)</f>
        <v>22</v>
      </c>
      <c r="C30" s="58">
        <f t="shared" si="50"/>
        <v>0</v>
      </c>
      <c r="D30" s="58">
        <f t="shared" si="50"/>
        <v>0</v>
      </c>
      <c r="E30" s="90">
        <f t="shared" si="1"/>
        <v>22</v>
      </c>
      <c r="F30" s="91">
        <f t="shared" ref="F30:H30" si="51">SUM(P30,S30,V30,AE30,AH30,AK30,AN30,AQ30,AT30,AW30,AZ30,BF30,BL30,BR30,BX30,CG30,CM30,CP30,CV30,DK30,DN30,DQ30,DT30,DZ30,EL30,EO30,ER30)</f>
        <v>18</v>
      </c>
      <c r="G30" s="61">
        <f t="shared" si="51"/>
        <v>0</v>
      </c>
      <c r="H30" s="61">
        <f t="shared" si="51"/>
        <v>0</v>
      </c>
      <c r="I30" s="90">
        <f t="shared" si="3"/>
        <v>18</v>
      </c>
      <c r="J30" s="22">
        <v>0</v>
      </c>
      <c r="K30" s="22">
        <v>0</v>
      </c>
      <c r="L30" s="24">
        <v>0</v>
      </c>
      <c r="M30" s="22">
        <v>0</v>
      </c>
      <c r="N30" s="22">
        <v>0</v>
      </c>
      <c r="O30" s="24">
        <v>0</v>
      </c>
      <c r="P30" s="92">
        <v>7</v>
      </c>
      <c r="Q30" s="22">
        <v>0</v>
      </c>
      <c r="R30" s="24">
        <v>0</v>
      </c>
      <c r="S30" s="22">
        <v>0</v>
      </c>
      <c r="T30" s="22">
        <v>0</v>
      </c>
      <c r="U30" s="24">
        <v>0</v>
      </c>
      <c r="V30" s="22">
        <v>0</v>
      </c>
      <c r="W30" s="22">
        <v>0</v>
      </c>
      <c r="X30" s="24">
        <v>0</v>
      </c>
      <c r="Y30" s="22">
        <v>0</v>
      </c>
      <c r="Z30" s="22">
        <v>0</v>
      </c>
      <c r="AA30" s="24">
        <v>0</v>
      </c>
      <c r="AB30" s="22">
        <v>0</v>
      </c>
      <c r="AC30" s="22">
        <v>0</v>
      </c>
      <c r="AD30" s="24">
        <v>0</v>
      </c>
      <c r="AE30" s="22">
        <v>0</v>
      </c>
      <c r="AF30" s="22">
        <v>0</v>
      </c>
      <c r="AG30" s="24">
        <v>0</v>
      </c>
      <c r="AH30" s="22">
        <v>0</v>
      </c>
      <c r="AI30" s="22">
        <v>0</v>
      </c>
      <c r="AJ30" s="24">
        <v>0</v>
      </c>
      <c r="AK30" s="22">
        <v>0</v>
      </c>
      <c r="AL30" s="22">
        <v>0</v>
      </c>
      <c r="AM30" s="24">
        <v>0</v>
      </c>
      <c r="AN30" s="22">
        <v>0</v>
      </c>
      <c r="AO30" s="22">
        <v>0</v>
      </c>
      <c r="AP30" s="24">
        <v>0</v>
      </c>
      <c r="AQ30" s="92">
        <v>1</v>
      </c>
      <c r="AR30" s="22">
        <v>0</v>
      </c>
      <c r="AS30" s="24">
        <v>0</v>
      </c>
      <c r="AT30" s="22">
        <v>0</v>
      </c>
      <c r="AU30" s="22">
        <v>0</v>
      </c>
      <c r="AV30" s="24">
        <v>0</v>
      </c>
      <c r="AW30" s="92">
        <v>1</v>
      </c>
      <c r="AX30" s="22">
        <v>0</v>
      </c>
      <c r="AY30" s="24">
        <v>0</v>
      </c>
      <c r="AZ30" s="92">
        <v>6</v>
      </c>
      <c r="BA30" s="96">
        <v>0</v>
      </c>
      <c r="BB30" s="24">
        <v>0</v>
      </c>
      <c r="BC30" s="22">
        <v>0</v>
      </c>
      <c r="BD30" s="22">
        <v>0</v>
      </c>
      <c r="BE30" s="24">
        <v>0</v>
      </c>
      <c r="BF30" s="22">
        <v>0</v>
      </c>
      <c r="BG30" s="22">
        <v>0</v>
      </c>
      <c r="BH30" s="24">
        <v>0</v>
      </c>
      <c r="BI30" s="22">
        <v>0</v>
      </c>
      <c r="BJ30" s="22">
        <v>0</v>
      </c>
      <c r="BK30" s="24">
        <v>0</v>
      </c>
      <c r="BL30" s="22">
        <v>0</v>
      </c>
      <c r="BM30" s="22">
        <v>0</v>
      </c>
      <c r="BN30" s="24">
        <v>0</v>
      </c>
      <c r="BO30" s="22">
        <v>0</v>
      </c>
      <c r="BP30" s="22">
        <v>0</v>
      </c>
      <c r="BQ30" s="24">
        <v>0</v>
      </c>
      <c r="BR30" s="22">
        <v>0</v>
      </c>
      <c r="BS30" s="22">
        <v>0</v>
      </c>
      <c r="BT30" s="24">
        <v>0</v>
      </c>
      <c r="BU30" s="22">
        <v>0</v>
      </c>
      <c r="BV30" s="22">
        <v>0</v>
      </c>
      <c r="BW30" s="24">
        <v>0</v>
      </c>
      <c r="BX30" s="92">
        <v>2</v>
      </c>
      <c r="BY30" s="96">
        <v>0</v>
      </c>
      <c r="BZ30" s="24">
        <v>0</v>
      </c>
      <c r="CA30" s="22">
        <v>0</v>
      </c>
      <c r="CB30" s="22">
        <v>0</v>
      </c>
      <c r="CC30" s="24">
        <v>0</v>
      </c>
      <c r="CD30" s="22">
        <v>0</v>
      </c>
      <c r="CE30" s="22">
        <v>0</v>
      </c>
      <c r="CF30" s="24">
        <v>0</v>
      </c>
      <c r="CG30" s="22">
        <v>0</v>
      </c>
      <c r="CH30" s="22">
        <v>0</v>
      </c>
      <c r="CI30" s="24">
        <v>0</v>
      </c>
      <c r="CJ30" s="22">
        <v>0</v>
      </c>
      <c r="CK30" s="22">
        <v>0</v>
      </c>
      <c r="CL30" s="24">
        <v>0</v>
      </c>
      <c r="CM30" s="22">
        <v>0</v>
      </c>
      <c r="CN30" s="22">
        <v>0</v>
      </c>
      <c r="CO30" s="24">
        <v>0</v>
      </c>
      <c r="CP30" s="22">
        <v>0</v>
      </c>
      <c r="CQ30" s="22">
        <v>0</v>
      </c>
      <c r="CR30" s="24">
        <v>0</v>
      </c>
      <c r="CS30" s="22">
        <v>0</v>
      </c>
      <c r="CT30" s="22">
        <v>0</v>
      </c>
      <c r="CU30" s="24">
        <v>0</v>
      </c>
      <c r="CV30" s="22">
        <v>0</v>
      </c>
      <c r="CW30" s="22">
        <v>0</v>
      </c>
      <c r="CX30" s="24">
        <v>0</v>
      </c>
      <c r="CY30" s="22">
        <v>0</v>
      </c>
      <c r="CZ30" s="22">
        <v>0</v>
      </c>
      <c r="DA30" s="24">
        <v>0</v>
      </c>
      <c r="DB30" s="22">
        <v>0</v>
      </c>
      <c r="DC30" s="22">
        <v>0</v>
      </c>
      <c r="DD30" s="24">
        <v>0</v>
      </c>
      <c r="DE30" s="22">
        <v>0</v>
      </c>
      <c r="DF30" s="22">
        <v>0</v>
      </c>
      <c r="DG30" s="24">
        <v>0</v>
      </c>
      <c r="DH30" s="22">
        <v>0</v>
      </c>
      <c r="DI30" s="22">
        <v>0</v>
      </c>
      <c r="DJ30" s="24">
        <v>0</v>
      </c>
      <c r="DK30" s="22">
        <v>0</v>
      </c>
      <c r="DL30" s="22">
        <v>0</v>
      </c>
      <c r="DM30" s="24">
        <v>0</v>
      </c>
      <c r="DN30" s="22">
        <v>0</v>
      </c>
      <c r="DO30" s="22">
        <v>0</v>
      </c>
      <c r="DP30" s="24">
        <v>0</v>
      </c>
      <c r="DQ30" s="22">
        <v>0</v>
      </c>
      <c r="DR30" s="22">
        <v>0</v>
      </c>
      <c r="DS30" s="24">
        <v>0</v>
      </c>
      <c r="DT30" s="22">
        <v>0</v>
      </c>
      <c r="DU30" s="22">
        <v>0</v>
      </c>
      <c r="DV30" s="24">
        <v>0</v>
      </c>
      <c r="DW30" s="92">
        <v>2</v>
      </c>
      <c r="DX30" s="22">
        <v>0</v>
      </c>
      <c r="DY30" s="24">
        <v>0</v>
      </c>
      <c r="DZ30" s="22">
        <v>0</v>
      </c>
      <c r="EA30" s="22">
        <v>0</v>
      </c>
      <c r="EB30" s="24">
        <v>0</v>
      </c>
      <c r="EC30" s="92">
        <v>2</v>
      </c>
      <c r="ED30" s="22">
        <v>0</v>
      </c>
      <c r="EE30" s="24">
        <v>0</v>
      </c>
      <c r="EF30" s="22">
        <v>0</v>
      </c>
      <c r="EG30" s="22">
        <v>0</v>
      </c>
      <c r="EH30" s="24">
        <v>0</v>
      </c>
      <c r="EI30" s="22">
        <v>0</v>
      </c>
      <c r="EJ30" s="22">
        <v>0</v>
      </c>
      <c r="EK30" s="24">
        <v>0</v>
      </c>
      <c r="EL30" s="22">
        <v>0</v>
      </c>
      <c r="EM30" s="22">
        <v>0</v>
      </c>
      <c r="EN30" s="24">
        <v>0</v>
      </c>
      <c r="EO30" s="22">
        <v>0</v>
      </c>
      <c r="EP30" s="22">
        <v>0</v>
      </c>
      <c r="EQ30" s="24">
        <v>0</v>
      </c>
      <c r="ER30" s="92">
        <v>1</v>
      </c>
      <c r="ES30" s="22">
        <v>0</v>
      </c>
      <c r="ET30" s="24">
        <v>0</v>
      </c>
      <c r="EU30" s="22">
        <v>0</v>
      </c>
      <c r="EV30" s="22">
        <v>0</v>
      </c>
      <c r="EW30" s="24">
        <v>0</v>
      </c>
      <c r="EX30" s="22">
        <v>0</v>
      </c>
      <c r="EY30" s="22">
        <v>0</v>
      </c>
      <c r="EZ30" s="24">
        <v>0</v>
      </c>
      <c r="FA30" s="22">
        <v>0</v>
      </c>
      <c r="FB30" s="22">
        <v>0</v>
      </c>
      <c r="FC30" s="24">
        <v>0</v>
      </c>
      <c r="FD30" s="66" t="s">
        <v>212</v>
      </c>
      <c r="FE30" s="98" t="s">
        <v>198</v>
      </c>
    </row>
    <row r="31" spans="1:161" ht="12.75">
      <c r="A31" s="40">
        <v>43862</v>
      </c>
      <c r="B31" s="84">
        <f t="shared" ref="B31:D31" si="52">SUM(J31,P31,S31,V31,Y31,AB31,AK31,AN31,AQ31,AT31,AW31,AZ31,BC31,BF31,BL31,BO31,BR31,BU31,BX31,CG31,CJ31,CM31,CP31,CS31,CV31,DH31,CY31,DB31,DK31,DN31,DQ31,DT31,DW31,DZ31,EC31,EF31,EI31,EL31,EO31,ER31,EU31,EX31,FA31,)</f>
        <v>23</v>
      </c>
      <c r="C31" s="44">
        <f t="shared" si="52"/>
        <v>0</v>
      </c>
      <c r="D31" s="44">
        <f t="shared" si="52"/>
        <v>0</v>
      </c>
      <c r="E31" s="85">
        <f t="shared" si="1"/>
        <v>23</v>
      </c>
      <c r="F31" s="86">
        <f t="shared" ref="F31:H31" si="53">SUM(P31,S31,V31,AE31,AH31,AK31,AN31,AQ31,AT31,AW31,AZ31,BF31,BL31,BR31,BX31,CG31,CM31,CP31,CV31,DK31,DN31,DQ31,DT31,DZ31,EL31,EO31,ER31)</f>
        <v>19</v>
      </c>
      <c r="G31" s="41">
        <f t="shared" si="53"/>
        <v>0</v>
      </c>
      <c r="H31" s="41">
        <f t="shared" si="53"/>
        <v>0</v>
      </c>
      <c r="I31" s="85">
        <f t="shared" si="3"/>
        <v>19</v>
      </c>
      <c r="J31" s="15">
        <v>0</v>
      </c>
      <c r="K31" s="15">
        <v>0</v>
      </c>
      <c r="L31" s="17">
        <v>0</v>
      </c>
      <c r="M31" s="15">
        <v>0</v>
      </c>
      <c r="N31" s="15">
        <v>0</v>
      </c>
      <c r="O31" s="17">
        <v>0</v>
      </c>
      <c r="P31" s="87">
        <v>8</v>
      </c>
      <c r="Q31" s="15">
        <v>0</v>
      </c>
      <c r="R31" s="17">
        <v>0</v>
      </c>
      <c r="S31" s="15">
        <v>0</v>
      </c>
      <c r="T31" s="15">
        <v>0</v>
      </c>
      <c r="U31" s="17">
        <v>0</v>
      </c>
      <c r="V31" s="15">
        <v>0</v>
      </c>
      <c r="W31" s="15">
        <v>0</v>
      </c>
      <c r="X31" s="17">
        <v>0</v>
      </c>
      <c r="Y31" s="15">
        <v>0</v>
      </c>
      <c r="Z31" s="15">
        <v>0</v>
      </c>
      <c r="AA31" s="17">
        <v>0</v>
      </c>
      <c r="AB31" s="15">
        <v>0</v>
      </c>
      <c r="AC31" s="15">
        <v>0</v>
      </c>
      <c r="AD31" s="17">
        <v>0</v>
      </c>
      <c r="AE31" s="15">
        <v>0</v>
      </c>
      <c r="AF31" s="15">
        <v>0</v>
      </c>
      <c r="AG31" s="17">
        <v>0</v>
      </c>
      <c r="AH31" s="15">
        <v>0</v>
      </c>
      <c r="AI31" s="15">
        <v>0</v>
      </c>
      <c r="AJ31" s="17">
        <v>0</v>
      </c>
      <c r="AK31" s="15">
        <v>0</v>
      </c>
      <c r="AL31" s="15">
        <v>0</v>
      </c>
      <c r="AM31" s="17">
        <v>0</v>
      </c>
      <c r="AN31" s="15">
        <v>0</v>
      </c>
      <c r="AO31" s="15">
        <v>0</v>
      </c>
      <c r="AP31" s="17">
        <v>0</v>
      </c>
      <c r="AQ31" s="87">
        <v>1</v>
      </c>
      <c r="AR31" s="15">
        <v>0</v>
      </c>
      <c r="AS31" s="17">
        <v>0</v>
      </c>
      <c r="AT31" s="15">
        <v>0</v>
      </c>
      <c r="AU31" s="15">
        <v>0</v>
      </c>
      <c r="AV31" s="17">
        <v>0</v>
      </c>
      <c r="AW31" s="87">
        <v>1</v>
      </c>
      <c r="AX31" s="15">
        <v>0</v>
      </c>
      <c r="AY31" s="17">
        <v>0</v>
      </c>
      <c r="AZ31" s="87">
        <v>6</v>
      </c>
      <c r="BA31" s="53">
        <v>0</v>
      </c>
      <c r="BB31" s="17">
        <v>0</v>
      </c>
      <c r="BC31" s="15">
        <v>0</v>
      </c>
      <c r="BD31" s="15">
        <v>0</v>
      </c>
      <c r="BE31" s="17">
        <v>0</v>
      </c>
      <c r="BF31" s="15">
        <v>0</v>
      </c>
      <c r="BG31" s="15">
        <v>0</v>
      </c>
      <c r="BH31" s="17">
        <v>0</v>
      </c>
      <c r="BI31" s="15">
        <v>0</v>
      </c>
      <c r="BJ31" s="15">
        <v>0</v>
      </c>
      <c r="BK31" s="17">
        <v>0</v>
      </c>
      <c r="BL31" s="15">
        <v>0</v>
      </c>
      <c r="BM31" s="15">
        <v>0</v>
      </c>
      <c r="BN31" s="17">
        <v>0</v>
      </c>
      <c r="BO31" s="15">
        <v>0</v>
      </c>
      <c r="BP31" s="15">
        <v>0</v>
      </c>
      <c r="BQ31" s="17">
        <v>0</v>
      </c>
      <c r="BR31" s="15">
        <v>0</v>
      </c>
      <c r="BS31" s="15">
        <v>0</v>
      </c>
      <c r="BT31" s="17">
        <v>0</v>
      </c>
      <c r="BU31" s="15">
        <v>0</v>
      </c>
      <c r="BV31" s="15">
        <v>0</v>
      </c>
      <c r="BW31" s="17">
        <v>0</v>
      </c>
      <c r="BX31" s="87">
        <v>2</v>
      </c>
      <c r="BY31" s="53">
        <v>0</v>
      </c>
      <c r="BZ31" s="17">
        <v>0</v>
      </c>
      <c r="CA31" s="15">
        <v>0</v>
      </c>
      <c r="CB31" s="15">
        <v>0</v>
      </c>
      <c r="CC31" s="17">
        <v>0</v>
      </c>
      <c r="CD31" s="15">
        <v>0</v>
      </c>
      <c r="CE31" s="15">
        <v>0</v>
      </c>
      <c r="CF31" s="17">
        <v>0</v>
      </c>
      <c r="CG31" s="15">
        <v>0</v>
      </c>
      <c r="CH31" s="15">
        <v>0</v>
      </c>
      <c r="CI31" s="17">
        <v>0</v>
      </c>
      <c r="CJ31" s="15">
        <v>0</v>
      </c>
      <c r="CK31" s="15">
        <v>0</v>
      </c>
      <c r="CL31" s="17">
        <v>0</v>
      </c>
      <c r="CM31" s="15">
        <v>0</v>
      </c>
      <c r="CN31" s="15">
        <v>0</v>
      </c>
      <c r="CO31" s="17">
        <v>0</v>
      </c>
      <c r="CP31" s="15">
        <v>0</v>
      </c>
      <c r="CQ31" s="15">
        <v>0</v>
      </c>
      <c r="CR31" s="17">
        <v>0</v>
      </c>
      <c r="CS31" s="15">
        <v>0</v>
      </c>
      <c r="CT31" s="15">
        <v>0</v>
      </c>
      <c r="CU31" s="17">
        <v>0</v>
      </c>
      <c r="CV31" s="15">
        <v>0</v>
      </c>
      <c r="CW31" s="15">
        <v>0</v>
      </c>
      <c r="CX31" s="17">
        <v>0</v>
      </c>
      <c r="CY31" s="15">
        <v>0</v>
      </c>
      <c r="CZ31" s="15">
        <v>0</v>
      </c>
      <c r="DA31" s="17">
        <v>0</v>
      </c>
      <c r="DB31" s="15">
        <v>0</v>
      </c>
      <c r="DC31" s="15">
        <v>0</v>
      </c>
      <c r="DD31" s="17">
        <v>0</v>
      </c>
      <c r="DE31" s="15">
        <v>0</v>
      </c>
      <c r="DF31" s="15">
        <v>0</v>
      </c>
      <c r="DG31" s="17">
        <v>0</v>
      </c>
      <c r="DH31" s="15">
        <v>0</v>
      </c>
      <c r="DI31" s="15">
        <v>0</v>
      </c>
      <c r="DJ31" s="17">
        <v>0</v>
      </c>
      <c r="DK31" s="15">
        <v>0</v>
      </c>
      <c r="DL31" s="15">
        <v>0</v>
      </c>
      <c r="DM31" s="17">
        <v>0</v>
      </c>
      <c r="DN31" s="15">
        <v>0</v>
      </c>
      <c r="DO31" s="15">
        <v>0</v>
      </c>
      <c r="DP31" s="17">
        <v>0</v>
      </c>
      <c r="DQ31" s="15">
        <v>0</v>
      </c>
      <c r="DR31" s="15">
        <v>0</v>
      </c>
      <c r="DS31" s="17">
        <v>0</v>
      </c>
      <c r="DT31" s="15">
        <v>0</v>
      </c>
      <c r="DU31" s="15">
        <v>0</v>
      </c>
      <c r="DV31" s="17">
        <v>0</v>
      </c>
      <c r="DW31" s="87">
        <v>2</v>
      </c>
      <c r="DX31" s="15">
        <v>0</v>
      </c>
      <c r="DY31" s="17">
        <v>0</v>
      </c>
      <c r="DZ31" s="15">
        <v>0</v>
      </c>
      <c r="EA31" s="15">
        <v>0</v>
      </c>
      <c r="EB31" s="17">
        <v>0</v>
      </c>
      <c r="EC31" s="87">
        <v>2</v>
      </c>
      <c r="ED31" s="15">
        <v>0</v>
      </c>
      <c r="EE31" s="17">
        <v>0</v>
      </c>
      <c r="EF31" s="15">
        <v>0</v>
      </c>
      <c r="EG31" s="15">
        <v>0</v>
      </c>
      <c r="EH31" s="17">
        <v>0</v>
      </c>
      <c r="EI31" s="15">
        <v>0</v>
      </c>
      <c r="EJ31" s="15">
        <v>0</v>
      </c>
      <c r="EK31" s="17">
        <v>0</v>
      </c>
      <c r="EL31" s="15">
        <v>0</v>
      </c>
      <c r="EM31" s="15">
        <v>0</v>
      </c>
      <c r="EN31" s="17">
        <v>0</v>
      </c>
      <c r="EO31" s="15">
        <v>0</v>
      </c>
      <c r="EP31" s="15">
        <v>0</v>
      </c>
      <c r="EQ31" s="17">
        <v>0</v>
      </c>
      <c r="ER31" s="87">
        <v>1</v>
      </c>
      <c r="ES31" s="15">
        <v>0</v>
      </c>
      <c r="ET31" s="17">
        <v>0</v>
      </c>
      <c r="EU31" s="15">
        <v>0</v>
      </c>
      <c r="EV31" s="15">
        <v>0</v>
      </c>
      <c r="EW31" s="17">
        <v>0</v>
      </c>
      <c r="EX31" s="15">
        <v>0</v>
      </c>
      <c r="EY31" s="15">
        <v>0</v>
      </c>
      <c r="EZ31" s="17">
        <v>0</v>
      </c>
      <c r="FA31" s="15">
        <v>0</v>
      </c>
      <c r="FB31" s="15">
        <v>0</v>
      </c>
      <c r="FC31" s="17">
        <v>0</v>
      </c>
      <c r="FD31" s="55"/>
      <c r="FE31" s="56"/>
    </row>
    <row r="32" spans="1:161" ht="12.75">
      <c r="A32" s="40">
        <v>43863</v>
      </c>
      <c r="B32" s="84">
        <f t="shared" ref="B32:D32" si="54">SUM(J32,P32,S32,V32,Y32,AB32,AK32,AN32,AQ32,AT32,AW32,AZ32,BC32,BF32,BL32,BO32,BR32,BU32,BX32,CG32,CJ32,CM32,CP32,CS32,CV32,DH32,CY32,DB32,DK32,DN32,DQ32,DT32,DW32,DZ32,EC32,EF32,EI32,EL32,EO32,ER32,EU32,EX32,FA32,)</f>
        <v>25</v>
      </c>
      <c r="C32" s="44">
        <f t="shared" si="54"/>
        <v>0</v>
      </c>
      <c r="D32" s="44">
        <f t="shared" si="54"/>
        <v>0</v>
      </c>
      <c r="E32" s="85">
        <f t="shared" si="1"/>
        <v>25</v>
      </c>
      <c r="F32" s="86">
        <f t="shared" ref="F32:H32" si="55">SUM(P32,S32,V32,AE32,AH32,AK32,AN32,AQ32,AT32,AW32,AZ32,BF32,BL32,BR32,BX32,CG32,CM32,CP32,CV32,DK32,DN32,DQ32,DT32,DZ32,EL32,EO32,ER32)</f>
        <v>21</v>
      </c>
      <c r="G32" s="41">
        <f t="shared" si="55"/>
        <v>0</v>
      </c>
      <c r="H32" s="41">
        <f t="shared" si="55"/>
        <v>0</v>
      </c>
      <c r="I32" s="85">
        <f t="shared" si="3"/>
        <v>21</v>
      </c>
      <c r="J32" s="15">
        <v>0</v>
      </c>
      <c r="K32" s="15">
        <v>0</v>
      </c>
      <c r="L32" s="17">
        <v>0</v>
      </c>
      <c r="M32" s="15">
        <v>0</v>
      </c>
      <c r="N32" s="15">
        <v>0</v>
      </c>
      <c r="O32" s="17">
        <v>0</v>
      </c>
      <c r="P32" s="87">
        <v>10</v>
      </c>
      <c r="Q32" s="15">
        <v>0</v>
      </c>
      <c r="R32" s="17">
        <v>0</v>
      </c>
      <c r="S32" s="15">
        <v>0</v>
      </c>
      <c r="T32" s="15">
        <v>0</v>
      </c>
      <c r="U32" s="17">
        <v>0</v>
      </c>
      <c r="V32" s="15">
        <v>0</v>
      </c>
      <c r="W32" s="15">
        <v>0</v>
      </c>
      <c r="X32" s="17">
        <v>0</v>
      </c>
      <c r="Y32" s="15">
        <v>0</v>
      </c>
      <c r="Z32" s="15">
        <v>0</v>
      </c>
      <c r="AA32" s="17">
        <v>0</v>
      </c>
      <c r="AB32" s="15">
        <v>0</v>
      </c>
      <c r="AC32" s="15">
        <v>0</v>
      </c>
      <c r="AD32" s="17">
        <v>0</v>
      </c>
      <c r="AE32" s="15">
        <v>0</v>
      </c>
      <c r="AF32" s="15">
        <v>0</v>
      </c>
      <c r="AG32" s="17">
        <v>0</v>
      </c>
      <c r="AH32" s="15">
        <v>0</v>
      </c>
      <c r="AI32" s="15">
        <v>0</v>
      </c>
      <c r="AJ32" s="17">
        <v>0</v>
      </c>
      <c r="AK32" s="15">
        <v>0</v>
      </c>
      <c r="AL32" s="15">
        <v>0</v>
      </c>
      <c r="AM32" s="17">
        <v>0</v>
      </c>
      <c r="AN32" s="15">
        <v>0</v>
      </c>
      <c r="AO32" s="15">
        <v>0</v>
      </c>
      <c r="AP32" s="17">
        <v>0</v>
      </c>
      <c r="AQ32" s="87">
        <v>1</v>
      </c>
      <c r="AR32" s="15">
        <v>0</v>
      </c>
      <c r="AS32" s="17">
        <v>0</v>
      </c>
      <c r="AT32" s="15">
        <v>0</v>
      </c>
      <c r="AU32" s="15">
        <v>0</v>
      </c>
      <c r="AV32" s="17">
        <v>0</v>
      </c>
      <c r="AW32" s="87">
        <v>1</v>
      </c>
      <c r="AX32" s="15">
        <v>0</v>
      </c>
      <c r="AY32" s="17">
        <v>0</v>
      </c>
      <c r="AZ32" s="87">
        <v>6</v>
      </c>
      <c r="BA32" s="53">
        <v>0</v>
      </c>
      <c r="BB32" s="17">
        <v>0</v>
      </c>
      <c r="BC32" s="15">
        <v>0</v>
      </c>
      <c r="BD32" s="15">
        <v>0</v>
      </c>
      <c r="BE32" s="17">
        <v>0</v>
      </c>
      <c r="BF32" s="15">
        <v>0</v>
      </c>
      <c r="BG32" s="15">
        <v>0</v>
      </c>
      <c r="BH32" s="17">
        <v>0</v>
      </c>
      <c r="BI32" s="15">
        <v>0</v>
      </c>
      <c r="BJ32" s="15">
        <v>0</v>
      </c>
      <c r="BK32" s="17">
        <v>0</v>
      </c>
      <c r="BL32" s="15">
        <v>0</v>
      </c>
      <c r="BM32" s="15">
        <v>0</v>
      </c>
      <c r="BN32" s="17">
        <v>0</v>
      </c>
      <c r="BO32" s="15">
        <v>0</v>
      </c>
      <c r="BP32" s="15">
        <v>0</v>
      </c>
      <c r="BQ32" s="17">
        <v>0</v>
      </c>
      <c r="BR32" s="15">
        <v>0</v>
      </c>
      <c r="BS32" s="15">
        <v>0</v>
      </c>
      <c r="BT32" s="17">
        <v>0</v>
      </c>
      <c r="BU32" s="15">
        <v>0</v>
      </c>
      <c r="BV32" s="15">
        <v>0</v>
      </c>
      <c r="BW32" s="17">
        <v>0</v>
      </c>
      <c r="BX32" s="87">
        <v>2</v>
      </c>
      <c r="BY32" s="53">
        <v>0</v>
      </c>
      <c r="BZ32" s="17">
        <v>0</v>
      </c>
      <c r="CA32" s="15">
        <v>0</v>
      </c>
      <c r="CB32" s="15">
        <v>0</v>
      </c>
      <c r="CC32" s="17">
        <v>0</v>
      </c>
      <c r="CD32" s="15">
        <v>0</v>
      </c>
      <c r="CE32" s="15">
        <v>0</v>
      </c>
      <c r="CF32" s="17">
        <v>0</v>
      </c>
      <c r="CG32" s="15">
        <v>0</v>
      </c>
      <c r="CH32" s="15">
        <v>0</v>
      </c>
      <c r="CI32" s="17">
        <v>0</v>
      </c>
      <c r="CJ32" s="15">
        <v>0</v>
      </c>
      <c r="CK32" s="15">
        <v>0</v>
      </c>
      <c r="CL32" s="17">
        <v>0</v>
      </c>
      <c r="CM32" s="15">
        <v>0</v>
      </c>
      <c r="CN32" s="15">
        <v>0</v>
      </c>
      <c r="CO32" s="17">
        <v>0</v>
      </c>
      <c r="CP32" s="15">
        <v>0</v>
      </c>
      <c r="CQ32" s="15">
        <v>0</v>
      </c>
      <c r="CR32" s="17">
        <v>0</v>
      </c>
      <c r="CS32" s="15">
        <v>0</v>
      </c>
      <c r="CT32" s="15">
        <v>0</v>
      </c>
      <c r="CU32" s="17">
        <v>0</v>
      </c>
      <c r="CV32" s="15">
        <v>0</v>
      </c>
      <c r="CW32" s="15">
        <v>0</v>
      </c>
      <c r="CX32" s="17">
        <v>0</v>
      </c>
      <c r="CY32" s="15">
        <v>0</v>
      </c>
      <c r="CZ32" s="15">
        <v>0</v>
      </c>
      <c r="DA32" s="17">
        <v>0</v>
      </c>
      <c r="DB32" s="15">
        <v>0</v>
      </c>
      <c r="DC32" s="15">
        <v>0</v>
      </c>
      <c r="DD32" s="17">
        <v>0</v>
      </c>
      <c r="DE32" s="15">
        <v>0</v>
      </c>
      <c r="DF32" s="15">
        <v>0</v>
      </c>
      <c r="DG32" s="17">
        <v>0</v>
      </c>
      <c r="DH32" s="15">
        <v>0</v>
      </c>
      <c r="DI32" s="15">
        <v>0</v>
      </c>
      <c r="DJ32" s="17">
        <v>0</v>
      </c>
      <c r="DK32" s="15">
        <v>0</v>
      </c>
      <c r="DL32" s="15">
        <v>0</v>
      </c>
      <c r="DM32" s="17">
        <v>0</v>
      </c>
      <c r="DN32" s="15">
        <v>0</v>
      </c>
      <c r="DO32" s="15">
        <v>0</v>
      </c>
      <c r="DP32" s="17">
        <v>0</v>
      </c>
      <c r="DQ32" s="15">
        <v>0</v>
      </c>
      <c r="DR32" s="15">
        <v>0</v>
      </c>
      <c r="DS32" s="17">
        <v>0</v>
      </c>
      <c r="DT32" s="15">
        <v>0</v>
      </c>
      <c r="DU32" s="15">
        <v>0</v>
      </c>
      <c r="DV32" s="17">
        <v>0</v>
      </c>
      <c r="DW32" s="87">
        <v>2</v>
      </c>
      <c r="DX32" s="15">
        <v>0</v>
      </c>
      <c r="DY32" s="17">
        <v>0</v>
      </c>
      <c r="DZ32" s="15">
        <v>0</v>
      </c>
      <c r="EA32" s="15">
        <v>0</v>
      </c>
      <c r="EB32" s="17">
        <v>0</v>
      </c>
      <c r="EC32" s="87">
        <v>2</v>
      </c>
      <c r="ED32" s="15">
        <v>0</v>
      </c>
      <c r="EE32" s="17">
        <v>0</v>
      </c>
      <c r="EF32" s="15">
        <v>0</v>
      </c>
      <c r="EG32" s="15">
        <v>0</v>
      </c>
      <c r="EH32" s="17">
        <v>0</v>
      </c>
      <c r="EI32" s="15">
        <v>0</v>
      </c>
      <c r="EJ32" s="15">
        <v>0</v>
      </c>
      <c r="EK32" s="17">
        <v>0</v>
      </c>
      <c r="EL32" s="15">
        <v>0</v>
      </c>
      <c r="EM32" s="15">
        <v>0</v>
      </c>
      <c r="EN32" s="17">
        <v>0</v>
      </c>
      <c r="EO32" s="15">
        <v>0</v>
      </c>
      <c r="EP32" s="15">
        <v>0</v>
      </c>
      <c r="EQ32" s="17">
        <v>0</v>
      </c>
      <c r="ER32" s="87">
        <v>1</v>
      </c>
      <c r="ES32" s="15">
        <v>0</v>
      </c>
      <c r="ET32" s="17">
        <v>0</v>
      </c>
      <c r="EU32" s="15">
        <v>0</v>
      </c>
      <c r="EV32" s="15">
        <v>0</v>
      </c>
      <c r="EW32" s="17">
        <v>0</v>
      </c>
      <c r="EX32" s="15">
        <v>0</v>
      </c>
      <c r="EY32" s="15">
        <v>0</v>
      </c>
      <c r="EZ32" s="17">
        <v>0</v>
      </c>
      <c r="FA32" s="15">
        <v>0</v>
      </c>
      <c r="FB32" s="15">
        <v>0</v>
      </c>
      <c r="FC32" s="17">
        <v>0</v>
      </c>
      <c r="FD32" s="55"/>
      <c r="FE32" s="56"/>
    </row>
    <row r="33" spans="1:161" ht="12.75">
      <c r="A33" s="40">
        <v>43864</v>
      </c>
      <c r="B33" s="84">
        <f t="shared" ref="B33:D33" si="56">SUM(J33,P33,S33,V33,Y33,AB33,AK33,AN33,AQ33,AT33,AW33,AZ33,BC33,BF33,BL33,BO33,BR33,BU33,BX33,CG33,CJ33,CM33,CP33,CS33,CV33,DH33,CY33,DB33,DK33,DN33,DQ33,DT33,DW33,DZ33,EC33,EF33,EI33,EL33,EO33,ER33,EU33,EX33,FA33,)</f>
        <v>27</v>
      </c>
      <c r="C33" s="44">
        <f t="shared" si="56"/>
        <v>0</v>
      </c>
      <c r="D33" s="44">
        <f t="shared" si="56"/>
        <v>0</v>
      </c>
      <c r="E33" s="85">
        <f t="shared" si="1"/>
        <v>27</v>
      </c>
      <c r="F33" s="86">
        <f t="shared" ref="F33:H33" si="57">SUM(P33,S33,V33,AE33,AH33,AK33,AN33,AQ33,AT33,AW33,AZ33,BF33,BL33,BR33,BX33,CG33,CM33,CP33,CV33,DK33,DN33,DQ33,DT33,DZ33,EL33,EO33,ER33)</f>
        <v>23</v>
      </c>
      <c r="G33" s="41">
        <f t="shared" si="57"/>
        <v>0</v>
      </c>
      <c r="H33" s="41">
        <f t="shared" si="57"/>
        <v>0</v>
      </c>
      <c r="I33" s="85">
        <f t="shared" si="3"/>
        <v>23</v>
      </c>
      <c r="J33" s="15">
        <v>0</v>
      </c>
      <c r="K33" s="15">
        <v>0</v>
      </c>
      <c r="L33" s="17">
        <v>0</v>
      </c>
      <c r="M33" s="15">
        <v>0</v>
      </c>
      <c r="N33" s="15">
        <v>0</v>
      </c>
      <c r="O33" s="17">
        <v>0</v>
      </c>
      <c r="P33" s="87">
        <v>12</v>
      </c>
      <c r="Q33" s="15">
        <v>0</v>
      </c>
      <c r="R33" s="17">
        <v>0</v>
      </c>
      <c r="S33" s="15">
        <v>0</v>
      </c>
      <c r="T33" s="15">
        <v>0</v>
      </c>
      <c r="U33" s="17">
        <v>0</v>
      </c>
      <c r="V33" s="15">
        <v>0</v>
      </c>
      <c r="W33" s="15">
        <v>0</v>
      </c>
      <c r="X33" s="17">
        <v>0</v>
      </c>
      <c r="Y33" s="15">
        <v>0</v>
      </c>
      <c r="Z33" s="15">
        <v>0</v>
      </c>
      <c r="AA33" s="17">
        <v>0</v>
      </c>
      <c r="AB33" s="15">
        <v>0</v>
      </c>
      <c r="AC33" s="15">
        <v>0</v>
      </c>
      <c r="AD33" s="17">
        <v>0</v>
      </c>
      <c r="AE33" s="15">
        <v>0</v>
      </c>
      <c r="AF33" s="15">
        <v>0</v>
      </c>
      <c r="AG33" s="17">
        <v>0</v>
      </c>
      <c r="AH33" s="15">
        <v>0</v>
      </c>
      <c r="AI33" s="15">
        <v>0</v>
      </c>
      <c r="AJ33" s="17">
        <v>0</v>
      </c>
      <c r="AK33" s="15">
        <v>0</v>
      </c>
      <c r="AL33" s="15">
        <v>0</v>
      </c>
      <c r="AM33" s="17">
        <v>0</v>
      </c>
      <c r="AN33" s="15">
        <v>0</v>
      </c>
      <c r="AO33" s="15">
        <v>0</v>
      </c>
      <c r="AP33" s="17">
        <v>0</v>
      </c>
      <c r="AQ33" s="87">
        <v>1</v>
      </c>
      <c r="AR33" s="15">
        <v>0</v>
      </c>
      <c r="AS33" s="17">
        <v>0</v>
      </c>
      <c r="AT33" s="15">
        <v>0</v>
      </c>
      <c r="AU33" s="15">
        <v>0</v>
      </c>
      <c r="AV33" s="17">
        <v>0</v>
      </c>
      <c r="AW33" s="87">
        <v>1</v>
      </c>
      <c r="AX33" s="15">
        <v>0</v>
      </c>
      <c r="AY33" s="17">
        <v>0</v>
      </c>
      <c r="AZ33" s="87">
        <v>6</v>
      </c>
      <c r="BA33" s="53">
        <v>0</v>
      </c>
      <c r="BB33" s="17">
        <v>0</v>
      </c>
      <c r="BC33" s="15">
        <v>0</v>
      </c>
      <c r="BD33" s="15">
        <v>0</v>
      </c>
      <c r="BE33" s="17">
        <v>0</v>
      </c>
      <c r="BF33" s="15">
        <v>0</v>
      </c>
      <c r="BG33" s="15">
        <v>0</v>
      </c>
      <c r="BH33" s="17">
        <v>0</v>
      </c>
      <c r="BI33" s="15">
        <v>0</v>
      </c>
      <c r="BJ33" s="15">
        <v>0</v>
      </c>
      <c r="BK33" s="17">
        <v>0</v>
      </c>
      <c r="BL33" s="15">
        <v>0</v>
      </c>
      <c r="BM33" s="15">
        <v>0</v>
      </c>
      <c r="BN33" s="17">
        <v>0</v>
      </c>
      <c r="BO33" s="15">
        <v>0</v>
      </c>
      <c r="BP33" s="15">
        <v>0</v>
      </c>
      <c r="BQ33" s="17">
        <v>0</v>
      </c>
      <c r="BR33" s="15">
        <v>0</v>
      </c>
      <c r="BS33" s="15">
        <v>0</v>
      </c>
      <c r="BT33" s="17">
        <v>0</v>
      </c>
      <c r="BU33" s="15">
        <v>0</v>
      </c>
      <c r="BV33" s="15">
        <v>0</v>
      </c>
      <c r="BW33" s="17">
        <v>0</v>
      </c>
      <c r="BX33" s="87">
        <v>2</v>
      </c>
      <c r="BY33" s="53">
        <v>0</v>
      </c>
      <c r="BZ33" s="17">
        <v>0</v>
      </c>
      <c r="CA33" s="15">
        <v>0</v>
      </c>
      <c r="CB33" s="15">
        <v>0</v>
      </c>
      <c r="CC33" s="17">
        <v>0</v>
      </c>
      <c r="CD33" s="15">
        <v>0</v>
      </c>
      <c r="CE33" s="15">
        <v>0</v>
      </c>
      <c r="CF33" s="17">
        <v>0</v>
      </c>
      <c r="CG33" s="15">
        <v>0</v>
      </c>
      <c r="CH33" s="15">
        <v>0</v>
      </c>
      <c r="CI33" s="17">
        <v>0</v>
      </c>
      <c r="CJ33" s="15">
        <v>0</v>
      </c>
      <c r="CK33" s="15">
        <v>0</v>
      </c>
      <c r="CL33" s="17">
        <v>0</v>
      </c>
      <c r="CM33" s="15">
        <v>0</v>
      </c>
      <c r="CN33" s="15">
        <v>0</v>
      </c>
      <c r="CO33" s="17">
        <v>0</v>
      </c>
      <c r="CP33" s="15">
        <v>0</v>
      </c>
      <c r="CQ33" s="15">
        <v>0</v>
      </c>
      <c r="CR33" s="17">
        <v>0</v>
      </c>
      <c r="CS33" s="15">
        <v>0</v>
      </c>
      <c r="CT33" s="15">
        <v>0</v>
      </c>
      <c r="CU33" s="17">
        <v>0</v>
      </c>
      <c r="CV33" s="15">
        <v>0</v>
      </c>
      <c r="CW33" s="15">
        <v>0</v>
      </c>
      <c r="CX33" s="17">
        <v>0</v>
      </c>
      <c r="CY33" s="15">
        <v>0</v>
      </c>
      <c r="CZ33" s="15">
        <v>0</v>
      </c>
      <c r="DA33" s="17">
        <v>0</v>
      </c>
      <c r="DB33" s="15">
        <v>0</v>
      </c>
      <c r="DC33" s="15">
        <v>0</v>
      </c>
      <c r="DD33" s="17">
        <v>0</v>
      </c>
      <c r="DE33" s="15">
        <v>0</v>
      </c>
      <c r="DF33" s="15">
        <v>0</v>
      </c>
      <c r="DG33" s="17">
        <v>0</v>
      </c>
      <c r="DH33" s="15">
        <v>0</v>
      </c>
      <c r="DI33" s="15">
        <v>0</v>
      </c>
      <c r="DJ33" s="17">
        <v>0</v>
      </c>
      <c r="DK33" s="15">
        <v>0</v>
      </c>
      <c r="DL33" s="15">
        <v>0</v>
      </c>
      <c r="DM33" s="17">
        <v>0</v>
      </c>
      <c r="DN33" s="15">
        <v>0</v>
      </c>
      <c r="DO33" s="15">
        <v>0</v>
      </c>
      <c r="DP33" s="17">
        <v>0</v>
      </c>
      <c r="DQ33" s="15">
        <v>0</v>
      </c>
      <c r="DR33" s="15">
        <v>0</v>
      </c>
      <c r="DS33" s="17">
        <v>0</v>
      </c>
      <c r="DT33" s="15">
        <v>0</v>
      </c>
      <c r="DU33" s="15">
        <v>0</v>
      </c>
      <c r="DV33" s="17">
        <v>0</v>
      </c>
      <c r="DW33" s="87">
        <v>2</v>
      </c>
      <c r="DX33" s="15">
        <v>0</v>
      </c>
      <c r="DY33" s="17">
        <v>0</v>
      </c>
      <c r="DZ33" s="15">
        <v>0</v>
      </c>
      <c r="EA33" s="15">
        <v>0</v>
      </c>
      <c r="EB33" s="17">
        <v>0</v>
      </c>
      <c r="EC33" s="87">
        <v>2</v>
      </c>
      <c r="ED33" s="15">
        <v>0</v>
      </c>
      <c r="EE33" s="17">
        <v>0</v>
      </c>
      <c r="EF33" s="15">
        <v>0</v>
      </c>
      <c r="EG33" s="15">
        <v>0</v>
      </c>
      <c r="EH33" s="17">
        <v>0</v>
      </c>
      <c r="EI33" s="15">
        <v>0</v>
      </c>
      <c r="EJ33" s="15">
        <v>0</v>
      </c>
      <c r="EK33" s="17">
        <v>0</v>
      </c>
      <c r="EL33" s="15">
        <v>0</v>
      </c>
      <c r="EM33" s="15">
        <v>0</v>
      </c>
      <c r="EN33" s="17">
        <v>0</v>
      </c>
      <c r="EO33" s="15">
        <v>0</v>
      </c>
      <c r="EP33" s="15">
        <v>0</v>
      </c>
      <c r="EQ33" s="17">
        <v>0</v>
      </c>
      <c r="ER33" s="87">
        <v>1</v>
      </c>
      <c r="ES33" s="15">
        <v>0</v>
      </c>
      <c r="ET33" s="17">
        <v>0</v>
      </c>
      <c r="EU33" s="15">
        <v>0</v>
      </c>
      <c r="EV33" s="15">
        <v>0</v>
      </c>
      <c r="EW33" s="17">
        <v>0</v>
      </c>
      <c r="EX33" s="15">
        <v>0</v>
      </c>
      <c r="EY33" s="15">
        <v>0</v>
      </c>
      <c r="EZ33" s="17">
        <v>0</v>
      </c>
      <c r="FA33" s="15">
        <v>0</v>
      </c>
      <c r="FB33" s="15">
        <v>0</v>
      </c>
      <c r="FC33" s="17">
        <v>0</v>
      </c>
      <c r="FD33" s="55"/>
      <c r="FE33" s="56"/>
    </row>
    <row r="34" spans="1:161" ht="12.75">
      <c r="A34" s="40">
        <v>43865</v>
      </c>
      <c r="B34" s="84">
        <f t="shared" ref="B34:D34" si="58">SUM(J34,P34,S34,V34,Y34,AB34,AK34,AN34,AQ34,AT34,AW34,AZ34,BC34,BF34,BL34,BO34,BR34,BU34,BX34,CG34,CJ34,CM34,CP34,CS34,CV34,DH34,CY34,DB34,DK34,DN34,DQ34,DT34,DW34,DZ34,EC34,EF34,EI34,EL34,EO34,ER34,EU34,EX34,FA34,)</f>
        <v>28</v>
      </c>
      <c r="C34" s="44">
        <f t="shared" si="58"/>
        <v>0</v>
      </c>
      <c r="D34" s="44">
        <f t="shared" si="58"/>
        <v>0</v>
      </c>
      <c r="E34" s="85">
        <f t="shared" si="1"/>
        <v>28</v>
      </c>
      <c r="F34" s="86">
        <f t="shared" ref="F34:H34" si="59">SUM(P34,S34,V34,AE34,AH34,AK34,AN34,AQ34,AT34,AW34,AZ34,BF34,BL34,BR34,BX34,CG34,CM34,CP34,CV34,DK34,DN34,DQ34,DT34,DZ34,EL34,EO34,ER34)</f>
        <v>24</v>
      </c>
      <c r="G34" s="41">
        <f t="shared" si="59"/>
        <v>0</v>
      </c>
      <c r="H34" s="41">
        <f t="shared" si="59"/>
        <v>0</v>
      </c>
      <c r="I34" s="85">
        <f t="shared" si="3"/>
        <v>24</v>
      </c>
      <c r="J34" s="15">
        <v>0</v>
      </c>
      <c r="K34" s="15">
        <v>0</v>
      </c>
      <c r="L34" s="17">
        <v>0</v>
      </c>
      <c r="M34" s="15">
        <v>0</v>
      </c>
      <c r="N34" s="15">
        <v>0</v>
      </c>
      <c r="O34" s="17">
        <v>0</v>
      </c>
      <c r="P34" s="87">
        <v>12</v>
      </c>
      <c r="Q34" s="15">
        <v>0</v>
      </c>
      <c r="R34" s="17">
        <v>0</v>
      </c>
      <c r="S34" s="15">
        <v>0</v>
      </c>
      <c r="T34" s="15">
        <v>0</v>
      </c>
      <c r="U34" s="17">
        <v>0</v>
      </c>
      <c r="V34" s="87">
        <v>1</v>
      </c>
      <c r="W34" s="15">
        <v>0</v>
      </c>
      <c r="X34" s="17">
        <v>0</v>
      </c>
      <c r="Y34" s="15">
        <v>0</v>
      </c>
      <c r="Z34" s="15">
        <v>0</v>
      </c>
      <c r="AA34" s="17">
        <v>0</v>
      </c>
      <c r="AB34" s="15">
        <v>0</v>
      </c>
      <c r="AC34" s="15">
        <v>0</v>
      </c>
      <c r="AD34" s="17">
        <v>0</v>
      </c>
      <c r="AE34" s="15">
        <v>0</v>
      </c>
      <c r="AF34" s="15">
        <v>0</v>
      </c>
      <c r="AG34" s="17">
        <v>0</v>
      </c>
      <c r="AH34" s="15">
        <v>0</v>
      </c>
      <c r="AI34" s="15">
        <v>0</v>
      </c>
      <c r="AJ34" s="17">
        <v>0</v>
      </c>
      <c r="AK34" s="15">
        <v>0</v>
      </c>
      <c r="AL34" s="15">
        <v>0</v>
      </c>
      <c r="AM34" s="17">
        <v>0</v>
      </c>
      <c r="AN34" s="15">
        <v>0</v>
      </c>
      <c r="AO34" s="15">
        <v>0</v>
      </c>
      <c r="AP34" s="17">
        <v>0</v>
      </c>
      <c r="AQ34" s="87">
        <v>1</v>
      </c>
      <c r="AR34" s="15">
        <v>0</v>
      </c>
      <c r="AS34" s="17">
        <v>0</v>
      </c>
      <c r="AT34" s="15">
        <v>0</v>
      </c>
      <c r="AU34" s="15">
        <v>0</v>
      </c>
      <c r="AV34" s="17">
        <v>0</v>
      </c>
      <c r="AW34" s="87">
        <v>1</v>
      </c>
      <c r="AX34" s="15">
        <v>0</v>
      </c>
      <c r="AY34" s="17">
        <v>0</v>
      </c>
      <c r="AZ34" s="87">
        <v>6</v>
      </c>
      <c r="BA34" s="53">
        <v>0</v>
      </c>
      <c r="BB34" s="17">
        <v>0</v>
      </c>
      <c r="BC34" s="15">
        <v>0</v>
      </c>
      <c r="BD34" s="15">
        <v>0</v>
      </c>
      <c r="BE34" s="17">
        <v>0</v>
      </c>
      <c r="BF34" s="15">
        <v>0</v>
      </c>
      <c r="BG34" s="15">
        <v>0</v>
      </c>
      <c r="BH34" s="17">
        <v>0</v>
      </c>
      <c r="BI34" s="15">
        <v>0</v>
      </c>
      <c r="BJ34" s="15">
        <v>0</v>
      </c>
      <c r="BK34" s="17">
        <v>0</v>
      </c>
      <c r="BL34" s="15">
        <v>0</v>
      </c>
      <c r="BM34" s="15">
        <v>0</v>
      </c>
      <c r="BN34" s="17">
        <v>0</v>
      </c>
      <c r="BO34" s="15">
        <v>0</v>
      </c>
      <c r="BP34" s="15">
        <v>0</v>
      </c>
      <c r="BQ34" s="17">
        <v>0</v>
      </c>
      <c r="BR34" s="15">
        <v>0</v>
      </c>
      <c r="BS34" s="15">
        <v>0</v>
      </c>
      <c r="BT34" s="17">
        <v>0</v>
      </c>
      <c r="BU34" s="15">
        <v>0</v>
      </c>
      <c r="BV34" s="15">
        <v>0</v>
      </c>
      <c r="BW34" s="17">
        <v>0</v>
      </c>
      <c r="BX34" s="87">
        <v>2</v>
      </c>
      <c r="BY34" s="53">
        <v>0</v>
      </c>
      <c r="BZ34" s="17">
        <v>0</v>
      </c>
      <c r="CA34" s="15">
        <v>0</v>
      </c>
      <c r="CB34" s="15">
        <v>0</v>
      </c>
      <c r="CC34" s="17">
        <v>0</v>
      </c>
      <c r="CD34" s="15">
        <v>0</v>
      </c>
      <c r="CE34" s="15">
        <v>0</v>
      </c>
      <c r="CF34" s="17">
        <v>0</v>
      </c>
      <c r="CG34" s="15">
        <v>0</v>
      </c>
      <c r="CH34" s="15">
        <v>0</v>
      </c>
      <c r="CI34" s="17">
        <v>0</v>
      </c>
      <c r="CJ34" s="15">
        <v>0</v>
      </c>
      <c r="CK34" s="15">
        <v>0</v>
      </c>
      <c r="CL34" s="17">
        <v>0</v>
      </c>
      <c r="CM34" s="15">
        <v>0</v>
      </c>
      <c r="CN34" s="15">
        <v>0</v>
      </c>
      <c r="CO34" s="17">
        <v>0</v>
      </c>
      <c r="CP34" s="15">
        <v>0</v>
      </c>
      <c r="CQ34" s="15">
        <v>0</v>
      </c>
      <c r="CR34" s="17">
        <v>0</v>
      </c>
      <c r="CS34" s="15">
        <v>0</v>
      </c>
      <c r="CT34" s="15">
        <v>0</v>
      </c>
      <c r="CU34" s="17">
        <v>0</v>
      </c>
      <c r="CV34" s="15">
        <v>0</v>
      </c>
      <c r="CW34" s="15">
        <v>0</v>
      </c>
      <c r="CX34" s="17">
        <v>0</v>
      </c>
      <c r="CY34" s="15">
        <v>0</v>
      </c>
      <c r="CZ34" s="15">
        <v>0</v>
      </c>
      <c r="DA34" s="17">
        <v>0</v>
      </c>
      <c r="DB34" s="15">
        <v>0</v>
      </c>
      <c r="DC34" s="15">
        <v>0</v>
      </c>
      <c r="DD34" s="17">
        <v>0</v>
      </c>
      <c r="DE34" s="15">
        <v>0</v>
      </c>
      <c r="DF34" s="15">
        <v>0</v>
      </c>
      <c r="DG34" s="17">
        <v>0</v>
      </c>
      <c r="DH34" s="15">
        <v>0</v>
      </c>
      <c r="DI34" s="15">
        <v>0</v>
      </c>
      <c r="DJ34" s="17">
        <v>0</v>
      </c>
      <c r="DK34" s="15">
        <v>0</v>
      </c>
      <c r="DL34" s="15">
        <v>0</v>
      </c>
      <c r="DM34" s="17">
        <v>0</v>
      </c>
      <c r="DN34" s="15">
        <v>0</v>
      </c>
      <c r="DO34" s="15">
        <v>0</v>
      </c>
      <c r="DP34" s="17">
        <v>0</v>
      </c>
      <c r="DQ34" s="15">
        <v>0</v>
      </c>
      <c r="DR34" s="15">
        <v>0</v>
      </c>
      <c r="DS34" s="17">
        <v>0</v>
      </c>
      <c r="DT34" s="15">
        <v>0</v>
      </c>
      <c r="DU34" s="15">
        <v>0</v>
      </c>
      <c r="DV34" s="17">
        <v>0</v>
      </c>
      <c r="DW34" s="87">
        <v>2</v>
      </c>
      <c r="DX34" s="15">
        <v>0</v>
      </c>
      <c r="DY34" s="17">
        <v>0</v>
      </c>
      <c r="DZ34" s="15">
        <v>0</v>
      </c>
      <c r="EA34" s="15">
        <v>0</v>
      </c>
      <c r="EB34" s="17">
        <v>0</v>
      </c>
      <c r="EC34" s="87">
        <v>2</v>
      </c>
      <c r="ED34" s="15">
        <v>0</v>
      </c>
      <c r="EE34" s="17">
        <v>0</v>
      </c>
      <c r="EF34" s="15">
        <v>0</v>
      </c>
      <c r="EG34" s="15">
        <v>0</v>
      </c>
      <c r="EH34" s="17">
        <v>0</v>
      </c>
      <c r="EI34" s="15">
        <v>0</v>
      </c>
      <c r="EJ34" s="15">
        <v>0</v>
      </c>
      <c r="EK34" s="17">
        <v>0</v>
      </c>
      <c r="EL34" s="15">
        <v>0</v>
      </c>
      <c r="EM34" s="15">
        <v>0</v>
      </c>
      <c r="EN34" s="17">
        <v>0</v>
      </c>
      <c r="EO34" s="15">
        <v>0</v>
      </c>
      <c r="EP34" s="15">
        <v>0</v>
      </c>
      <c r="EQ34" s="17">
        <v>0</v>
      </c>
      <c r="ER34" s="87">
        <v>1</v>
      </c>
      <c r="ES34" s="15">
        <v>0</v>
      </c>
      <c r="ET34" s="17">
        <v>0</v>
      </c>
      <c r="EU34" s="15">
        <v>0</v>
      </c>
      <c r="EV34" s="15">
        <v>0</v>
      </c>
      <c r="EW34" s="17">
        <v>0</v>
      </c>
      <c r="EX34" s="15">
        <v>0</v>
      </c>
      <c r="EY34" s="15">
        <v>0</v>
      </c>
      <c r="EZ34" s="17">
        <v>0</v>
      </c>
      <c r="FA34" s="15">
        <v>0</v>
      </c>
      <c r="FB34" s="15">
        <v>0</v>
      </c>
      <c r="FC34" s="17">
        <v>0</v>
      </c>
      <c r="FD34" s="55" t="s">
        <v>222</v>
      </c>
      <c r="FE34" s="77" t="s">
        <v>223</v>
      </c>
    </row>
    <row r="35" spans="1:161" ht="12.75">
      <c r="A35" s="40">
        <v>43866</v>
      </c>
      <c r="B35" s="84">
        <f t="shared" ref="B35:D35" si="60">SUM(J35,P35,S35,V35,Y35,AB35,AK35,AN35,AQ35,AT35,AW35,AZ35,BC35,BF35,BL35,BO35,BR35,BU35,BX35,CG35,CJ35,CM35,CP35,CS35,CV35,DH35,CY35,DB35,DK35,DN35,DQ35,DT35,DW35,DZ35,EC35,EF35,EI35,EL35,EO35,ER35,EU35,EX35,FA35,)</f>
        <v>28</v>
      </c>
      <c r="C35" s="44">
        <f t="shared" si="60"/>
        <v>0</v>
      </c>
      <c r="D35" s="44">
        <f t="shared" si="60"/>
        <v>0</v>
      </c>
      <c r="E35" s="85">
        <f t="shared" si="1"/>
        <v>28</v>
      </c>
      <c r="F35" s="86">
        <f t="shared" ref="F35:H35" si="61">SUM(P35,S35,V35,AE35,AH35,AK35,AN35,AQ35,AT35,AW35,AZ35,BF35,BL35,BR35,BX35,CG35,CM35,CP35,CV35,DK35,DN35,DQ35,DT35,DZ35,EL35,EO35,ER35)</f>
        <v>24</v>
      </c>
      <c r="G35" s="41">
        <f t="shared" si="61"/>
        <v>0</v>
      </c>
      <c r="H35" s="41">
        <f t="shared" si="61"/>
        <v>0</v>
      </c>
      <c r="I35" s="85">
        <f t="shared" si="3"/>
        <v>24</v>
      </c>
      <c r="J35" s="15">
        <v>0</v>
      </c>
      <c r="K35" s="15">
        <v>0</v>
      </c>
      <c r="L35" s="17">
        <v>0</v>
      </c>
      <c r="M35" s="15">
        <v>0</v>
      </c>
      <c r="N35" s="15">
        <v>0</v>
      </c>
      <c r="O35" s="17">
        <v>0</v>
      </c>
      <c r="P35" s="87">
        <v>12</v>
      </c>
      <c r="Q35" s="15">
        <v>0</v>
      </c>
      <c r="R35" s="17">
        <v>0</v>
      </c>
      <c r="S35" s="15">
        <v>0</v>
      </c>
      <c r="T35" s="15">
        <v>0</v>
      </c>
      <c r="U35" s="17">
        <v>0</v>
      </c>
      <c r="V35" s="87">
        <v>1</v>
      </c>
      <c r="W35" s="15">
        <v>0</v>
      </c>
      <c r="X35" s="17">
        <v>0</v>
      </c>
      <c r="Y35" s="15">
        <v>0</v>
      </c>
      <c r="Z35" s="15">
        <v>0</v>
      </c>
      <c r="AA35" s="17">
        <v>0</v>
      </c>
      <c r="AB35" s="15">
        <v>0</v>
      </c>
      <c r="AC35" s="15">
        <v>0</v>
      </c>
      <c r="AD35" s="17">
        <v>0</v>
      </c>
      <c r="AE35" s="15">
        <v>0</v>
      </c>
      <c r="AF35" s="15">
        <v>0</v>
      </c>
      <c r="AG35" s="17">
        <v>0</v>
      </c>
      <c r="AH35" s="15">
        <v>0</v>
      </c>
      <c r="AI35" s="15">
        <v>0</v>
      </c>
      <c r="AJ35" s="17">
        <v>0</v>
      </c>
      <c r="AK35" s="15">
        <v>0</v>
      </c>
      <c r="AL35" s="15">
        <v>0</v>
      </c>
      <c r="AM35" s="17">
        <v>0</v>
      </c>
      <c r="AN35" s="15">
        <v>0</v>
      </c>
      <c r="AO35" s="15">
        <v>0</v>
      </c>
      <c r="AP35" s="17">
        <v>0</v>
      </c>
      <c r="AQ35" s="87">
        <v>1</v>
      </c>
      <c r="AR35" s="15">
        <v>0</v>
      </c>
      <c r="AS35" s="17">
        <v>0</v>
      </c>
      <c r="AT35" s="15">
        <v>0</v>
      </c>
      <c r="AU35" s="15">
        <v>0</v>
      </c>
      <c r="AV35" s="17">
        <v>0</v>
      </c>
      <c r="AW35" s="87">
        <v>1</v>
      </c>
      <c r="AX35" s="15">
        <v>0</v>
      </c>
      <c r="AY35" s="17">
        <v>0</v>
      </c>
      <c r="AZ35" s="87">
        <v>6</v>
      </c>
      <c r="BA35" s="53">
        <v>0</v>
      </c>
      <c r="BB35" s="17">
        <v>0</v>
      </c>
      <c r="BC35" s="15">
        <v>0</v>
      </c>
      <c r="BD35" s="15">
        <v>0</v>
      </c>
      <c r="BE35" s="17">
        <v>0</v>
      </c>
      <c r="BF35" s="15">
        <v>0</v>
      </c>
      <c r="BG35" s="15">
        <v>0</v>
      </c>
      <c r="BH35" s="17">
        <v>0</v>
      </c>
      <c r="BI35" s="15">
        <v>0</v>
      </c>
      <c r="BJ35" s="15">
        <v>0</v>
      </c>
      <c r="BK35" s="17">
        <v>0</v>
      </c>
      <c r="BL35" s="15">
        <v>0</v>
      </c>
      <c r="BM35" s="15">
        <v>0</v>
      </c>
      <c r="BN35" s="17">
        <v>0</v>
      </c>
      <c r="BO35" s="15">
        <v>0</v>
      </c>
      <c r="BP35" s="15">
        <v>0</v>
      </c>
      <c r="BQ35" s="17">
        <v>0</v>
      </c>
      <c r="BR35" s="15">
        <v>0</v>
      </c>
      <c r="BS35" s="15">
        <v>0</v>
      </c>
      <c r="BT35" s="17">
        <v>0</v>
      </c>
      <c r="BU35" s="15">
        <v>0</v>
      </c>
      <c r="BV35" s="15">
        <v>0</v>
      </c>
      <c r="BW35" s="17">
        <v>0</v>
      </c>
      <c r="BX35" s="87">
        <v>2</v>
      </c>
      <c r="BY35" s="53">
        <v>0</v>
      </c>
      <c r="BZ35" s="17">
        <v>0</v>
      </c>
      <c r="CA35" s="15">
        <v>0</v>
      </c>
      <c r="CB35" s="15">
        <v>0</v>
      </c>
      <c r="CC35" s="17">
        <v>0</v>
      </c>
      <c r="CD35" s="15">
        <v>0</v>
      </c>
      <c r="CE35" s="15">
        <v>0</v>
      </c>
      <c r="CF35" s="17">
        <v>0</v>
      </c>
      <c r="CG35" s="15">
        <v>0</v>
      </c>
      <c r="CH35" s="15">
        <v>0</v>
      </c>
      <c r="CI35" s="17">
        <v>0</v>
      </c>
      <c r="CJ35" s="15">
        <v>0</v>
      </c>
      <c r="CK35" s="15">
        <v>0</v>
      </c>
      <c r="CL35" s="17">
        <v>0</v>
      </c>
      <c r="CM35" s="15">
        <v>0</v>
      </c>
      <c r="CN35" s="15">
        <v>0</v>
      </c>
      <c r="CO35" s="17">
        <v>0</v>
      </c>
      <c r="CP35" s="15">
        <v>0</v>
      </c>
      <c r="CQ35" s="15">
        <v>0</v>
      </c>
      <c r="CR35" s="17">
        <v>0</v>
      </c>
      <c r="CS35" s="15">
        <v>0</v>
      </c>
      <c r="CT35" s="15">
        <v>0</v>
      </c>
      <c r="CU35" s="17">
        <v>0</v>
      </c>
      <c r="CV35" s="15">
        <v>0</v>
      </c>
      <c r="CW35" s="15">
        <v>0</v>
      </c>
      <c r="CX35" s="17">
        <v>0</v>
      </c>
      <c r="CY35" s="15">
        <v>0</v>
      </c>
      <c r="CZ35" s="15">
        <v>0</v>
      </c>
      <c r="DA35" s="17">
        <v>0</v>
      </c>
      <c r="DB35" s="15">
        <v>0</v>
      </c>
      <c r="DC35" s="15">
        <v>0</v>
      </c>
      <c r="DD35" s="17">
        <v>0</v>
      </c>
      <c r="DE35" s="15">
        <v>0</v>
      </c>
      <c r="DF35" s="15">
        <v>0</v>
      </c>
      <c r="DG35" s="17">
        <v>0</v>
      </c>
      <c r="DH35" s="15">
        <v>0</v>
      </c>
      <c r="DI35" s="15">
        <v>0</v>
      </c>
      <c r="DJ35" s="17">
        <v>0</v>
      </c>
      <c r="DK35" s="15">
        <v>0</v>
      </c>
      <c r="DL35" s="15">
        <v>0</v>
      </c>
      <c r="DM35" s="17">
        <v>0</v>
      </c>
      <c r="DN35" s="15">
        <v>0</v>
      </c>
      <c r="DO35" s="15">
        <v>0</v>
      </c>
      <c r="DP35" s="17">
        <v>0</v>
      </c>
      <c r="DQ35" s="15">
        <v>0</v>
      </c>
      <c r="DR35" s="15">
        <v>0</v>
      </c>
      <c r="DS35" s="17">
        <v>0</v>
      </c>
      <c r="DT35" s="15">
        <v>0</v>
      </c>
      <c r="DU35" s="15">
        <v>0</v>
      </c>
      <c r="DV35" s="17">
        <v>0</v>
      </c>
      <c r="DW35" s="87">
        <v>2</v>
      </c>
      <c r="DX35" s="15">
        <v>0</v>
      </c>
      <c r="DY35" s="17">
        <v>0</v>
      </c>
      <c r="DZ35" s="15">
        <v>0</v>
      </c>
      <c r="EA35" s="15">
        <v>0</v>
      </c>
      <c r="EB35" s="17">
        <v>0</v>
      </c>
      <c r="EC35" s="87">
        <v>2</v>
      </c>
      <c r="ED35" s="15">
        <v>0</v>
      </c>
      <c r="EE35" s="17">
        <v>0</v>
      </c>
      <c r="EF35" s="15">
        <v>0</v>
      </c>
      <c r="EG35" s="15">
        <v>0</v>
      </c>
      <c r="EH35" s="17">
        <v>0</v>
      </c>
      <c r="EI35" s="15">
        <v>0</v>
      </c>
      <c r="EJ35" s="15">
        <v>0</v>
      </c>
      <c r="EK35" s="17">
        <v>0</v>
      </c>
      <c r="EL35" s="15">
        <v>0</v>
      </c>
      <c r="EM35" s="15">
        <v>0</v>
      </c>
      <c r="EN35" s="17">
        <v>0</v>
      </c>
      <c r="EO35" s="15">
        <v>0</v>
      </c>
      <c r="EP35" s="15">
        <v>0</v>
      </c>
      <c r="EQ35" s="17">
        <v>0</v>
      </c>
      <c r="ER35" s="87">
        <v>1</v>
      </c>
      <c r="ES35" s="15">
        <v>0</v>
      </c>
      <c r="ET35" s="17">
        <v>0</v>
      </c>
      <c r="EU35" s="15">
        <v>0</v>
      </c>
      <c r="EV35" s="15">
        <v>0</v>
      </c>
      <c r="EW35" s="17">
        <v>0</v>
      </c>
      <c r="EX35" s="15">
        <v>0</v>
      </c>
      <c r="EY35" s="15">
        <v>0</v>
      </c>
      <c r="EZ35" s="17">
        <v>0</v>
      </c>
      <c r="FA35" s="15">
        <v>0</v>
      </c>
      <c r="FB35" s="15">
        <v>0</v>
      </c>
      <c r="FC35" s="17">
        <v>0</v>
      </c>
      <c r="FD35" s="55"/>
      <c r="FE35" s="56"/>
    </row>
    <row r="36" spans="1:161" ht="12.75">
      <c r="A36" s="40">
        <v>43867</v>
      </c>
      <c r="B36" s="84">
        <f t="shared" ref="B36:D36" si="62">SUM(J36,P36,S36,V36,Y36,AB36,AK36,AN36,AQ36,AT36,AW36,AZ36,BC36,BF36,BL36,BO36,BR36,BU36,BX36,CG36,CJ36,CM36,CP36,CS36,CV36,DH36,CY36,DB36,DK36,DN36,DQ36,DT36,DW36,DZ36,EC36,EF36,EI36,EL36,EO36,ER36,EU36,EX36,FA36,)</f>
        <v>31</v>
      </c>
      <c r="C36" s="44">
        <f t="shared" si="62"/>
        <v>0</v>
      </c>
      <c r="D36" s="44">
        <f t="shared" si="62"/>
        <v>0</v>
      </c>
      <c r="E36" s="85">
        <f t="shared" si="1"/>
        <v>31</v>
      </c>
      <c r="F36" s="86">
        <f t="shared" ref="F36:H36" si="63">SUM(P36,S36,V36,AE36,AH36,AK36,AN36,AQ36,AT36,AW36,AZ36,BF36,BL36,BR36,BX36,CG36,CM36,CP36,CV36,DK36,DN36,DQ36,DT36,DZ36,EL36,EO36,ER36)</f>
        <v>26</v>
      </c>
      <c r="G36" s="41">
        <f t="shared" si="63"/>
        <v>0</v>
      </c>
      <c r="H36" s="41">
        <f t="shared" si="63"/>
        <v>0</v>
      </c>
      <c r="I36" s="85">
        <f t="shared" si="3"/>
        <v>26</v>
      </c>
      <c r="J36" s="15">
        <v>0</v>
      </c>
      <c r="K36" s="15">
        <v>0</v>
      </c>
      <c r="L36" s="17">
        <v>0</v>
      </c>
      <c r="M36" s="15">
        <v>0</v>
      </c>
      <c r="N36" s="15">
        <v>0</v>
      </c>
      <c r="O36" s="17">
        <v>0</v>
      </c>
      <c r="P36" s="87">
        <v>13</v>
      </c>
      <c r="Q36" s="15">
        <v>0</v>
      </c>
      <c r="R36" s="17">
        <v>0</v>
      </c>
      <c r="S36" s="15">
        <v>0</v>
      </c>
      <c r="T36" s="15">
        <v>0</v>
      </c>
      <c r="U36" s="17">
        <v>0</v>
      </c>
      <c r="V36" s="87">
        <v>1</v>
      </c>
      <c r="W36" s="15">
        <v>0</v>
      </c>
      <c r="X36" s="17">
        <v>0</v>
      </c>
      <c r="Y36" s="15">
        <v>0</v>
      </c>
      <c r="Z36" s="15">
        <v>0</v>
      </c>
      <c r="AA36" s="17">
        <v>0</v>
      </c>
      <c r="AB36" s="15">
        <v>0</v>
      </c>
      <c r="AC36" s="15">
        <v>0</v>
      </c>
      <c r="AD36" s="17">
        <v>0</v>
      </c>
      <c r="AE36" s="15">
        <v>0</v>
      </c>
      <c r="AF36" s="15">
        <v>0</v>
      </c>
      <c r="AG36" s="17">
        <v>0</v>
      </c>
      <c r="AH36" s="15">
        <v>0</v>
      </c>
      <c r="AI36" s="15">
        <v>0</v>
      </c>
      <c r="AJ36" s="17">
        <v>0</v>
      </c>
      <c r="AK36" s="15">
        <v>0</v>
      </c>
      <c r="AL36" s="15">
        <v>0</v>
      </c>
      <c r="AM36" s="17">
        <v>0</v>
      </c>
      <c r="AN36" s="15">
        <v>0</v>
      </c>
      <c r="AO36" s="15">
        <v>0</v>
      </c>
      <c r="AP36" s="17">
        <v>0</v>
      </c>
      <c r="AQ36" s="87">
        <v>1</v>
      </c>
      <c r="AR36" s="15">
        <v>0</v>
      </c>
      <c r="AS36" s="17">
        <v>0</v>
      </c>
      <c r="AT36" s="15">
        <v>0</v>
      </c>
      <c r="AU36" s="15">
        <v>0</v>
      </c>
      <c r="AV36" s="17">
        <v>0</v>
      </c>
      <c r="AW36" s="87">
        <v>1</v>
      </c>
      <c r="AX36" s="15">
        <v>0</v>
      </c>
      <c r="AY36" s="17">
        <v>0</v>
      </c>
      <c r="AZ36" s="87">
        <v>6</v>
      </c>
      <c r="BA36" s="53">
        <v>0</v>
      </c>
      <c r="BB36" s="17">
        <v>0</v>
      </c>
      <c r="BC36" s="15">
        <v>0</v>
      </c>
      <c r="BD36" s="15">
        <v>0</v>
      </c>
      <c r="BE36" s="17">
        <v>0</v>
      </c>
      <c r="BF36" s="15">
        <v>0</v>
      </c>
      <c r="BG36" s="15">
        <v>0</v>
      </c>
      <c r="BH36" s="17">
        <v>0</v>
      </c>
      <c r="BI36" s="15">
        <v>0</v>
      </c>
      <c r="BJ36" s="15">
        <v>0</v>
      </c>
      <c r="BK36" s="17">
        <v>0</v>
      </c>
      <c r="BL36" s="15">
        <v>0</v>
      </c>
      <c r="BM36" s="15">
        <v>0</v>
      </c>
      <c r="BN36" s="17">
        <v>0</v>
      </c>
      <c r="BO36" s="15">
        <v>0</v>
      </c>
      <c r="BP36" s="15">
        <v>0</v>
      </c>
      <c r="BQ36" s="17">
        <v>0</v>
      </c>
      <c r="BR36" s="15">
        <v>0</v>
      </c>
      <c r="BS36" s="15">
        <v>0</v>
      </c>
      <c r="BT36" s="17">
        <v>0</v>
      </c>
      <c r="BU36" s="15">
        <v>0</v>
      </c>
      <c r="BV36" s="15">
        <v>0</v>
      </c>
      <c r="BW36" s="17">
        <v>0</v>
      </c>
      <c r="BX36" s="87">
        <v>3</v>
      </c>
      <c r="BY36" s="53">
        <v>0</v>
      </c>
      <c r="BZ36" s="17">
        <v>0</v>
      </c>
      <c r="CA36" s="15">
        <v>0</v>
      </c>
      <c r="CB36" s="15">
        <v>0</v>
      </c>
      <c r="CC36" s="17">
        <v>0</v>
      </c>
      <c r="CD36" s="15">
        <v>0</v>
      </c>
      <c r="CE36" s="15">
        <v>0</v>
      </c>
      <c r="CF36" s="17">
        <v>0</v>
      </c>
      <c r="CG36" s="15">
        <v>0</v>
      </c>
      <c r="CH36" s="15">
        <v>0</v>
      </c>
      <c r="CI36" s="17">
        <v>0</v>
      </c>
      <c r="CJ36" s="15">
        <v>0</v>
      </c>
      <c r="CK36" s="15">
        <v>0</v>
      </c>
      <c r="CL36" s="17">
        <v>0</v>
      </c>
      <c r="CM36" s="15">
        <v>0</v>
      </c>
      <c r="CN36" s="15">
        <v>0</v>
      </c>
      <c r="CO36" s="17">
        <v>0</v>
      </c>
      <c r="CP36" s="15">
        <v>0</v>
      </c>
      <c r="CQ36" s="15">
        <v>0</v>
      </c>
      <c r="CR36" s="17">
        <v>0</v>
      </c>
      <c r="CS36" s="15">
        <v>0</v>
      </c>
      <c r="CT36" s="15">
        <v>0</v>
      </c>
      <c r="CU36" s="17">
        <v>0</v>
      </c>
      <c r="CV36" s="15">
        <v>0</v>
      </c>
      <c r="CW36" s="15">
        <v>0</v>
      </c>
      <c r="CX36" s="17">
        <v>0</v>
      </c>
      <c r="CY36" s="15">
        <v>0</v>
      </c>
      <c r="CZ36" s="15">
        <v>0</v>
      </c>
      <c r="DA36" s="17">
        <v>0</v>
      </c>
      <c r="DB36" s="15">
        <v>0</v>
      </c>
      <c r="DC36" s="15">
        <v>0</v>
      </c>
      <c r="DD36" s="17">
        <v>0</v>
      </c>
      <c r="DE36" s="15">
        <v>0</v>
      </c>
      <c r="DF36" s="15">
        <v>0</v>
      </c>
      <c r="DG36" s="17">
        <v>0</v>
      </c>
      <c r="DH36" s="15">
        <v>0</v>
      </c>
      <c r="DI36" s="15">
        <v>0</v>
      </c>
      <c r="DJ36" s="17">
        <v>0</v>
      </c>
      <c r="DK36" s="15">
        <v>0</v>
      </c>
      <c r="DL36" s="15">
        <v>0</v>
      </c>
      <c r="DM36" s="17">
        <v>0</v>
      </c>
      <c r="DN36" s="15">
        <v>0</v>
      </c>
      <c r="DO36" s="15">
        <v>0</v>
      </c>
      <c r="DP36" s="17">
        <v>0</v>
      </c>
      <c r="DQ36" s="15">
        <v>0</v>
      </c>
      <c r="DR36" s="15">
        <v>0</v>
      </c>
      <c r="DS36" s="17">
        <v>0</v>
      </c>
      <c r="DT36" s="15">
        <v>0</v>
      </c>
      <c r="DU36" s="15">
        <v>0</v>
      </c>
      <c r="DV36" s="17">
        <v>0</v>
      </c>
      <c r="DW36" s="87">
        <v>3</v>
      </c>
      <c r="DX36" s="15">
        <v>0</v>
      </c>
      <c r="DY36" s="17">
        <v>0</v>
      </c>
      <c r="DZ36" s="15">
        <v>0</v>
      </c>
      <c r="EA36" s="15">
        <v>0</v>
      </c>
      <c r="EB36" s="17">
        <v>0</v>
      </c>
      <c r="EC36" s="87">
        <v>2</v>
      </c>
      <c r="ED36" s="15">
        <v>0</v>
      </c>
      <c r="EE36" s="17">
        <v>0</v>
      </c>
      <c r="EF36" s="15">
        <v>0</v>
      </c>
      <c r="EG36" s="15">
        <v>0</v>
      </c>
      <c r="EH36" s="17">
        <v>0</v>
      </c>
      <c r="EI36" s="15">
        <v>0</v>
      </c>
      <c r="EJ36" s="15">
        <v>0</v>
      </c>
      <c r="EK36" s="17">
        <v>0</v>
      </c>
      <c r="EL36" s="15">
        <v>0</v>
      </c>
      <c r="EM36" s="15">
        <v>0</v>
      </c>
      <c r="EN36" s="17">
        <v>0</v>
      </c>
      <c r="EO36" s="15">
        <v>0</v>
      </c>
      <c r="EP36" s="15">
        <v>0</v>
      </c>
      <c r="EQ36" s="17">
        <v>0</v>
      </c>
      <c r="ER36" s="87">
        <v>1</v>
      </c>
      <c r="ES36" s="15">
        <v>0</v>
      </c>
      <c r="ET36" s="17">
        <v>0</v>
      </c>
      <c r="EU36" s="15">
        <v>0</v>
      </c>
      <c r="EV36" s="15">
        <v>0</v>
      </c>
      <c r="EW36" s="17">
        <v>0</v>
      </c>
      <c r="EX36" s="15">
        <v>0</v>
      </c>
      <c r="EY36" s="15">
        <v>0</v>
      </c>
      <c r="EZ36" s="17">
        <v>0</v>
      </c>
      <c r="FA36" s="15">
        <v>0</v>
      </c>
      <c r="FB36" s="15">
        <v>0</v>
      </c>
      <c r="FC36" s="17">
        <v>0</v>
      </c>
      <c r="FD36" s="55"/>
      <c r="FE36" s="77" t="s">
        <v>227</v>
      </c>
    </row>
    <row r="37" spans="1:161" ht="12.75">
      <c r="A37" s="40">
        <v>43868</v>
      </c>
      <c r="B37" s="84">
        <f t="shared" ref="B37:D37" si="64">SUM(J37,P37,S37,V37,Y37,AB37,AK37,AN37,AQ37,AT37,AW37,AZ37,BC37,BF37,BL37,BO37,BR37,BU37,BX37,CG37,CJ37,CM37,CP37,CS37,CV37,DH37,CY37,DB37,DK37,DN37,DQ37,DT37,DW37,DZ37,EC37,EF37,EI37,EL37,EO37,ER37,EU37,EX37,FA37,)</f>
        <v>32</v>
      </c>
      <c r="C37" s="44">
        <f t="shared" si="64"/>
        <v>0</v>
      </c>
      <c r="D37" s="44">
        <f t="shared" si="64"/>
        <v>0</v>
      </c>
      <c r="E37" s="85">
        <f t="shared" si="1"/>
        <v>32</v>
      </c>
      <c r="F37" s="86">
        <f t="shared" ref="F37:H37" si="65">SUM(P37,S37,V37,AE37,AH37,AK37,AN37,AQ37,AT37,AW37,AZ37,BF37,BL37,BR37,BX37,CG37,CM37,CP37,CV37,DK37,DN37,DQ37,DT37,DZ37,EL37,EO37,ER37)</f>
        <v>27</v>
      </c>
      <c r="G37" s="41">
        <f t="shared" si="65"/>
        <v>0</v>
      </c>
      <c r="H37" s="41">
        <f t="shared" si="65"/>
        <v>0</v>
      </c>
      <c r="I37" s="85">
        <f t="shared" si="3"/>
        <v>27</v>
      </c>
      <c r="J37" s="15">
        <v>0</v>
      </c>
      <c r="K37" s="15">
        <v>0</v>
      </c>
      <c r="L37" s="17">
        <v>0</v>
      </c>
      <c r="M37" s="15">
        <v>0</v>
      </c>
      <c r="N37" s="15">
        <v>0</v>
      </c>
      <c r="O37" s="17">
        <v>0</v>
      </c>
      <c r="P37" s="87">
        <v>14</v>
      </c>
      <c r="Q37" s="15">
        <v>0</v>
      </c>
      <c r="R37" s="17">
        <v>0</v>
      </c>
      <c r="S37" s="15">
        <v>0</v>
      </c>
      <c r="T37" s="15">
        <v>0</v>
      </c>
      <c r="U37" s="17">
        <v>0</v>
      </c>
      <c r="V37" s="87">
        <v>1</v>
      </c>
      <c r="W37" s="15">
        <v>0</v>
      </c>
      <c r="X37" s="17">
        <v>0</v>
      </c>
      <c r="Y37" s="15">
        <v>0</v>
      </c>
      <c r="Z37" s="15">
        <v>0</v>
      </c>
      <c r="AA37" s="17">
        <v>0</v>
      </c>
      <c r="AB37" s="15">
        <v>0</v>
      </c>
      <c r="AC37" s="15">
        <v>0</v>
      </c>
      <c r="AD37" s="17">
        <v>0</v>
      </c>
      <c r="AE37" s="15">
        <v>0</v>
      </c>
      <c r="AF37" s="15">
        <v>0</v>
      </c>
      <c r="AG37" s="17">
        <v>0</v>
      </c>
      <c r="AH37" s="15">
        <v>0</v>
      </c>
      <c r="AI37" s="15">
        <v>0</v>
      </c>
      <c r="AJ37" s="17">
        <v>0</v>
      </c>
      <c r="AK37" s="15">
        <v>0</v>
      </c>
      <c r="AL37" s="15">
        <v>0</v>
      </c>
      <c r="AM37" s="17">
        <v>0</v>
      </c>
      <c r="AN37" s="15">
        <v>0</v>
      </c>
      <c r="AO37" s="15">
        <v>0</v>
      </c>
      <c r="AP37" s="17">
        <v>0</v>
      </c>
      <c r="AQ37" s="87">
        <v>1</v>
      </c>
      <c r="AR37" s="15">
        <v>0</v>
      </c>
      <c r="AS37" s="17">
        <v>0</v>
      </c>
      <c r="AT37" s="15">
        <v>0</v>
      </c>
      <c r="AU37" s="15">
        <v>0</v>
      </c>
      <c r="AV37" s="17">
        <v>0</v>
      </c>
      <c r="AW37" s="87">
        <v>1</v>
      </c>
      <c r="AX37" s="15">
        <v>0</v>
      </c>
      <c r="AY37" s="17">
        <v>0</v>
      </c>
      <c r="AZ37" s="87">
        <v>6</v>
      </c>
      <c r="BA37" s="53">
        <v>0</v>
      </c>
      <c r="BB37" s="17">
        <v>0</v>
      </c>
      <c r="BC37" s="15">
        <v>0</v>
      </c>
      <c r="BD37" s="15">
        <v>0</v>
      </c>
      <c r="BE37" s="17">
        <v>0</v>
      </c>
      <c r="BF37" s="15">
        <v>0</v>
      </c>
      <c r="BG37" s="15">
        <v>0</v>
      </c>
      <c r="BH37" s="17">
        <v>0</v>
      </c>
      <c r="BI37" s="15">
        <v>0</v>
      </c>
      <c r="BJ37" s="15">
        <v>0</v>
      </c>
      <c r="BK37" s="17">
        <v>0</v>
      </c>
      <c r="BL37" s="15">
        <v>0</v>
      </c>
      <c r="BM37" s="15">
        <v>0</v>
      </c>
      <c r="BN37" s="17">
        <v>0</v>
      </c>
      <c r="BO37" s="15">
        <v>0</v>
      </c>
      <c r="BP37" s="15">
        <v>0</v>
      </c>
      <c r="BQ37" s="17">
        <v>0</v>
      </c>
      <c r="BR37" s="15">
        <v>0</v>
      </c>
      <c r="BS37" s="15">
        <v>0</v>
      </c>
      <c r="BT37" s="17">
        <v>0</v>
      </c>
      <c r="BU37" s="15">
        <v>0</v>
      </c>
      <c r="BV37" s="15">
        <v>0</v>
      </c>
      <c r="BW37" s="17">
        <v>0</v>
      </c>
      <c r="BX37" s="87">
        <v>3</v>
      </c>
      <c r="BY37" s="53">
        <v>0</v>
      </c>
      <c r="BZ37" s="17">
        <v>0</v>
      </c>
      <c r="CA37" s="15">
        <v>0</v>
      </c>
      <c r="CB37" s="15">
        <v>0</v>
      </c>
      <c r="CC37" s="17">
        <v>0</v>
      </c>
      <c r="CD37" s="15">
        <v>0</v>
      </c>
      <c r="CE37" s="15">
        <v>0</v>
      </c>
      <c r="CF37" s="17">
        <v>0</v>
      </c>
      <c r="CG37" s="15">
        <v>0</v>
      </c>
      <c r="CH37" s="15">
        <v>0</v>
      </c>
      <c r="CI37" s="17">
        <v>0</v>
      </c>
      <c r="CJ37" s="15">
        <v>0</v>
      </c>
      <c r="CK37" s="15">
        <v>0</v>
      </c>
      <c r="CL37" s="17">
        <v>0</v>
      </c>
      <c r="CM37" s="15">
        <v>0</v>
      </c>
      <c r="CN37" s="15">
        <v>0</v>
      </c>
      <c r="CO37" s="17">
        <v>0</v>
      </c>
      <c r="CP37" s="15">
        <v>0</v>
      </c>
      <c r="CQ37" s="15">
        <v>0</v>
      </c>
      <c r="CR37" s="17">
        <v>0</v>
      </c>
      <c r="CS37" s="15">
        <v>0</v>
      </c>
      <c r="CT37" s="15">
        <v>0</v>
      </c>
      <c r="CU37" s="17">
        <v>0</v>
      </c>
      <c r="CV37" s="15">
        <v>0</v>
      </c>
      <c r="CW37" s="15">
        <v>0</v>
      </c>
      <c r="CX37" s="17">
        <v>0</v>
      </c>
      <c r="CY37" s="15">
        <v>0</v>
      </c>
      <c r="CZ37" s="15">
        <v>0</v>
      </c>
      <c r="DA37" s="17">
        <v>0</v>
      </c>
      <c r="DB37" s="15">
        <v>0</v>
      </c>
      <c r="DC37" s="15">
        <v>0</v>
      </c>
      <c r="DD37" s="17">
        <v>0</v>
      </c>
      <c r="DE37" s="15">
        <v>0</v>
      </c>
      <c r="DF37" s="15">
        <v>0</v>
      </c>
      <c r="DG37" s="17">
        <v>0</v>
      </c>
      <c r="DH37" s="15">
        <v>0</v>
      </c>
      <c r="DI37" s="15">
        <v>0</v>
      </c>
      <c r="DJ37" s="17">
        <v>0</v>
      </c>
      <c r="DK37" s="15">
        <v>0</v>
      </c>
      <c r="DL37" s="15">
        <v>0</v>
      </c>
      <c r="DM37" s="17">
        <v>0</v>
      </c>
      <c r="DN37" s="15">
        <v>0</v>
      </c>
      <c r="DO37" s="15">
        <v>0</v>
      </c>
      <c r="DP37" s="17">
        <v>0</v>
      </c>
      <c r="DQ37" s="15">
        <v>0</v>
      </c>
      <c r="DR37" s="15">
        <v>0</v>
      </c>
      <c r="DS37" s="17">
        <v>0</v>
      </c>
      <c r="DT37" s="15">
        <v>0</v>
      </c>
      <c r="DU37" s="15">
        <v>0</v>
      </c>
      <c r="DV37" s="17">
        <v>0</v>
      </c>
      <c r="DW37" s="87">
        <v>3</v>
      </c>
      <c r="DX37" s="15">
        <v>0</v>
      </c>
      <c r="DY37" s="17">
        <v>0</v>
      </c>
      <c r="DZ37" s="15">
        <v>0</v>
      </c>
      <c r="EA37" s="15">
        <v>0</v>
      </c>
      <c r="EB37" s="17">
        <v>0</v>
      </c>
      <c r="EC37" s="87">
        <v>2</v>
      </c>
      <c r="ED37" s="15">
        <v>0</v>
      </c>
      <c r="EE37" s="17">
        <v>0</v>
      </c>
      <c r="EF37" s="15">
        <v>0</v>
      </c>
      <c r="EG37" s="15">
        <v>0</v>
      </c>
      <c r="EH37" s="17">
        <v>0</v>
      </c>
      <c r="EI37" s="15">
        <v>0</v>
      </c>
      <c r="EJ37" s="15">
        <v>0</v>
      </c>
      <c r="EK37" s="17">
        <v>0</v>
      </c>
      <c r="EL37" s="15">
        <v>0</v>
      </c>
      <c r="EM37" s="15">
        <v>0</v>
      </c>
      <c r="EN37" s="17">
        <v>0</v>
      </c>
      <c r="EO37" s="15">
        <v>0</v>
      </c>
      <c r="EP37" s="15">
        <v>0</v>
      </c>
      <c r="EQ37" s="17">
        <v>0</v>
      </c>
      <c r="ER37" s="87">
        <v>1</v>
      </c>
      <c r="ES37" s="15">
        <v>0</v>
      </c>
      <c r="ET37" s="17">
        <v>0</v>
      </c>
      <c r="EU37" s="15">
        <v>0</v>
      </c>
      <c r="EV37" s="15">
        <v>0</v>
      </c>
      <c r="EW37" s="17">
        <v>0</v>
      </c>
      <c r="EX37" s="15">
        <v>0</v>
      </c>
      <c r="EY37" s="15">
        <v>0</v>
      </c>
      <c r="EZ37" s="17">
        <v>0</v>
      </c>
      <c r="FA37" s="15">
        <v>0</v>
      </c>
      <c r="FB37" s="15">
        <v>0</v>
      </c>
      <c r="FC37" s="17">
        <v>0</v>
      </c>
      <c r="FD37" s="55"/>
      <c r="FE37" s="77" t="s">
        <v>232</v>
      </c>
    </row>
    <row r="38" spans="1:161" ht="12.75">
      <c r="A38" s="40">
        <v>43869</v>
      </c>
      <c r="B38" s="84">
        <f t="shared" ref="B38:D38" si="66">SUM(J38,P38,S38,V38,Y38,AB38,AK38,AN38,AQ38,AT38,AW38,AZ38,BC38,BF38,BL38,BO38,BR38,BU38,BX38,CG38,CJ38,CM38,CP38,CS38,CV38,DH38,CY38,DB38,DK38,DN38,DQ38,DT38,DW38,DZ38,EC38,EF38,EI38,EL38,EO38,ER38,EU38,EX38,FA38,)</f>
        <v>37</v>
      </c>
      <c r="C38" s="44">
        <f t="shared" si="66"/>
        <v>0</v>
      </c>
      <c r="D38" s="44">
        <f t="shared" si="66"/>
        <v>0</v>
      </c>
      <c r="E38" s="85">
        <f t="shared" si="1"/>
        <v>37</v>
      </c>
      <c r="F38" s="86">
        <f t="shared" ref="F38:H38" si="67">SUM(P38,S38,V38,AE38,AH38,AK38,AN38,AQ38,AT38,AW38,AZ38,BF38,BL38,BR38,BX38,CG38,CM38,CP38,CV38,DK38,DN38,DQ38,DT38,DZ38,EL38,EO38,ER38)</f>
        <v>32</v>
      </c>
      <c r="G38" s="41">
        <f t="shared" si="67"/>
        <v>0</v>
      </c>
      <c r="H38" s="41">
        <f t="shared" si="67"/>
        <v>0</v>
      </c>
      <c r="I38" s="85">
        <f t="shared" si="3"/>
        <v>32</v>
      </c>
      <c r="J38" s="15">
        <v>0</v>
      </c>
      <c r="K38" s="15">
        <v>0</v>
      </c>
      <c r="L38" s="17">
        <v>0</v>
      </c>
      <c r="M38" s="15">
        <v>0</v>
      </c>
      <c r="N38" s="15">
        <v>0</v>
      </c>
      <c r="O38" s="17">
        <v>0</v>
      </c>
      <c r="P38" s="87">
        <v>14</v>
      </c>
      <c r="Q38" s="15">
        <v>0</v>
      </c>
      <c r="R38" s="17">
        <v>0</v>
      </c>
      <c r="S38" s="15">
        <v>0</v>
      </c>
      <c r="T38" s="15">
        <v>0</v>
      </c>
      <c r="U38" s="17">
        <v>0</v>
      </c>
      <c r="V38" s="87">
        <v>1</v>
      </c>
      <c r="W38" s="15">
        <v>0</v>
      </c>
      <c r="X38" s="17">
        <v>0</v>
      </c>
      <c r="Y38" s="15">
        <v>0</v>
      </c>
      <c r="Z38" s="15">
        <v>0</v>
      </c>
      <c r="AA38" s="17">
        <v>0</v>
      </c>
      <c r="AB38" s="15">
        <v>0</v>
      </c>
      <c r="AC38" s="15">
        <v>0</v>
      </c>
      <c r="AD38" s="17">
        <v>0</v>
      </c>
      <c r="AE38" s="15">
        <v>0</v>
      </c>
      <c r="AF38" s="15">
        <v>0</v>
      </c>
      <c r="AG38" s="17">
        <v>0</v>
      </c>
      <c r="AH38" s="15">
        <v>0</v>
      </c>
      <c r="AI38" s="15">
        <v>0</v>
      </c>
      <c r="AJ38" s="17">
        <v>0</v>
      </c>
      <c r="AK38" s="15">
        <v>0</v>
      </c>
      <c r="AL38" s="15">
        <v>0</v>
      </c>
      <c r="AM38" s="17">
        <v>0</v>
      </c>
      <c r="AN38" s="15">
        <v>0</v>
      </c>
      <c r="AO38" s="15">
        <v>0</v>
      </c>
      <c r="AP38" s="17">
        <v>0</v>
      </c>
      <c r="AQ38" s="87">
        <v>1</v>
      </c>
      <c r="AR38" s="15">
        <v>0</v>
      </c>
      <c r="AS38" s="17">
        <v>0</v>
      </c>
      <c r="AT38" s="15">
        <v>0</v>
      </c>
      <c r="AU38" s="15">
        <v>0</v>
      </c>
      <c r="AV38" s="17">
        <v>0</v>
      </c>
      <c r="AW38" s="87">
        <v>1</v>
      </c>
      <c r="AX38" s="15">
        <v>0</v>
      </c>
      <c r="AY38" s="17">
        <v>0</v>
      </c>
      <c r="AZ38" s="87">
        <v>11</v>
      </c>
      <c r="BA38" s="53">
        <v>0</v>
      </c>
      <c r="BB38" s="17">
        <v>0</v>
      </c>
      <c r="BC38" s="15">
        <v>0</v>
      </c>
      <c r="BD38" s="15">
        <v>0</v>
      </c>
      <c r="BE38" s="17">
        <v>0</v>
      </c>
      <c r="BF38" s="15">
        <v>0</v>
      </c>
      <c r="BG38" s="15">
        <v>0</v>
      </c>
      <c r="BH38" s="17">
        <v>0</v>
      </c>
      <c r="BI38" s="15">
        <v>0</v>
      </c>
      <c r="BJ38" s="15">
        <v>0</v>
      </c>
      <c r="BK38" s="17">
        <v>0</v>
      </c>
      <c r="BL38" s="15">
        <v>0</v>
      </c>
      <c r="BM38" s="15">
        <v>0</v>
      </c>
      <c r="BN38" s="17">
        <v>0</v>
      </c>
      <c r="BO38" s="15">
        <v>0</v>
      </c>
      <c r="BP38" s="15">
        <v>0</v>
      </c>
      <c r="BQ38" s="17">
        <v>0</v>
      </c>
      <c r="BR38" s="15">
        <v>0</v>
      </c>
      <c r="BS38" s="15">
        <v>0</v>
      </c>
      <c r="BT38" s="17">
        <v>0</v>
      </c>
      <c r="BU38" s="15">
        <v>0</v>
      </c>
      <c r="BV38" s="15">
        <v>0</v>
      </c>
      <c r="BW38" s="17">
        <v>0</v>
      </c>
      <c r="BX38" s="87">
        <v>3</v>
      </c>
      <c r="BY38" s="53">
        <v>0</v>
      </c>
      <c r="BZ38" s="17">
        <v>0</v>
      </c>
      <c r="CA38" s="15">
        <v>0</v>
      </c>
      <c r="CB38" s="15">
        <v>0</v>
      </c>
      <c r="CC38" s="17">
        <v>0</v>
      </c>
      <c r="CD38" s="15">
        <v>0</v>
      </c>
      <c r="CE38" s="15">
        <v>0</v>
      </c>
      <c r="CF38" s="17">
        <v>0</v>
      </c>
      <c r="CG38" s="15">
        <v>0</v>
      </c>
      <c r="CH38" s="15">
        <v>0</v>
      </c>
      <c r="CI38" s="17">
        <v>0</v>
      </c>
      <c r="CJ38" s="15">
        <v>0</v>
      </c>
      <c r="CK38" s="15">
        <v>0</v>
      </c>
      <c r="CL38" s="17">
        <v>0</v>
      </c>
      <c r="CM38" s="15">
        <v>0</v>
      </c>
      <c r="CN38" s="15">
        <v>0</v>
      </c>
      <c r="CO38" s="17">
        <v>0</v>
      </c>
      <c r="CP38" s="15">
        <v>0</v>
      </c>
      <c r="CQ38" s="15">
        <v>0</v>
      </c>
      <c r="CR38" s="17">
        <v>0</v>
      </c>
      <c r="CS38" s="15">
        <v>0</v>
      </c>
      <c r="CT38" s="15">
        <v>0</v>
      </c>
      <c r="CU38" s="17">
        <v>0</v>
      </c>
      <c r="CV38" s="15">
        <v>0</v>
      </c>
      <c r="CW38" s="15">
        <v>0</v>
      </c>
      <c r="CX38" s="17">
        <v>0</v>
      </c>
      <c r="CY38" s="15">
        <v>0</v>
      </c>
      <c r="CZ38" s="15">
        <v>0</v>
      </c>
      <c r="DA38" s="17">
        <v>0</v>
      </c>
      <c r="DB38" s="15">
        <v>0</v>
      </c>
      <c r="DC38" s="15">
        <v>0</v>
      </c>
      <c r="DD38" s="17">
        <v>0</v>
      </c>
      <c r="DE38" s="15">
        <v>0</v>
      </c>
      <c r="DF38" s="15">
        <v>0</v>
      </c>
      <c r="DG38" s="17">
        <v>0</v>
      </c>
      <c r="DH38" s="15">
        <v>0</v>
      </c>
      <c r="DI38" s="15">
        <v>0</v>
      </c>
      <c r="DJ38" s="17">
        <v>0</v>
      </c>
      <c r="DK38" s="15">
        <v>0</v>
      </c>
      <c r="DL38" s="15">
        <v>0</v>
      </c>
      <c r="DM38" s="17">
        <v>0</v>
      </c>
      <c r="DN38" s="15">
        <v>0</v>
      </c>
      <c r="DO38" s="15">
        <v>0</v>
      </c>
      <c r="DP38" s="17">
        <v>0</v>
      </c>
      <c r="DQ38" s="15">
        <v>0</v>
      </c>
      <c r="DR38" s="15">
        <v>0</v>
      </c>
      <c r="DS38" s="17">
        <v>0</v>
      </c>
      <c r="DT38" s="15">
        <v>0</v>
      </c>
      <c r="DU38" s="15">
        <v>0</v>
      </c>
      <c r="DV38" s="17">
        <v>0</v>
      </c>
      <c r="DW38" s="87">
        <v>3</v>
      </c>
      <c r="DX38" s="15">
        <v>0</v>
      </c>
      <c r="DY38" s="17">
        <v>0</v>
      </c>
      <c r="DZ38" s="15">
        <v>0</v>
      </c>
      <c r="EA38" s="15">
        <v>0</v>
      </c>
      <c r="EB38" s="17">
        <v>0</v>
      </c>
      <c r="EC38" s="87">
        <v>2</v>
      </c>
      <c r="ED38" s="15">
        <v>0</v>
      </c>
      <c r="EE38" s="17">
        <v>0</v>
      </c>
      <c r="EF38" s="15">
        <v>0</v>
      </c>
      <c r="EG38" s="15">
        <v>0</v>
      </c>
      <c r="EH38" s="17">
        <v>0</v>
      </c>
      <c r="EI38" s="15">
        <v>0</v>
      </c>
      <c r="EJ38" s="15">
        <v>0</v>
      </c>
      <c r="EK38" s="17">
        <v>0</v>
      </c>
      <c r="EL38" s="15">
        <v>0</v>
      </c>
      <c r="EM38" s="15">
        <v>0</v>
      </c>
      <c r="EN38" s="17">
        <v>0</v>
      </c>
      <c r="EO38" s="15">
        <v>0</v>
      </c>
      <c r="EP38" s="15">
        <v>0</v>
      </c>
      <c r="EQ38" s="17">
        <v>0</v>
      </c>
      <c r="ER38" s="87">
        <v>1</v>
      </c>
      <c r="ES38" s="15">
        <v>0</v>
      </c>
      <c r="ET38" s="17">
        <v>0</v>
      </c>
      <c r="EU38" s="15">
        <v>0</v>
      </c>
      <c r="EV38" s="15">
        <v>0</v>
      </c>
      <c r="EW38" s="17">
        <v>0</v>
      </c>
      <c r="EX38" s="15">
        <v>0</v>
      </c>
      <c r="EY38" s="15">
        <v>0</v>
      </c>
      <c r="EZ38" s="17">
        <v>0</v>
      </c>
      <c r="FA38" s="15">
        <v>0</v>
      </c>
      <c r="FB38" s="15">
        <v>0</v>
      </c>
      <c r="FC38" s="17">
        <v>0</v>
      </c>
      <c r="FD38" s="55"/>
      <c r="FE38" s="77" t="s">
        <v>235</v>
      </c>
    </row>
    <row r="39" spans="1:161" ht="12.75">
      <c r="A39" s="40">
        <v>43870</v>
      </c>
      <c r="B39" s="84">
        <f t="shared" ref="B39:D39" si="68">SUM(J39,P39,S39,V39,Y39,AB39,AK39,AN39,AQ39,AT39,AW39,AZ39,BC39,BF39,BL39,BO39,BR39,BU39,BX39,CG39,CJ39,CM39,CP39,CS39,CV39,DH39,CY39,DB39,DK39,DN39,DQ39,DT39,DW39,DZ39,EC39,EF39,EI39,EL39,EO39,ER39,EU39,EX39,FA39,)</f>
        <v>39</v>
      </c>
      <c r="C39" s="44">
        <f t="shared" si="68"/>
        <v>0</v>
      </c>
      <c r="D39" s="44">
        <f t="shared" si="68"/>
        <v>0</v>
      </c>
      <c r="E39" s="85">
        <f t="shared" si="1"/>
        <v>39</v>
      </c>
      <c r="F39" s="86">
        <f t="shared" ref="F39:H39" si="69">SUM(P39,S39,V39,AE39,AH39,AK39,AN39,AQ39,AT39,AW39,AZ39,BF39,BL39,BR39,BX39,CG39,CM39,CP39,CV39,DK39,DN39,DQ39,DT39,DZ39,EL39,EO39,ER39)</f>
        <v>33</v>
      </c>
      <c r="G39" s="41">
        <f t="shared" si="69"/>
        <v>0</v>
      </c>
      <c r="H39" s="41">
        <f t="shared" si="69"/>
        <v>0</v>
      </c>
      <c r="I39" s="85">
        <f t="shared" si="3"/>
        <v>33</v>
      </c>
      <c r="J39" s="15">
        <v>0</v>
      </c>
      <c r="K39" s="15">
        <v>0</v>
      </c>
      <c r="L39" s="17">
        <v>0</v>
      </c>
      <c r="M39" s="15">
        <v>0</v>
      </c>
      <c r="N39" s="15">
        <v>0</v>
      </c>
      <c r="O39" s="17">
        <v>0</v>
      </c>
      <c r="P39" s="87">
        <v>14</v>
      </c>
      <c r="Q39" s="15">
        <v>0</v>
      </c>
      <c r="R39" s="17">
        <v>0</v>
      </c>
      <c r="S39" s="15">
        <v>0</v>
      </c>
      <c r="T39" s="15">
        <v>0</v>
      </c>
      <c r="U39" s="17">
        <v>0</v>
      </c>
      <c r="V39" s="87">
        <v>1</v>
      </c>
      <c r="W39" s="15">
        <v>0</v>
      </c>
      <c r="X39" s="17">
        <v>0</v>
      </c>
      <c r="Y39" s="15">
        <v>0</v>
      </c>
      <c r="Z39" s="15">
        <v>0</v>
      </c>
      <c r="AA39" s="17">
        <v>0</v>
      </c>
      <c r="AB39" s="15">
        <v>0</v>
      </c>
      <c r="AC39" s="15">
        <v>0</v>
      </c>
      <c r="AD39" s="17">
        <v>0</v>
      </c>
      <c r="AE39" s="15">
        <v>0</v>
      </c>
      <c r="AF39" s="15">
        <v>0</v>
      </c>
      <c r="AG39" s="17">
        <v>0</v>
      </c>
      <c r="AH39" s="15">
        <v>0</v>
      </c>
      <c r="AI39" s="15">
        <v>0</v>
      </c>
      <c r="AJ39" s="17">
        <v>0</v>
      </c>
      <c r="AK39" s="15">
        <v>0</v>
      </c>
      <c r="AL39" s="15">
        <v>0</v>
      </c>
      <c r="AM39" s="17">
        <v>0</v>
      </c>
      <c r="AN39" s="15">
        <v>0</v>
      </c>
      <c r="AO39" s="15">
        <v>0</v>
      </c>
      <c r="AP39" s="17">
        <v>0</v>
      </c>
      <c r="AQ39" s="87">
        <v>2</v>
      </c>
      <c r="AR39" s="15">
        <v>0</v>
      </c>
      <c r="AS39" s="17">
        <v>0</v>
      </c>
      <c r="AT39" s="15">
        <v>0</v>
      </c>
      <c r="AU39" s="15">
        <v>0</v>
      </c>
      <c r="AV39" s="17">
        <v>0</v>
      </c>
      <c r="AW39" s="87">
        <v>1</v>
      </c>
      <c r="AX39" s="15">
        <v>0</v>
      </c>
      <c r="AY39" s="17">
        <v>0</v>
      </c>
      <c r="AZ39" s="87">
        <v>11</v>
      </c>
      <c r="BA39" s="53">
        <v>0</v>
      </c>
      <c r="BB39" s="17">
        <v>0</v>
      </c>
      <c r="BC39" s="15">
        <v>0</v>
      </c>
      <c r="BD39" s="15">
        <v>0</v>
      </c>
      <c r="BE39" s="17">
        <v>0</v>
      </c>
      <c r="BF39" s="15">
        <v>0</v>
      </c>
      <c r="BG39" s="15">
        <v>0</v>
      </c>
      <c r="BH39" s="17">
        <v>0</v>
      </c>
      <c r="BI39" s="15">
        <v>0</v>
      </c>
      <c r="BJ39" s="15">
        <v>0</v>
      </c>
      <c r="BK39" s="17">
        <v>0</v>
      </c>
      <c r="BL39" s="15">
        <v>0</v>
      </c>
      <c r="BM39" s="15">
        <v>0</v>
      </c>
      <c r="BN39" s="17">
        <v>0</v>
      </c>
      <c r="BO39" s="15">
        <v>0</v>
      </c>
      <c r="BP39" s="15">
        <v>0</v>
      </c>
      <c r="BQ39" s="17">
        <v>0</v>
      </c>
      <c r="BR39" s="15">
        <v>0</v>
      </c>
      <c r="BS39" s="15">
        <v>0</v>
      </c>
      <c r="BT39" s="17">
        <v>0</v>
      </c>
      <c r="BU39" s="15">
        <v>0</v>
      </c>
      <c r="BV39" s="15">
        <v>0</v>
      </c>
      <c r="BW39" s="17">
        <v>0</v>
      </c>
      <c r="BX39" s="87">
        <v>3</v>
      </c>
      <c r="BY39" s="53">
        <v>0</v>
      </c>
      <c r="BZ39" s="17">
        <v>0</v>
      </c>
      <c r="CA39" s="15">
        <v>0</v>
      </c>
      <c r="CB39" s="15">
        <v>0</v>
      </c>
      <c r="CC39" s="17">
        <v>0</v>
      </c>
      <c r="CD39" s="15">
        <v>0</v>
      </c>
      <c r="CE39" s="15">
        <v>0</v>
      </c>
      <c r="CF39" s="17">
        <v>0</v>
      </c>
      <c r="CG39" s="15">
        <v>0</v>
      </c>
      <c r="CH39" s="15">
        <v>0</v>
      </c>
      <c r="CI39" s="17">
        <v>0</v>
      </c>
      <c r="CJ39" s="15">
        <v>0</v>
      </c>
      <c r="CK39" s="15">
        <v>0</v>
      </c>
      <c r="CL39" s="17">
        <v>0</v>
      </c>
      <c r="CM39" s="15">
        <v>0</v>
      </c>
      <c r="CN39" s="15">
        <v>0</v>
      </c>
      <c r="CO39" s="17">
        <v>0</v>
      </c>
      <c r="CP39" s="15">
        <v>0</v>
      </c>
      <c r="CQ39" s="15">
        <v>0</v>
      </c>
      <c r="CR39" s="17">
        <v>0</v>
      </c>
      <c r="CS39" s="15">
        <v>0</v>
      </c>
      <c r="CT39" s="15">
        <v>0</v>
      </c>
      <c r="CU39" s="17">
        <v>0</v>
      </c>
      <c r="CV39" s="15">
        <v>0</v>
      </c>
      <c r="CW39" s="15">
        <v>0</v>
      </c>
      <c r="CX39" s="17">
        <v>0</v>
      </c>
      <c r="CY39" s="15">
        <v>0</v>
      </c>
      <c r="CZ39" s="15">
        <v>0</v>
      </c>
      <c r="DA39" s="17">
        <v>0</v>
      </c>
      <c r="DB39" s="15">
        <v>0</v>
      </c>
      <c r="DC39" s="15">
        <v>0</v>
      </c>
      <c r="DD39" s="17">
        <v>0</v>
      </c>
      <c r="DE39" s="15">
        <v>0</v>
      </c>
      <c r="DF39" s="15">
        <v>0</v>
      </c>
      <c r="DG39" s="17">
        <v>0</v>
      </c>
      <c r="DH39" s="15">
        <v>0</v>
      </c>
      <c r="DI39" s="15">
        <v>0</v>
      </c>
      <c r="DJ39" s="17">
        <v>0</v>
      </c>
      <c r="DK39" s="15">
        <v>0</v>
      </c>
      <c r="DL39" s="15">
        <v>0</v>
      </c>
      <c r="DM39" s="17">
        <v>0</v>
      </c>
      <c r="DN39" s="15">
        <v>0</v>
      </c>
      <c r="DO39" s="15">
        <v>0</v>
      </c>
      <c r="DP39" s="17">
        <v>0</v>
      </c>
      <c r="DQ39" s="15">
        <v>0</v>
      </c>
      <c r="DR39" s="15">
        <v>0</v>
      </c>
      <c r="DS39" s="17">
        <v>0</v>
      </c>
      <c r="DT39" s="15">
        <v>0</v>
      </c>
      <c r="DU39" s="15">
        <v>0</v>
      </c>
      <c r="DV39" s="17">
        <v>0</v>
      </c>
      <c r="DW39" s="87">
        <v>4</v>
      </c>
      <c r="DX39" s="15">
        <v>0</v>
      </c>
      <c r="DY39" s="17">
        <v>0</v>
      </c>
      <c r="DZ39" s="15">
        <v>0</v>
      </c>
      <c r="EA39" s="15">
        <v>0</v>
      </c>
      <c r="EB39" s="17">
        <v>0</v>
      </c>
      <c r="EC39" s="87">
        <v>2</v>
      </c>
      <c r="ED39" s="15">
        <v>0</v>
      </c>
      <c r="EE39" s="17">
        <v>0</v>
      </c>
      <c r="EF39" s="15">
        <v>0</v>
      </c>
      <c r="EG39" s="15">
        <v>0</v>
      </c>
      <c r="EH39" s="17">
        <v>0</v>
      </c>
      <c r="EI39" s="15">
        <v>0</v>
      </c>
      <c r="EJ39" s="15">
        <v>0</v>
      </c>
      <c r="EK39" s="17">
        <v>0</v>
      </c>
      <c r="EL39" s="15">
        <v>0</v>
      </c>
      <c r="EM39" s="15">
        <v>0</v>
      </c>
      <c r="EN39" s="17">
        <v>0</v>
      </c>
      <c r="EO39" s="15">
        <v>0</v>
      </c>
      <c r="EP39" s="15">
        <v>0</v>
      </c>
      <c r="EQ39" s="17">
        <v>0</v>
      </c>
      <c r="ER39" s="87">
        <v>1</v>
      </c>
      <c r="ES39" s="15">
        <v>0</v>
      </c>
      <c r="ET39" s="17">
        <v>0</v>
      </c>
      <c r="EU39" s="15">
        <v>0</v>
      </c>
      <c r="EV39" s="15">
        <v>0</v>
      </c>
      <c r="EW39" s="17">
        <v>0</v>
      </c>
      <c r="EX39" s="15">
        <v>0</v>
      </c>
      <c r="EY39" s="15">
        <v>0</v>
      </c>
      <c r="EZ39" s="17">
        <v>0</v>
      </c>
      <c r="FA39" s="15">
        <v>0</v>
      </c>
      <c r="FB39" s="15">
        <v>0</v>
      </c>
      <c r="FC39" s="17">
        <v>0</v>
      </c>
      <c r="FD39" s="55"/>
      <c r="FE39" s="77" t="s">
        <v>238</v>
      </c>
    </row>
    <row r="40" spans="1:161" ht="12.75">
      <c r="A40" s="40">
        <v>43871</v>
      </c>
      <c r="B40" s="84">
        <f t="shared" ref="B40:D40" si="70">SUM(J40,P40,S40,V40,Y40,AB40,AK40,AN40,AQ40,AT40,AW40,AZ40,BC40,BF40,BL40,BO40,BR40,BU40,BX40,CG40,CJ40,CM40,CP40,CS40,CV40,DH40,CY40,DB40,DK40,DN40,DQ40,DT40,DW40,DZ40,EC40,EF40,EI40,EL40,EO40,ER40,EU40,EX40,FA40,)</f>
        <v>43</v>
      </c>
      <c r="C40" s="44">
        <f t="shared" si="70"/>
        <v>0</v>
      </c>
      <c r="D40" s="44">
        <f t="shared" si="70"/>
        <v>0</v>
      </c>
      <c r="E40" s="85">
        <f t="shared" si="1"/>
        <v>43</v>
      </c>
      <c r="F40" s="86">
        <f t="shared" ref="F40:H40" si="71">SUM(P40,S40,V40,AE40,AH40,AK40,AN40,AQ40,AT40,AW40,AZ40,BF40,BL40,BR40,BX40,CG40,CM40,CP40,CV40,DK40,DN40,DQ40,DT40,DZ40,EL40,EO40,ER40)</f>
        <v>33</v>
      </c>
      <c r="G40" s="41">
        <f t="shared" si="71"/>
        <v>0</v>
      </c>
      <c r="H40" s="41">
        <f t="shared" si="71"/>
        <v>0</v>
      </c>
      <c r="I40" s="85">
        <f t="shared" si="3"/>
        <v>33</v>
      </c>
      <c r="J40" s="15">
        <v>0</v>
      </c>
      <c r="K40" s="15">
        <v>0</v>
      </c>
      <c r="L40" s="17">
        <v>0</v>
      </c>
      <c r="M40" s="15">
        <v>0</v>
      </c>
      <c r="N40" s="15">
        <v>0</v>
      </c>
      <c r="O40" s="17">
        <v>0</v>
      </c>
      <c r="P40" s="87">
        <v>14</v>
      </c>
      <c r="Q40" s="15">
        <v>0</v>
      </c>
      <c r="R40" s="17">
        <v>0</v>
      </c>
      <c r="S40" s="15">
        <v>0</v>
      </c>
      <c r="T40" s="15">
        <v>0</v>
      </c>
      <c r="U40" s="17">
        <v>0</v>
      </c>
      <c r="V40" s="87">
        <v>1</v>
      </c>
      <c r="W40" s="15">
        <v>0</v>
      </c>
      <c r="X40" s="17">
        <v>0</v>
      </c>
      <c r="Y40" s="15">
        <v>0</v>
      </c>
      <c r="Z40" s="15">
        <v>0</v>
      </c>
      <c r="AA40" s="17">
        <v>0</v>
      </c>
      <c r="AB40" s="15">
        <v>0</v>
      </c>
      <c r="AC40" s="15">
        <v>0</v>
      </c>
      <c r="AD40" s="17">
        <v>0</v>
      </c>
      <c r="AE40" s="15">
        <v>0</v>
      </c>
      <c r="AF40" s="15">
        <v>0</v>
      </c>
      <c r="AG40" s="17">
        <v>0</v>
      </c>
      <c r="AH40" s="15">
        <v>0</v>
      </c>
      <c r="AI40" s="15">
        <v>0</v>
      </c>
      <c r="AJ40" s="17">
        <v>0</v>
      </c>
      <c r="AK40" s="15">
        <v>0</v>
      </c>
      <c r="AL40" s="15">
        <v>0</v>
      </c>
      <c r="AM40" s="17">
        <v>0</v>
      </c>
      <c r="AN40" s="15">
        <v>0</v>
      </c>
      <c r="AO40" s="15">
        <v>0</v>
      </c>
      <c r="AP40" s="17">
        <v>0</v>
      </c>
      <c r="AQ40" s="87">
        <v>2</v>
      </c>
      <c r="AR40" s="15">
        <v>0</v>
      </c>
      <c r="AS40" s="17">
        <v>0</v>
      </c>
      <c r="AT40" s="15">
        <v>0</v>
      </c>
      <c r="AU40" s="15">
        <v>0</v>
      </c>
      <c r="AV40" s="17">
        <v>0</v>
      </c>
      <c r="AW40" s="87">
        <v>1</v>
      </c>
      <c r="AX40" s="15">
        <v>0</v>
      </c>
      <c r="AY40" s="17">
        <v>0</v>
      </c>
      <c r="AZ40" s="87">
        <v>11</v>
      </c>
      <c r="BA40" s="53">
        <v>0</v>
      </c>
      <c r="BB40" s="17">
        <v>0</v>
      </c>
      <c r="BC40" s="15">
        <v>0</v>
      </c>
      <c r="BD40" s="15">
        <v>0</v>
      </c>
      <c r="BE40" s="17">
        <v>0</v>
      </c>
      <c r="BF40" s="15">
        <v>0</v>
      </c>
      <c r="BG40" s="15">
        <v>0</v>
      </c>
      <c r="BH40" s="17">
        <v>0</v>
      </c>
      <c r="BI40" s="15">
        <v>0</v>
      </c>
      <c r="BJ40" s="15">
        <v>0</v>
      </c>
      <c r="BK40" s="17">
        <v>0</v>
      </c>
      <c r="BL40" s="15">
        <v>0</v>
      </c>
      <c r="BM40" s="15">
        <v>0</v>
      </c>
      <c r="BN40" s="17">
        <v>0</v>
      </c>
      <c r="BO40" s="15">
        <v>0</v>
      </c>
      <c r="BP40" s="15">
        <v>0</v>
      </c>
      <c r="BQ40" s="17">
        <v>0</v>
      </c>
      <c r="BR40" s="15">
        <v>0</v>
      </c>
      <c r="BS40" s="15">
        <v>0</v>
      </c>
      <c r="BT40" s="17">
        <v>0</v>
      </c>
      <c r="BU40" s="15">
        <v>0</v>
      </c>
      <c r="BV40" s="15">
        <v>0</v>
      </c>
      <c r="BW40" s="17">
        <v>0</v>
      </c>
      <c r="BX40" s="87">
        <v>3</v>
      </c>
      <c r="BY40" s="53">
        <v>0</v>
      </c>
      <c r="BZ40" s="17">
        <v>0</v>
      </c>
      <c r="CA40" s="15">
        <v>0</v>
      </c>
      <c r="CB40" s="15">
        <v>0</v>
      </c>
      <c r="CC40" s="17">
        <v>0</v>
      </c>
      <c r="CD40" s="15">
        <v>0</v>
      </c>
      <c r="CE40" s="15">
        <v>0</v>
      </c>
      <c r="CF40" s="17">
        <v>0</v>
      </c>
      <c r="CG40" s="15">
        <v>0</v>
      </c>
      <c r="CH40" s="15">
        <v>0</v>
      </c>
      <c r="CI40" s="17">
        <v>0</v>
      </c>
      <c r="CJ40" s="15">
        <v>0</v>
      </c>
      <c r="CK40" s="15">
        <v>0</v>
      </c>
      <c r="CL40" s="17">
        <v>0</v>
      </c>
      <c r="CM40" s="15">
        <v>0</v>
      </c>
      <c r="CN40" s="15">
        <v>0</v>
      </c>
      <c r="CO40" s="17">
        <v>0</v>
      </c>
      <c r="CP40" s="15">
        <v>0</v>
      </c>
      <c r="CQ40" s="15">
        <v>0</v>
      </c>
      <c r="CR40" s="17">
        <v>0</v>
      </c>
      <c r="CS40" s="15">
        <v>0</v>
      </c>
      <c r="CT40" s="15">
        <v>0</v>
      </c>
      <c r="CU40" s="17">
        <v>0</v>
      </c>
      <c r="CV40" s="15">
        <v>0</v>
      </c>
      <c r="CW40" s="15">
        <v>0</v>
      </c>
      <c r="CX40" s="17">
        <v>0</v>
      </c>
      <c r="CY40" s="15">
        <v>0</v>
      </c>
      <c r="CZ40" s="15">
        <v>0</v>
      </c>
      <c r="DA40" s="17">
        <v>0</v>
      </c>
      <c r="DB40" s="15">
        <v>0</v>
      </c>
      <c r="DC40" s="15">
        <v>0</v>
      </c>
      <c r="DD40" s="17">
        <v>0</v>
      </c>
      <c r="DE40" s="15">
        <v>0</v>
      </c>
      <c r="DF40" s="15">
        <v>0</v>
      </c>
      <c r="DG40" s="17">
        <v>0</v>
      </c>
      <c r="DH40" s="15">
        <v>0</v>
      </c>
      <c r="DI40" s="15">
        <v>0</v>
      </c>
      <c r="DJ40" s="17">
        <v>0</v>
      </c>
      <c r="DK40" s="15">
        <v>0</v>
      </c>
      <c r="DL40" s="15">
        <v>0</v>
      </c>
      <c r="DM40" s="17">
        <v>0</v>
      </c>
      <c r="DN40" s="15">
        <v>0</v>
      </c>
      <c r="DO40" s="15">
        <v>0</v>
      </c>
      <c r="DP40" s="17">
        <v>0</v>
      </c>
      <c r="DQ40" s="15">
        <v>0</v>
      </c>
      <c r="DR40" s="15">
        <v>0</v>
      </c>
      <c r="DS40" s="17">
        <v>0</v>
      </c>
      <c r="DT40" s="15">
        <v>0</v>
      </c>
      <c r="DU40" s="15">
        <v>0</v>
      </c>
      <c r="DV40" s="17">
        <v>0</v>
      </c>
      <c r="DW40" s="87">
        <v>8</v>
      </c>
      <c r="DX40" s="15">
        <v>0</v>
      </c>
      <c r="DY40" s="17">
        <v>0</v>
      </c>
      <c r="DZ40" s="15">
        <v>0</v>
      </c>
      <c r="EA40" s="15">
        <v>0</v>
      </c>
      <c r="EB40" s="17">
        <v>0</v>
      </c>
      <c r="EC40" s="87">
        <v>2</v>
      </c>
      <c r="ED40" s="15">
        <v>0</v>
      </c>
      <c r="EE40" s="17">
        <v>0</v>
      </c>
      <c r="EF40" s="15">
        <v>0</v>
      </c>
      <c r="EG40" s="15">
        <v>0</v>
      </c>
      <c r="EH40" s="17">
        <v>0</v>
      </c>
      <c r="EI40" s="15">
        <v>0</v>
      </c>
      <c r="EJ40" s="15">
        <v>0</v>
      </c>
      <c r="EK40" s="17">
        <v>0</v>
      </c>
      <c r="EL40" s="15">
        <v>0</v>
      </c>
      <c r="EM40" s="15">
        <v>0</v>
      </c>
      <c r="EN40" s="17">
        <v>0</v>
      </c>
      <c r="EO40" s="15">
        <v>0</v>
      </c>
      <c r="EP40" s="15">
        <v>0</v>
      </c>
      <c r="EQ40" s="17">
        <v>0</v>
      </c>
      <c r="ER40" s="87">
        <v>1</v>
      </c>
      <c r="ES40" s="15">
        <v>0</v>
      </c>
      <c r="ET40" s="17">
        <v>0</v>
      </c>
      <c r="EU40" s="15">
        <v>0</v>
      </c>
      <c r="EV40" s="15">
        <v>0</v>
      </c>
      <c r="EW40" s="17">
        <v>0</v>
      </c>
      <c r="EX40" s="15">
        <v>0</v>
      </c>
      <c r="EY40" s="15">
        <v>0</v>
      </c>
      <c r="EZ40" s="17">
        <v>0</v>
      </c>
      <c r="FA40" s="15">
        <v>0</v>
      </c>
      <c r="FB40" s="15">
        <v>0</v>
      </c>
      <c r="FC40" s="17">
        <v>0</v>
      </c>
      <c r="FD40" s="55"/>
      <c r="FE40" s="77" t="s">
        <v>241</v>
      </c>
    </row>
    <row r="41" spans="1:161" ht="12.75">
      <c r="A41" s="40">
        <v>43872</v>
      </c>
      <c r="B41" s="84">
        <f t="shared" ref="B41:D41" si="72">SUM(J41,P41,S41,V41,Y41,AB41,AK41,AN41,AQ41,AT41,AW41,AZ41,BC41,BF41,BL41,BO41,BR41,BU41,BX41,CG41,CJ41,CM41,CP41,CS41,CV41,DH41,CY41,DB41,DK41,DN41,DQ41,DT41,DW41,DZ41,EC41,EF41,EI41,EL41,EO41,ER41,EU41,EX41,FA41,)</f>
        <v>46</v>
      </c>
      <c r="C41" s="44">
        <f t="shared" si="72"/>
        <v>0</v>
      </c>
      <c r="D41" s="44">
        <f t="shared" si="72"/>
        <v>0</v>
      </c>
      <c r="E41" s="85">
        <f t="shared" si="1"/>
        <v>46</v>
      </c>
      <c r="F41" s="86">
        <f t="shared" ref="F41:H41" si="73">SUM(P41,S41,V41,AE41,AH41,AK41,AN41,AQ41,AT41,AW41,AZ41,BF41,BL41,BR41,BX41,CG41,CM41,CP41,CV41,DK41,DN41,DQ41,DT41,DZ41,EL41,EO41,ER41)</f>
        <v>35</v>
      </c>
      <c r="G41" s="41">
        <f t="shared" si="73"/>
        <v>0</v>
      </c>
      <c r="H41" s="41">
        <f t="shared" si="73"/>
        <v>0</v>
      </c>
      <c r="I41" s="85">
        <f t="shared" si="3"/>
        <v>35</v>
      </c>
      <c r="J41" s="15">
        <v>0</v>
      </c>
      <c r="K41" s="15">
        <v>0</v>
      </c>
      <c r="L41" s="17">
        <v>0</v>
      </c>
      <c r="M41" s="15">
        <v>0</v>
      </c>
      <c r="N41" s="15">
        <v>0</v>
      </c>
      <c r="O41" s="17">
        <v>0</v>
      </c>
      <c r="P41" s="87">
        <v>16</v>
      </c>
      <c r="Q41" s="15">
        <v>0</v>
      </c>
      <c r="R41" s="17">
        <v>0</v>
      </c>
      <c r="S41" s="15">
        <v>0</v>
      </c>
      <c r="T41" s="15">
        <v>0</v>
      </c>
      <c r="U41" s="17">
        <v>0</v>
      </c>
      <c r="V41" s="87">
        <v>1</v>
      </c>
      <c r="W41" s="15">
        <v>0</v>
      </c>
      <c r="X41" s="17">
        <v>0</v>
      </c>
      <c r="Y41" s="15">
        <v>0</v>
      </c>
      <c r="Z41" s="15">
        <v>0</v>
      </c>
      <c r="AA41" s="17">
        <v>0</v>
      </c>
      <c r="AB41" s="15">
        <v>0</v>
      </c>
      <c r="AC41" s="15">
        <v>0</v>
      </c>
      <c r="AD41" s="17">
        <v>0</v>
      </c>
      <c r="AE41" s="15">
        <v>0</v>
      </c>
      <c r="AF41" s="15">
        <v>0</v>
      </c>
      <c r="AG41" s="17">
        <v>0</v>
      </c>
      <c r="AH41" s="15">
        <v>0</v>
      </c>
      <c r="AI41" s="15">
        <v>0</v>
      </c>
      <c r="AJ41" s="17">
        <v>0</v>
      </c>
      <c r="AK41" s="15">
        <v>0</v>
      </c>
      <c r="AL41" s="15">
        <v>0</v>
      </c>
      <c r="AM41" s="17">
        <v>0</v>
      </c>
      <c r="AN41" s="15">
        <v>0</v>
      </c>
      <c r="AO41" s="15">
        <v>0</v>
      </c>
      <c r="AP41" s="17">
        <v>0</v>
      </c>
      <c r="AQ41" s="87">
        <v>2</v>
      </c>
      <c r="AR41" s="15">
        <v>0</v>
      </c>
      <c r="AS41" s="17">
        <v>0</v>
      </c>
      <c r="AT41" s="15">
        <v>0</v>
      </c>
      <c r="AU41" s="15">
        <v>0</v>
      </c>
      <c r="AV41" s="17">
        <v>0</v>
      </c>
      <c r="AW41" s="87">
        <v>1</v>
      </c>
      <c r="AX41" s="15">
        <v>0</v>
      </c>
      <c r="AY41" s="17">
        <v>0</v>
      </c>
      <c r="AZ41" s="87">
        <v>11</v>
      </c>
      <c r="BA41" s="53">
        <v>0</v>
      </c>
      <c r="BB41" s="17">
        <v>0</v>
      </c>
      <c r="BC41" s="15">
        <v>0</v>
      </c>
      <c r="BD41" s="15">
        <v>0</v>
      </c>
      <c r="BE41" s="17">
        <v>0</v>
      </c>
      <c r="BF41" s="15">
        <v>0</v>
      </c>
      <c r="BG41" s="15">
        <v>0</v>
      </c>
      <c r="BH41" s="17">
        <v>0</v>
      </c>
      <c r="BI41" s="15">
        <v>0</v>
      </c>
      <c r="BJ41" s="15">
        <v>0</v>
      </c>
      <c r="BK41" s="17">
        <v>0</v>
      </c>
      <c r="BL41" s="15">
        <v>0</v>
      </c>
      <c r="BM41" s="15">
        <v>0</v>
      </c>
      <c r="BN41" s="17">
        <v>0</v>
      </c>
      <c r="BO41" s="15">
        <v>0</v>
      </c>
      <c r="BP41" s="15">
        <v>0</v>
      </c>
      <c r="BQ41" s="17">
        <v>0</v>
      </c>
      <c r="BR41" s="15">
        <v>0</v>
      </c>
      <c r="BS41" s="15">
        <v>0</v>
      </c>
      <c r="BT41" s="17">
        <v>0</v>
      </c>
      <c r="BU41" s="15">
        <v>0</v>
      </c>
      <c r="BV41" s="15">
        <v>0</v>
      </c>
      <c r="BW41" s="17">
        <v>0</v>
      </c>
      <c r="BX41" s="87">
        <v>3</v>
      </c>
      <c r="BY41" s="53">
        <v>0</v>
      </c>
      <c r="BZ41" s="17">
        <v>0</v>
      </c>
      <c r="CA41" s="15">
        <v>0</v>
      </c>
      <c r="CB41" s="15">
        <v>0</v>
      </c>
      <c r="CC41" s="17">
        <v>0</v>
      </c>
      <c r="CD41" s="15">
        <v>0</v>
      </c>
      <c r="CE41" s="15">
        <v>0</v>
      </c>
      <c r="CF41" s="17">
        <v>0</v>
      </c>
      <c r="CG41" s="15">
        <v>0</v>
      </c>
      <c r="CH41" s="15">
        <v>0</v>
      </c>
      <c r="CI41" s="17">
        <v>0</v>
      </c>
      <c r="CJ41" s="15">
        <v>0</v>
      </c>
      <c r="CK41" s="15">
        <v>0</v>
      </c>
      <c r="CL41" s="17">
        <v>0</v>
      </c>
      <c r="CM41" s="15">
        <v>0</v>
      </c>
      <c r="CN41" s="15">
        <v>0</v>
      </c>
      <c r="CO41" s="17">
        <v>0</v>
      </c>
      <c r="CP41" s="15">
        <v>0</v>
      </c>
      <c r="CQ41" s="15">
        <v>0</v>
      </c>
      <c r="CR41" s="17">
        <v>0</v>
      </c>
      <c r="CS41" s="15">
        <v>0</v>
      </c>
      <c r="CT41" s="15">
        <v>0</v>
      </c>
      <c r="CU41" s="17">
        <v>0</v>
      </c>
      <c r="CV41" s="15">
        <v>0</v>
      </c>
      <c r="CW41" s="15">
        <v>0</v>
      </c>
      <c r="CX41" s="17">
        <v>0</v>
      </c>
      <c r="CY41" s="15">
        <v>0</v>
      </c>
      <c r="CZ41" s="15">
        <v>0</v>
      </c>
      <c r="DA41" s="17">
        <v>0</v>
      </c>
      <c r="DB41" s="15">
        <v>0</v>
      </c>
      <c r="DC41" s="15">
        <v>0</v>
      </c>
      <c r="DD41" s="17">
        <v>0</v>
      </c>
      <c r="DE41" s="15">
        <v>0</v>
      </c>
      <c r="DF41" s="15">
        <v>0</v>
      </c>
      <c r="DG41" s="17">
        <v>0</v>
      </c>
      <c r="DH41" s="15">
        <v>0</v>
      </c>
      <c r="DI41" s="15">
        <v>0</v>
      </c>
      <c r="DJ41" s="17">
        <v>0</v>
      </c>
      <c r="DK41" s="15">
        <v>0</v>
      </c>
      <c r="DL41" s="15">
        <v>0</v>
      </c>
      <c r="DM41" s="17">
        <v>0</v>
      </c>
      <c r="DN41" s="15">
        <v>0</v>
      </c>
      <c r="DO41" s="15">
        <v>0</v>
      </c>
      <c r="DP41" s="17">
        <v>0</v>
      </c>
      <c r="DQ41" s="15">
        <v>0</v>
      </c>
      <c r="DR41" s="15">
        <v>0</v>
      </c>
      <c r="DS41" s="17">
        <v>0</v>
      </c>
      <c r="DT41" s="15">
        <v>0</v>
      </c>
      <c r="DU41" s="15">
        <v>0</v>
      </c>
      <c r="DV41" s="17">
        <v>0</v>
      </c>
      <c r="DW41" s="87">
        <v>9</v>
      </c>
      <c r="DX41" s="15">
        <v>0</v>
      </c>
      <c r="DY41" s="17">
        <v>0</v>
      </c>
      <c r="DZ41" s="15">
        <v>0</v>
      </c>
      <c r="EA41" s="15">
        <v>0</v>
      </c>
      <c r="EB41" s="17">
        <v>0</v>
      </c>
      <c r="EC41" s="87">
        <v>2</v>
      </c>
      <c r="ED41" s="15">
        <v>0</v>
      </c>
      <c r="EE41" s="17">
        <v>0</v>
      </c>
      <c r="EF41" s="15">
        <v>0</v>
      </c>
      <c r="EG41" s="15">
        <v>0</v>
      </c>
      <c r="EH41" s="17">
        <v>0</v>
      </c>
      <c r="EI41" s="15">
        <v>0</v>
      </c>
      <c r="EJ41" s="15">
        <v>0</v>
      </c>
      <c r="EK41" s="17">
        <v>0</v>
      </c>
      <c r="EL41" s="15">
        <v>0</v>
      </c>
      <c r="EM41" s="15">
        <v>0</v>
      </c>
      <c r="EN41" s="17">
        <v>0</v>
      </c>
      <c r="EO41" s="15">
        <v>0</v>
      </c>
      <c r="EP41" s="15">
        <v>0</v>
      </c>
      <c r="EQ41" s="17">
        <v>0</v>
      </c>
      <c r="ER41" s="87">
        <v>1</v>
      </c>
      <c r="ES41" s="15">
        <v>0</v>
      </c>
      <c r="ET41" s="17">
        <v>0</v>
      </c>
      <c r="EU41" s="15">
        <v>0</v>
      </c>
      <c r="EV41" s="15">
        <v>0</v>
      </c>
      <c r="EW41" s="17">
        <v>0</v>
      </c>
      <c r="EX41" s="15">
        <v>0</v>
      </c>
      <c r="EY41" s="15">
        <v>0</v>
      </c>
      <c r="EZ41" s="17">
        <v>0</v>
      </c>
      <c r="FA41" s="15">
        <v>0</v>
      </c>
      <c r="FB41" s="15">
        <v>0</v>
      </c>
      <c r="FC41" s="17">
        <v>0</v>
      </c>
      <c r="FD41" s="55"/>
      <c r="FE41" s="77" t="s">
        <v>245</v>
      </c>
    </row>
    <row r="42" spans="1:161" ht="12.75">
      <c r="A42" s="40">
        <v>43873</v>
      </c>
      <c r="B42" s="84">
        <f t="shared" ref="B42:D42" si="74">SUM(J42,P42,S42,V42,Y42,AB42,AK42,AN42,AQ42,AT42,AW42,AZ42,BC42,BF42,BL42,BO42,BR42,BU42,BX42,CG42,CJ42,CM42,CP42,CS42,CV42,DH42,CY42,DB42,DK42,DN42,DQ42,DT42,DW42,DZ42,EC42,EF42,EI42,EL42,EO42,ER42,EU42,EX42,FA42,)</f>
        <v>46</v>
      </c>
      <c r="C42" s="44">
        <f t="shared" si="74"/>
        <v>0</v>
      </c>
      <c r="D42" s="44">
        <f t="shared" si="74"/>
        <v>0</v>
      </c>
      <c r="E42" s="85">
        <f t="shared" si="1"/>
        <v>46</v>
      </c>
      <c r="F42" s="86">
        <f t="shared" ref="F42:H42" si="75">SUM(P42,S42,V42,AE42,AH42,AK42,AN42,AQ42,AT42,AW42,AZ42,BF42,BL42,BR42,BX42,CG42,CM42,CP42,CV42,DK42,DN42,DQ42,DT42,DZ42,EL42,EO42,ER42)</f>
        <v>35</v>
      </c>
      <c r="G42" s="41">
        <f t="shared" si="75"/>
        <v>0</v>
      </c>
      <c r="H42" s="41">
        <f t="shared" si="75"/>
        <v>0</v>
      </c>
      <c r="I42" s="85">
        <f t="shared" si="3"/>
        <v>35</v>
      </c>
      <c r="J42" s="15">
        <v>0</v>
      </c>
      <c r="K42" s="15">
        <v>0</v>
      </c>
      <c r="L42" s="17">
        <v>0</v>
      </c>
      <c r="M42" s="15">
        <v>0</v>
      </c>
      <c r="N42" s="15">
        <v>0</v>
      </c>
      <c r="O42" s="17">
        <v>0</v>
      </c>
      <c r="P42" s="87">
        <v>16</v>
      </c>
      <c r="Q42" s="15">
        <v>0</v>
      </c>
      <c r="R42" s="17">
        <v>0</v>
      </c>
      <c r="S42" s="15">
        <v>0</v>
      </c>
      <c r="T42" s="15">
        <v>0</v>
      </c>
      <c r="U42" s="17">
        <v>0</v>
      </c>
      <c r="V42" s="87">
        <v>1</v>
      </c>
      <c r="W42" s="15">
        <v>0</v>
      </c>
      <c r="X42" s="17">
        <v>0</v>
      </c>
      <c r="Y42" s="15">
        <v>0</v>
      </c>
      <c r="Z42" s="15">
        <v>0</v>
      </c>
      <c r="AA42" s="17">
        <v>0</v>
      </c>
      <c r="AB42" s="15">
        <v>0</v>
      </c>
      <c r="AC42" s="15">
        <v>0</v>
      </c>
      <c r="AD42" s="17">
        <v>0</v>
      </c>
      <c r="AE42" s="15">
        <v>0</v>
      </c>
      <c r="AF42" s="15">
        <v>0</v>
      </c>
      <c r="AG42" s="17">
        <v>0</v>
      </c>
      <c r="AH42" s="15">
        <v>0</v>
      </c>
      <c r="AI42" s="15">
        <v>0</v>
      </c>
      <c r="AJ42" s="17">
        <v>0</v>
      </c>
      <c r="AK42" s="15">
        <v>0</v>
      </c>
      <c r="AL42" s="15">
        <v>0</v>
      </c>
      <c r="AM42" s="17">
        <v>0</v>
      </c>
      <c r="AN42" s="15">
        <v>0</v>
      </c>
      <c r="AO42" s="15">
        <v>0</v>
      </c>
      <c r="AP42" s="17">
        <v>0</v>
      </c>
      <c r="AQ42" s="87">
        <v>2</v>
      </c>
      <c r="AR42" s="15">
        <v>0</v>
      </c>
      <c r="AS42" s="17">
        <v>0</v>
      </c>
      <c r="AT42" s="15">
        <v>0</v>
      </c>
      <c r="AU42" s="15">
        <v>0</v>
      </c>
      <c r="AV42" s="17">
        <v>0</v>
      </c>
      <c r="AW42" s="87">
        <v>1</v>
      </c>
      <c r="AX42" s="15">
        <v>0</v>
      </c>
      <c r="AY42" s="17">
        <v>0</v>
      </c>
      <c r="AZ42" s="87">
        <v>11</v>
      </c>
      <c r="BA42" s="53">
        <v>0</v>
      </c>
      <c r="BB42" s="17">
        <v>0</v>
      </c>
      <c r="BC42" s="15">
        <v>0</v>
      </c>
      <c r="BD42" s="15">
        <v>0</v>
      </c>
      <c r="BE42" s="17">
        <v>0</v>
      </c>
      <c r="BF42" s="15">
        <v>0</v>
      </c>
      <c r="BG42" s="15">
        <v>0</v>
      </c>
      <c r="BH42" s="17">
        <v>0</v>
      </c>
      <c r="BI42" s="15">
        <v>0</v>
      </c>
      <c r="BJ42" s="15">
        <v>0</v>
      </c>
      <c r="BK42" s="17">
        <v>0</v>
      </c>
      <c r="BL42" s="15">
        <v>0</v>
      </c>
      <c r="BM42" s="15">
        <v>0</v>
      </c>
      <c r="BN42" s="17">
        <v>0</v>
      </c>
      <c r="BO42" s="15">
        <v>0</v>
      </c>
      <c r="BP42" s="15">
        <v>0</v>
      </c>
      <c r="BQ42" s="17">
        <v>0</v>
      </c>
      <c r="BR42" s="15">
        <v>0</v>
      </c>
      <c r="BS42" s="15">
        <v>0</v>
      </c>
      <c r="BT42" s="17">
        <v>0</v>
      </c>
      <c r="BU42" s="15">
        <v>0</v>
      </c>
      <c r="BV42" s="15">
        <v>0</v>
      </c>
      <c r="BW42" s="17">
        <v>0</v>
      </c>
      <c r="BX42" s="87">
        <v>3</v>
      </c>
      <c r="BY42" s="53">
        <v>0</v>
      </c>
      <c r="BZ42" s="17">
        <v>0</v>
      </c>
      <c r="CA42" s="15">
        <v>0</v>
      </c>
      <c r="CB42" s="15">
        <v>0</v>
      </c>
      <c r="CC42" s="17">
        <v>0</v>
      </c>
      <c r="CD42" s="15">
        <v>0</v>
      </c>
      <c r="CE42" s="15">
        <v>0</v>
      </c>
      <c r="CF42" s="17">
        <v>0</v>
      </c>
      <c r="CG42" s="15">
        <v>0</v>
      </c>
      <c r="CH42" s="15">
        <v>0</v>
      </c>
      <c r="CI42" s="17">
        <v>0</v>
      </c>
      <c r="CJ42" s="15">
        <v>0</v>
      </c>
      <c r="CK42" s="15">
        <v>0</v>
      </c>
      <c r="CL42" s="17">
        <v>0</v>
      </c>
      <c r="CM42" s="15">
        <v>0</v>
      </c>
      <c r="CN42" s="15">
        <v>0</v>
      </c>
      <c r="CO42" s="17">
        <v>0</v>
      </c>
      <c r="CP42" s="15">
        <v>0</v>
      </c>
      <c r="CQ42" s="15">
        <v>0</v>
      </c>
      <c r="CR42" s="17">
        <v>0</v>
      </c>
      <c r="CS42" s="15">
        <v>0</v>
      </c>
      <c r="CT42" s="15">
        <v>0</v>
      </c>
      <c r="CU42" s="17">
        <v>0</v>
      </c>
      <c r="CV42" s="15">
        <v>0</v>
      </c>
      <c r="CW42" s="15">
        <v>0</v>
      </c>
      <c r="CX42" s="17">
        <v>0</v>
      </c>
      <c r="CY42" s="15">
        <v>0</v>
      </c>
      <c r="CZ42" s="15">
        <v>0</v>
      </c>
      <c r="DA42" s="17">
        <v>0</v>
      </c>
      <c r="DB42" s="15">
        <v>0</v>
      </c>
      <c r="DC42" s="15">
        <v>0</v>
      </c>
      <c r="DD42" s="17">
        <v>0</v>
      </c>
      <c r="DE42" s="15">
        <v>0</v>
      </c>
      <c r="DF42" s="15">
        <v>0</v>
      </c>
      <c r="DG42" s="17">
        <v>0</v>
      </c>
      <c r="DH42" s="15">
        <v>0</v>
      </c>
      <c r="DI42" s="15">
        <v>0</v>
      </c>
      <c r="DJ42" s="17">
        <v>0</v>
      </c>
      <c r="DK42" s="15">
        <v>0</v>
      </c>
      <c r="DL42" s="15">
        <v>0</v>
      </c>
      <c r="DM42" s="17">
        <v>0</v>
      </c>
      <c r="DN42" s="15">
        <v>0</v>
      </c>
      <c r="DO42" s="15">
        <v>0</v>
      </c>
      <c r="DP42" s="17">
        <v>0</v>
      </c>
      <c r="DQ42" s="15">
        <v>0</v>
      </c>
      <c r="DR42" s="15">
        <v>0</v>
      </c>
      <c r="DS42" s="17">
        <v>0</v>
      </c>
      <c r="DT42" s="15">
        <v>0</v>
      </c>
      <c r="DU42" s="15">
        <v>0</v>
      </c>
      <c r="DV42" s="17">
        <v>0</v>
      </c>
      <c r="DW42" s="87">
        <v>9</v>
      </c>
      <c r="DX42" s="15">
        <v>0</v>
      </c>
      <c r="DY42" s="17">
        <v>0</v>
      </c>
      <c r="DZ42" s="15">
        <v>0</v>
      </c>
      <c r="EA42" s="15">
        <v>0</v>
      </c>
      <c r="EB42" s="17">
        <v>0</v>
      </c>
      <c r="EC42" s="87">
        <v>2</v>
      </c>
      <c r="ED42" s="15">
        <v>0</v>
      </c>
      <c r="EE42" s="17">
        <v>0</v>
      </c>
      <c r="EF42" s="15">
        <v>0</v>
      </c>
      <c r="EG42" s="15">
        <v>0</v>
      </c>
      <c r="EH42" s="17">
        <v>0</v>
      </c>
      <c r="EI42" s="15">
        <v>0</v>
      </c>
      <c r="EJ42" s="15">
        <v>0</v>
      </c>
      <c r="EK42" s="17">
        <v>0</v>
      </c>
      <c r="EL42" s="15">
        <v>0</v>
      </c>
      <c r="EM42" s="15">
        <v>0</v>
      </c>
      <c r="EN42" s="17">
        <v>0</v>
      </c>
      <c r="EO42" s="15">
        <v>0</v>
      </c>
      <c r="EP42" s="15">
        <v>0</v>
      </c>
      <c r="EQ42" s="17">
        <v>0</v>
      </c>
      <c r="ER42" s="87">
        <v>1</v>
      </c>
      <c r="ES42" s="15">
        <v>0</v>
      </c>
      <c r="ET42" s="17">
        <v>0</v>
      </c>
      <c r="EU42" s="15">
        <v>0</v>
      </c>
      <c r="EV42" s="15">
        <v>0</v>
      </c>
      <c r="EW42" s="17">
        <v>0</v>
      </c>
      <c r="EX42" s="15">
        <v>0</v>
      </c>
      <c r="EY42" s="15">
        <v>0</v>
      </c>
      <c r="EZ42" s="17">
        <v>0</v>
      </c>
      <c r="FA42" s="15">
        <v>0</v>
      </c>
      <c r="FB42" s="15">
        <v>0</v>
      </c>
      <c r="FC42" s="17">
        <v>0</v>
      </c>
      <c r="FD42" s="55"/>
      <c r="FE42" s="56"/>
    </row>
    <row r="43" spans="1:161" ht="12.75">
      <c r="A43" s="40">
        <v>43874</v>
      </c>
      <c r="B43" s="84">
        <f t="shared" ref="B43:D43" si="76">SUM(J43,P43,S43,V43,Y43,AB43,AK43,AN43,AQ43,AT43,AW43,AZ43,BC43,BF43,BL43,BO43,BR43,BU43,BX43,CG43,CJ43,CM43,CP43,CS43,CV43,DH43,CY43,DB43,DK43,DN43,DQ43,DT43,DW43,DZ43,EC43,EF43,EI43,EL43,EO43,ER43,EU43,EX43,FA43,)</f>
        <v>46</v>
      </c>
      <c r="C43" s="44">
        <f t="shared" si="76"/>
        <v>0</v>
      </c>
      <c r="D43" s="44">
        <f t="shared" si="76"/>
        <v>0</v>
      </c>
      <c r="E43" s="85">
        <f t="shared" si="1"/>
        <v>46</v>
      </c>
      <c r="F43" s="86">
        <f t="shared" ref="F43:H43" si="77">SUM(P43,S43,V43,AE43,AH43,AK43,AN43,AQ43,AT43,AW43,AZ43,BF43,BL43,BR43,BX43,CG43,CM43,CP43,CV43,DK43,DN43,DQ43,DT43,DZ43,EL43,EO43,ER43)</f>
        <v>35</v>
      </c>
      <c r="G43" s="41">
        <f t="shared" si="77"/>
        <v>0</v>
      </c>
      <c r="H43" s="41">
        <f t="shared" si="77"/>
        <v>0</v>
      </c>
      <c r="I43" s="85">
        <f t="shared" si="3"/>
        <v>35</v>
      </c>
      <c r="J43" s="15">
        <v>0</v>
      </c>
      <c r="K43" s="15">
        <v>0</v>
      </c>
      <c r="L43" s="17">
        <v>0</v>
      </c>
      <c r="M43" s="15">
        <v>0</v>
      </c>
      <c r="N43" s="15">
        <v>0</v>
      </c>
      <c r="O43" s="17">
        <v>0</v>
      </c>
      <c r="P43" s="87">
        <v>16</v>
      </c>
      <c r="Q43" s="15">
        <v>0</v>
      </c>
      <c r="R43" s="17">
        <v>0</v>
      </c>
      <c r="S43" s="15">
        <v>0</v>
      </c>
      <c r="T43" s="15">
        <v>0</v>
      </c>
      <c r="U43" s="17">
        <v>0</v>
      </c>
      <c r="V43" s="87">
        <v>1</v>
      </c>
      <c r="W43" s="15">
        <v>0</v>
      </c>
      <c r="X43" s="17">
        <v>0</v>
      </c>
      <c r="Y43" s="15">
        <v>0</v>
      </c>
      <c r="Z43" s="15">
        <v>0</v>
      </c>
      <c r="AA43" s="17">
        <v>0</v>
      </c>
      <c r="AB43" s="15">
        <v>0</v>
      </c>
      <c r="AC43" s="15">
        <v>0</v>
      </c>
      <c r="AD43" s="17">
        <v>0</v>
      </c>
      <c r="AE43" s="15">
        <v>0</v>
      </c>
      <c r="AF43" s="15">
        <v>0</v>
      </c>
      <c r="AG43" s="17">
        <v>0</v>
      </c>
      <c r="AH43" s="15">
        <v>0</v>
      </c>
      <c r="AI43" s="15">
        <v>0</v>
      </c>
      <c r="AJ43" s="17">
        <v>0</v>
      </c>
      <c r="AK43" s="15">
        <v>0</v>
      </c>
      <c r="AL43" s="15">
        <v>0</v>
      </c>
      <c r="AM43" s="17">
        <v>0</v>
      </c>
      <c r="AN43" s="15">
        <v>0</v>
      </c>
      <c r="AO43" s="15">
        <v>0</v>
      </c>
      <c r="AP43" s="17">
        <v>0</v>
      </c>
      <c r="AQ43" s="87">
        <v>2</v>
      </c>
      <c r="AR43" s="15">
        <v>0</v>
      </c>
      <c r="AS43" s="17">
        <v>0</v>
      </c>
      <c r="AT43" s="15">
        <v>0</v>
      </c>
      <c r="AU43" s="15">
        <v>0</v>
      </c>
      <c r="AV43" s="17">
        <v>0</v>
      </c>
      <c r="AW43" s="87">
        <v>1</v>
      </c>
      <c r="AX43" s="15">
        <v>0</v>
      </c>
      <c r="AY43" s="17">
        <v>0</v>
      </c>
      <c r="AZ43" s="87">
        <v>11</v>
      </c>
      <c r="BA43" s="53">
        <v>0</v>
      </c>
      <c r="BB43" s="17">
        <v>0</v>
      </c>
      <c r="BC43" s="15">
        <v>0</v>
      </c>
      <c r="BD43" s="15">
        <v>0</v>
      </c>
      <c r="BE43" s="17">
        <v>0</v>
      </c>
      <c r="BF43" s="15">
        <v>0</v>
      </c>
      <c r="BG43" s="15">
        <v>0</v>
      </c>
      <c r="BH43" s="17">
        <v>0</v>
      </c>
      <c r="BI43" s="15">
        <v>0</v>
      </c>
      <c r="BJ43" s="15">
        <v>0</v>
      </c>
      <c r="BK43" s="17">
        <v>0</v>
      </c>
      <c r="BL43" s="15">
        <v>0</v>
      </c>
      <c r="BM43" s="15">
        <v>0</v>
      </c>
      <c r="BN43" s="17">
        <v>0</v>
      </c>
      <c r="BO43" s="15">
        <v>0</v>
      </c>
      <c r="BP43" s="15">
        <v>0</v>
      </c>
      <c r="BQ43" s="17">
        <v>0</v>
      </c>
      <c r="BR43" s="15">
        <v>0</v>
      </c>
      <c r="BS43" s="15">
        <v>0</v>
      </c>
      <c r="BT43" s="17">
        <v>0</v>
      </c>
      <c r="BU43" s="15">
        <v>0</v>
      </c>
      <c r="BV43" s="15">
        <v>0</v>
      </c>
      <c r="BW43" s="17">
        <v>0</v>
      </c>
      <c r="BX43" s="87">
        <v>3</v>
      </c>
      <c r="BY43" s="53">
        <v>0</v>
      </c>
      <c r="BZ43" s="17">
        <v>0</v>
      </c>
      <c r="CA43" s="15">
        <v>0</v>
      </c>
      <c r="CB43" s="15">
        <v>0</v>
      </c>
      <c r="CC43" s="17">
        <v>0</v>
      </c>
      <c r="CD43" s="15">
        <v>0</v>
      </c>
      <c r="CE43" s="15">
        <v>0</v>
      </c>
      <c r="CF43" s="17">
        <v>0</v>
      </c>
      <c r="CG43" s="15">
        <v>0</v>
      </c>
      <c r="CH43" s="15">
        <v>0</v>
      </c>
      <c r="CI43" s="17">
        <v>0</v>
      </c>
      <c r="CJ43" s="15">
        <v>0</v>
      </c>
      <c r="CK43" s="15">
        <v>0</v>
      </c>
      <c r="CL43" s="17">
        <v>0</v>
      </c>
      <c r="CM43" s="15">
        <v>0</v>
      </c>
      <c r="CN43" s="15">
        <v>0</v>
      </c>
      <c r="CO43" s="17">
        <v>0</v>
      </c>
      <c r="CP43" s="15">
        <v>0</v>
      </c>
      <c r="CQ43" s="15">
        <v>0</v>
      </c>
      <c r="CR43" s="17">
        <v>0</v>
      </c>
      <c r="CS43" s="15">
        <v>0</v>
      </c>
      <c r="CT43" s="15">
        <v>0</v>
      </c>
      <c r="CU43" s="17">
        <v>0</v>
      </c>
      <c r="CV43" s="15">
        <v>0</v>
      </c>
      <c r="CW43" s="15">
        <v>0</v>
      </c>
      <c r="CX43" s="17">
        <v>0</v>
      </c>
      <c r="CY43" s="15">
        <v>0</v>
      </c>
      <c r="CZ43" s="15">
        <v>0</v>
      </c>
      <c r="DA43" s="17">
        <v>0</v>
      </c>
      <c r="DB43" s="15">
        <v>0</v>
      </c>
      <c r="DC43" s="15">
        <v>0</v>
      </c>
      <c r="DD43" s="17">
        <v>0</v>
      </c>
      <c r="DE43" s="15">
        <v>0</v>
      </c>
      <c r="DF43" s="15">
        <v>0</v>
      </c>
      <c r="DG43" s="17">
        <v>0</v>
      </c>
      <c r="DH43" s="15">
        <v>0</v>
      </c>
      <c r="DI43" s="15">
        <v>0</v>
      </c>
      <c r="DJ43" s="17">
        <v>0</v>
      </c>
      <c r="DK43" s="15">
        <v>0</v>
      </c>
      <c r="DL43" s="15">
        <v>0</v>
      </c>
      <c r="DM43" s="17">
        <v>0</v>
      </c>
      <c r="DN43" s="15">
        <v>0</v>
      </c>
      <c r="DO43" s="15">
        <v>0</v>
      </c>
      <c r="DP43" s="17">
        <v>0</v>
      </c>
      <c r="DQ43" s="15">
        <v>0</v>
      </c>
      <c r="DR43" s="15">
        <v>0</v>
      </c>
      <c r="DS43" s="17">
        <v>0</v>
      </c>
      <c r="DT43" s="15">
        <v>0</v>
      </c>
      <c r="DU43" s="15">
        <v>0</v>
      </c>
      <c r="DV43" s="17">
        <v>0</v>
      </c>
      <c r="DW43" s="87">
        <v>9</v>
      </c>
      <c r="DX43" s="15">
        <v>0</v>
      </c>
      <c r="DY43" s="17">
        <v>0</v>
      </c>
      <c r="DZ43" s="15">
        <v>0</v>
      </c>
      <c r="EA43" s="15">
        <v>0</v>
      </c>
      <c r="EB43" s="17">
        <v>0</v>
      </c>
      <c r="EC43" s="87">
        <v>2</v>
      </c>
      <c r="ED43" s="15">
        <v>0</v>
      </c>
      <c r="EE43" s="17">
        <v>0</v>
      </c>
      <c r="EF43" s="15">
        <v>0</v>
      </c>
      <c r="EG43" s="15">
        <v>0</v>
      </c>
      <c r="EH43" s="17">
        <v>0</v>
      </c>
      <c r="EI43" s="15">
        <v>0</v>
      </c>
      <c r="EJ43" s="15">
        <v>0</v>
      </c>
      <c r="EK43" s="17">
        <v>0</v>
      </c>
      <c r="EL43" s="15">
        <v>0</v>
      </c>
      <c r="EM43" s="15">
        <v>0</v>
      </c>
      <c r="EN43" s="17">
        <v>0</v>
      </c>
      <c r="EO43" s="15">
        <v>0</v>
      </c>
      <c r="EP43" s="15">
        <v>0</v>
      </c>
      <c r="EQ43" s="17">
        <v>0</v>
      </c>
      <c r="ER43" s="87">
        <v>1</v>
      </c>
      <c r="ES43" s="15">
        <v>0</v>
      </c>
      <c r="ET43" s="17">
        <v>0</v>
      </c>
      <c r="EU43" s="15">
        <v>0</v>
      </c>
      <c r="EV43" s="15">
        <v>0</v>
      </c>
      <c r="EW43" s="17">
        <v>0</v>
      </c>
      <c r="EX43" s="15">
        <v>0</v>
      </c>
      <c r="EY43" s="15">
        <v>0</v>
      </c>
      <c r="EZ43" s="17">
        <v>0</v>
      </c>
      <c r="FA43" s="15">
        <v>0</v>
      </c>
      <c r="FB43" s="15">
        <v>0</v>
      </c>
      <c r="FC43" s="17">
        <v>0</v>
      </c>
      <c r="FD43" s="55"/>
      <c r="FE43" s="56"/>
    </row>
    <row r="44" spans="1:161" ht="12.75">
      <c r="A44" s="40">
        <v>43875</v>
      </c>
      <c r="B44" s="84">
        <f t="shared" ref="B44:D44" si="78">SUM(J44,P44,S44,V44,Y44,AB44,AK44,AN44,AQ44,AT44,AW44,AZ44,BC44,BF44,BL44,BO44,BR44,BU44,BX44,CG44,CJ44,CM44,CP44,CS44,CV44,DH44,CY44,DB44,DK44,DN44,DQ44,DT44,DW44,DZ44,EC44,EF44,EI44,EL44,EO44,ER44,EU44,EX44,FA44,)</f>
        <v>46</v>
      </c>
      <c r="C44" s="124">
        <f t="shared" si="78"/>
        <v>1</v>
      </c>
      <c r="D44" s="44">
        <f t="shared" si="78"/>
        <v>0</v>
      </c>
      <c r="E44" s="85">
        <f t="shared" si="1"/>
        <v>45</v>
      </c>
      <c r="F44" s="86">
        <f t="shared" ref="F44:H44" si="79">SUM(P44,S44,V44,AE44,AH44,AK44,AN44,AQ44,AT44,AW44,AZ44,BF44,BL44,BR44,BX44,CG44,CM44,CP44,CV44,DK44,DN44,DQ44,DT44,DZ44,EL44,EO44,ER44)</f>
        <v>35</v>
      </c>
      <c r="G44" s="124">
        <f t="shared" si="79"/>
        <v>1</v>
      </c>
      <c r="H44" s="41">
        <f t="shared" si="79"/>
        <v>0</v>
      </c>
      <c r="I44" s="85">
        <f t="shared" si="3"/>
        <v>34</v>
      </c>
      <c r="J44" s="15">
        <v>0</v>
      </c>
      <c r="K44" s="15">
        <v>0</v>
      </c>
      <c r="L44" s="17">
        <v>0</v>
      </c>
      <c r="M44" s="15">
        <v>0</v>
      </c>
      <c r="N44" s="15">
        <v>0</v>
      </c>
      <c r="O44" s="17">
        <v>0</v>
      </c>
      <c r="P44" s="87">
        <v>16</v>
      </c>
      <c r="Q44" s="15">
        <v>0</v>
      </c>
      <c r="R44" s="17">
        <v>0</v>
      </c>
      <c r="S44" s="15">
        <v>0</v>
      </c>
      <c r="T44" s="15">
        <v>0</v>
      </c>
      <c r="U44" s="17">
        <v>0</v>
      </c>
      <c r="V44" s="87">
        <v>1</v>
      </c>
      <c r="W44" s="15">
        <v>0</v>
      </c>
      <c r="X44" s="17">
        <v>0</v>
      </c>
      <c r="Y44" s="15">
        <v>0</v>
      </c>
      <c r="Z44" s="15">
        <v>0</v>
      </c>
      <c r="AA44" s="17">
        <v>0</v>
      </c>
      <c r="AB44" s="15">
        <v>0</v>
      </c>
      <c r="AC44" s="15">
        <v>0</v>
      </c>
      <c r="AD44" s="17">
        <v>0</v>
      </c>
      <c r="AE44" s="15">
        <v>0</v>
      </c>
      <c r="AF44" s="15">
        <v>0</v>
      </c>
      <c r="AG44" s="17">
        <v>0</v>
      </c>
      <c r="AH44" s="15">
        <v>0</v>
      </c>
      <c r="AI44" s="15">
        <v>0</v>
      </c>
      <c r="AJ44" s="17">
        <v>0</v>
      </c>
      <c r="AK44" s="15">
        <v>0</v>
      </c>
      <c r="AL44" s="15">
        <v>0</v>
      </c>
      <c r="AM44" s="17">
        <v>0</v>
      </c>
      <c r="AN44" s="15">
        <v>0</v>
      </c>
      <c r="AO44" s="15">
        <v>0</v>
      </c>
      <c r="AP44" s="17">
        <v>0</v>
      </c>
      <c r="AQ44" s="87">
        <v>2</v>
      </c>
      <c r="AR44" s="15">
        <v>0</v>
      </c>
      <c r="AS44" s="17">
        <v>0</v>
      </c>
      <c r="AT44" s="15">
        <v>0</v>
      </c>
      <c r="AU44" s="15">
        <v>0</v>
      </c>
      <c r="AV44" s="17">
        <v>0</v>
      </c>
      <c r="AW44" s="87">
        <v>1</v>
      </c>
      <c r="AX44" s="15">
        <v>0</v>
      </c>
      <c r="AY44" s="17">
        <v>0</v>
      </c>
      <c r="AZ44" s="87">
        <v>11</v>
      </c>
      <c r="BA44" s="135">
        <v>1</v>
      </c>
      <c r="BB44" s="17">
        <v>0</v>
      </c>
      <c r="BC44" s="15">
        <v>0</v>
      </c>
      <c r="BD44" s="15">
        <v>0</v>
      </c>
      <c r="BE44" s="17">
        <v>0</v>
      </c>
      <c r="BF44" s="15">
        <v>0</v>
      </c>
      <c r="BG44" s="15">
        <v>0</v>
      </c>
      <c r="BH44" s="17">
        <v>0</v>
      </c>
      <c r="BI44" s="15">
        <v>0</v>
      </c>
      <c r="BJ44" s="15">
        <v>0</v>
      </c>
      <c r="BK44" s="17">
        <v>0</v>
      </c>
      <c r="BL44" s="15">
        <v>0</v>
      </c>
      <c r="BM44" s="15">
        <v>0</v>
      </c>
      <c r="BN44" s="17">
        <v>0</v>
      </c>
      <c r="BO44" s="15">
        <v>0</v>
      </c>
      <c r="BP44" s="15">
        <v>0</v>
      </c>
      <c r="BQ44" s="17">
        <v>0</v>
      </c>
      <c r="BR44" s="15">
        <v>0</v>
      </c>
      <c r="BS44" s="15">
        <v>0</v>
      </c>
      <c r="BT44" s="17">
        <v>0</v>
      </c>
      <c r="BU44" s="15">
        <v>0</v>
      </c>
      <c r="BV44" s="15">
        <v>0</v>
      </c>
      <c r="BW44" s="17">
        <v>0</v>
      </c>
      <c r="BX44" s="87">
        <v>3</v>
      </c>
      <c r="BY44" s="53">
        <v>0</v>
      </c>
      <c r="BZ44" s="17">
        <v>0</v>
      </c>
      <c r="CA44" s="15">
        <v>0</v>
      </c>
      <c r="CB44" s="15">
        <v>0</v>
      </c>
      <c r="CC44" s="17">
        <v>0</v>
      </c>
      <c r="CD44" s="15">
        <v>0</v>
      </c>
      <c r="CE44" s="15">
        <v>0</v>
      </c>
      <c r="CF44" s="17">
        <v>0</v>
      </c>
      <c r="CG44" s="15">
        <v>0</v>
      </c>
      <c r="CH44" s="15">
        <v>0</v>
      </c>
      <c r="CI44" s="17">
        <v>0</v>
      </c>
      <c r="CJ44" s="15">
        <v>0</v>
      </c>
      <c r="CK44" s="15">
        <v>0</v>
      </c>
      <c r="CL44" s="17">
        <v>0</v>
      </c>
      <c r="CM44" s="15">
        <v>0</v>
      </c>
      <c r="CN44" s="15">
        <v>0</v>
      </c>
      <c r="CO44" s="17">
        <v>0</v>
      </c>
      <c r="CP44" s="15">
        <v>0</v>
      </c>
      <c r="CQ44" s="15">
        <v>0</v>
      </c>
      <c r="CR44" s="17">
        <v>0</v>
      </c>
      <c r="CS44" s="15">
        <v>0</v>
      </c>
      <c r="CT44" s="15">
        <v>0</v>
      </c>
      <c r="CU44" s="17">
        <v>0</v>
      </c>
      <c r="CV44" s="15">
        <v>0</v>
      </c>
      <c r="CW44" s="15">
        <v>0</v>
      </c>
      <c r="CX44" s="17">
        <v>0</v>
      </c>
      <c r="CY44" s="15">
        <v>0</v>
      </c>
      <c r="CZ44" s="15">
        <v>0</v>
      </c>
      <c r="DA44" s="17">
        <v>0</v>
      </c>
      <c r="DB44" s="15">
        <v>0</v>
      </c>
      <c r="DC44" s="15">
        <v>0</v>
      </c>
      <c r="DD44" s="17">
        <v>0</v>
      </c>
      <c r="DE44" s="15">
        <v>0</v>
      </c>
      <c r="DF44" s="15">
        <v>0</v>
      </c>
      <c r="DG44" s="17">
        <v>0</v>
      </c>
      <c r="DH44" s="15">
        <v>0</v>
      </c>
      <c r="DI44" s="15">
        <v>0</v>
      </c>
      <c r="DJ44" s="17">
        <v>0</v>
      </c>
      <c r="DK44" s="15">
        <v>0</v>
      </c>
      <c r="DL44" s="15">
        <v>0</v>
      </c>
      <c r="DM44" s="17">
        <v>0</v>
      </c>
      <c r="DN44" s="15">
        <v>0</v>
      </c>
      <c r="DO44" s="15">
        <v>0</v>
      </c>
      <c r="DP44" s="17">
        <v>0</v>
      </c>
      <c r="DQ44" s="15">
        <v>0</v>
      </c>
      <c r="DR44" s="15">
        <v>0</v>
      </c>
      <c r="DS44" s="17">
        <v>0</v>
      </c>
      <c r="DT44" s="15">
        <v>0</v>
      </c>
      <c r="DU44" s="15">
        <v>0</v>
      </c>
      <c r="DV44" s="17">
        <v>0</v>
      </c>
      <c r="DW44" s="87">
        <v>9</v>
      </c>
      <c r="DX44" s="15">
        <v>0</v>
      </c>
      <c r="DY44" s="17">
        <v>0</v>
      </c>
      <c r="DZ44" s="15">
        <v>0</v>
      </c>
      <c r="EA44" s="15">
        <v>0</v>
      </c>
      <c r="EB44" s="17">
        <v>0</v>
      </c>
      <c r="EC44" s="87">
        <v>2</v>
      </c>
      <c r="ED44" s="15">
        <v>0</v>
      </c>
      <c r="EE44" s="17">
        <v>0</v>
      </c>
      <c r="EF44" s="15">
        <v>0</v>
      </c>
      <c r="EG44" s="15">
        <v>0</v>
      </c>
      <c r="EH44" s="17">
        <v>0</v>
      </c>
      <c r="EI44" s="15">
        <v>0</v>
      </c>
      <c r="EJ44" s="15">
        <v>0</v>
      </c>
      <c r="EK44" s="17">
        <v>0</v>
      </c>
      <c r="EL44" s="15">
        <v>0</v>
      </c>
      <c r="EM44" s="15">
        <v>0</v>
      </c>
      <c r="EN44" s="17">
        <v>0</v>
      </c>
      <c r="EO44" s="15">
        <v>0</v>
      </c>
      <c r="EP44" s="15">
        <v>0</v>
      </c>
      <c r="EQ44" s="17">
        <v>0</v>
      </c>
      <c r="ER44" s="87">
        <v>1</v>
      </c>
      <c r="ES44" s="15">
        <v>0</v>
      </c>
      <c r="ET44" s="17">
        <v>0</v>
      </c>
      <c r="EU44" s="15">
        <v>0</v>
      </c>
      <c r="EV44" s="15">
        <v>0</v>
      </c>
      <c r="EW44" s="17">
        <v>0</v>
      </c>
      <c r="EX44" s="15">
        <v>0</v>
      </c>
      <c r="EY44" s="15">
        <v>0</v>
      </c>
      <c r="EZ44" s="17">
        <v>0</v>
      </c>
      <c r="FA44" s="15">
        <v>0</v>
      </c>
      <c r="FB44" s="15">
        <v>0</v>
      </c>
      <c r="FC44" s="17">
        <v>0</v>
      </c>
      <c r="FD44" s="19" t="s">
        <v>204</v>
      </c>
      <c r="FE44" s="88" t="str">
        <f>HYPERLINK("http://video.lefigaro.fr/figaro/video/coronavirus-un-premier-patient-un-touriste-chinois-est-decede-en-france/6132798153001/","http://video.lefigaro.fr/figaro/video/coronavirus-un-premier-patient-un-touriste-chinois-est-decede-en-france/6132798153001/")</f>
        <v>http://video.lefigaro.fr/figaro/video/coronavirus-un-premier-patient-un-touriste-chinois-est-decede-en-france/6132798153001/</v>
      </c>
    </row>
    <row r="45" spans="1:161" ht="12.75">
      <c r="A45" s="40">
        <v>43876</v>
      </c>
      <c r="B45" s="84">
        <f t="shared" ref="B45:D45" si="80">SUM(J45,P45,S45,V45,Y45,AB45,AK45,AN45,AQ45,AT45,AW45,AZ45,BC45,BF45,BL45,BO45,BR45,BU45,BX45,CG45,CJ45,CM45,CP45,CS45,CV45,DH45,CY45,DB45,DK45,DN45,DQ45,DT45,DW45,DZ45,EC45,EF45,EI45,EL45,EO45,ER45,EU45,EX45,FA45,)</f>
        <v>47</v>
      </c>
      <c r="C45" s="124">
        <f t="shared" si="80"/>
        <v>1</v>
      </c>
      <c r="D45" s="44">
        <f t="shared" si="80"/>
        <v>0</v>
      </c>
      <c r="E45" s="85">
        <f t="shared" si="1"/>
        <v>46</v>
      </c>
      <c r="F45" s="86">
        <f t="shared" ref="F45:H45" si="81">SUM(P45,S45,V45,AE45,AH45,AK45,AN45,AQ45,AT45,AW45,AZ45,BF45,BL45,BR45,BX45,CG45,CM45,CP45,CV45,DK45,DN45,DQ45,DT45,DZ45,EL45,EO45,ER45)</f>
        <v>36</v>
      </c>
      <c r="G45" s="124">
        <f t="shared" si="81"/>
        <v>1</v>
      </c>
      <c r="H45" s="41">
        <f t="shared" si="81"/>
        <v>0</v>
      </c>
      <c r="I45" s="85">
        <f t="shared" si="3"/>
        <v>35</v>
      </c>
      <c r="J45" s="15">
        <v>0</v>
      </c>
      <c r="K45" s="15">
        <v>0</v>
      </c>
      <c r="L45" s="17">
        <v>0</v>
      </c>
      <c r="M45" s="15">
        <v>0</v>
      </c>
      <c r="N45" s="15">
        <v>0</v>
      </c>
      <c r="O45" s="17">
        <v>0</v>
      </c>
      <c r="P45" s="87">
        <v>16</v>
      </c>
      <c r="Q45" s="15">
        <v>0</v>
      </c>
      <c r="R45" s="17">
        <v>0</v>
      </c>
      <c r="S45" s="15">
        <v>0</v>
      </c>
      <c r="T45" s="15">
        <v>0</v>
      </c>
      <c r="U45" s="17">
        <v>0</v>
      </c>
      <c r="V45" s="87">
        <v>1</v>
      </c>
      <c r="W45" s="15">
        <v>0</v>
      </c>
      <c r="X45" s="17">
        <v>0</v>
      </c>
      <c r="Y45" s="15">
        <v>0</v>
      </c>
      <c r="Z45" s="15">
        <v>0</v>
      </c>
      <c r="AA45" s="17">
        <v>0</v>
      </c>
      <c r="AB45" s="15">
        <v>0</v>
      </c>
      <c r="AC45" s="15">
        <v>0</v>
      </c>
      <c r="AD45" s="17">
        <v>0</v>
      </c>
      <c r="AE45" s="15">
        <v>0</v>
      </c>
      <c r="AF45" s="15">
        <v>0</v>
      </c>
      <c r="AG45" s="17">
        <v>0</v>
      </c>
      <c r="AH45" s="15">
        <v>0</v>
      </c>
      <c r="AI45" s="15">
        <v>0</v>
      </c>
      <c r="AJ45" s="17">
        <v>0</v>
      </c>
      <c r="AK45" s="15">
        <v>0</v>
      </c>
      <c r="AL45" s="15">
        <v>0</v>
      </c>
      <c r="AM45" s="17">
        <v>0</v>
      </c>
      <c r="AN45" s="15">
        <v>0</v>
      </c>
      <c r="AO45" s="15">
        <v>0</v>
      </c>
      <c r="AP45" s="17">
        <v>0</v>
      </c>
      <c r="AQ45" s="87">
        <v>2</v>
      </c>
      <c r="AR45" s="15">
        <v>0</v>
      </c>
      <c r="AS45" s="17">
        <v>0</v>
      </c>
      <c r="AT45" s="15">
        <v>0</v>
      </c>
      <c r="AU45" s="15">
        <v>0</v>
      </c>
      <c r="AV45" s="17">
        <v>0</v>
      </c>
      <c r="AW45" s="87">
        <v>1</v>
      </c>
      <c r="AX45" s="15">
        <v>0</v>
      </c>
      <c r="AY45" s="17">
        <v>0</v>
      </c>
      <c r="AZ45" s="87">
        <v>12</v>
      </c>
      <c r="BA45" s="135">
        <v>1</v>
      </c>
      <c r="BB45" s="17">
        <v>0</v>
      </c>
      <c r="BC45" s="15">
        <v>0</v>
      </c>
      <c r="BD45" s="15">
        <v>0</v>
      </c>
      <c r="BE45" s="17">
        <v>0</v>
      </c>
      <c r="BF45" s="15">
        <v>0</v>
      </c>
      <c r="BG45" s="15">
        <v>0</v>
      </c>
      <c r="BH45" s="17">
        <v>0</v>
      </c>
      <c r="BI45" s="15">
        <v>0</v>
      </c>
      <c r="BJ45" s="15">
        <v>0</v>
      </c>
      <c r="BK45" s="17">
        <v>0</v>
      </c>
      <c r="BL45" s="15">
        <v>0</v>
      </c>
      <c r="BM45" s="15">
        <v>0</v>
      </c>
      <c r="BN45" s="17">
        <v>0</v>
      </c>
      <c r="BO45" s="15">
        <v>0</v>
      </c>
      <c r="BP45" s="15">
        <v>0</v>
      </c>
      <c r="BQ45" s="17">
        <v>0</v>
      </c>
      <c r="BR45" s="15">
        <v>0</v>
      </c>
      <c r="BS45" s="15">
        <v>0</v>
      </c>
      <c r="BT45" s="17">
        <v>0</v>
      </c>
      <c r="BU45" s="15">
        <v>0</v>
      </c>
      <c r="BV45" s="15">
        <v>0</v>
      </c>
      <c r="BW45" s="17">
        <v>0</v>
      </c>
      <c r="BX45" s="87">
        <v>3</v>
      </c>
      <c r="BY45" s="53">
        <v>0</v>
      </c>
      <c r="BZ45" s="17">
        <v>0</v>
      </c>
      <c r="CA45" s="15">
        <v>0</v>
      </c>
      <c r="CB45" s="15">
        <v>0</v>
      </c>
      <c r="CC45" s="17">
        <v>0</v>
      </c>
      <c r="CD45" s="15">
        <v>0</v>
      </c>
      <c r="CE45" s="15">
        <v>0</v>
      </c>
      <c r="CF45" s="17">
        <v>0</v>
      </c>
      <c r="CG45" s="15">
        <v>0</v>
      </c>
      <c r="CH45" s="15">
        <v>0</v>
      </c>
      <c r="CI45" s="17">
        <v>0</v>
      </c>
      <c r="CJ45" s="15">
        <v>0</v>
      </c>
      <c r="CK45" s="15">
        <v>0</v>
      </c>
      <c r="CL45" s="17">
        <v>0</v>
      </c>
      <c r="CM45" s="15">
        <v>0</v>
      </c>
      <c r="CN45" s="15">
        <v>0</v>
      </c>
      <c r="CO45" s="17">
        <v>0</v>
      </c>
      <c r="CP45" s="15">
        <v>0</v>
      </c>
      <c r="CQ45" s="15">
        <v>0</v>
      </c>
      <c r="CR45" s="17">
        <v>0</v>
      </c>
      <c r="CS45" s="15">
        <v>0</v>
      </c>
      <c r="CT45" s="15">
        <v>0</v>
      </c>
      <c r="CU45" s="17">
        <v>0</v>
      </c>
      <c r="CV45" s="15">
        <v>0</v>
      </c>
      <c r="CW45" s="15">
        <v>0</v>
      </c>
      <c r="CX45" s="17">
        <v>0</v>
      </c>
      <c r="CY45" s="15">
        <v>0</v>
      </c>
      <c r="CZ45" s="15">
        <v>0</v>
      </c>
      <c r="DA45" s="17">
        <v>0</v>
      </c>
      <c r="DB45" s="15">
        <v>0</v>
      </c>
      <c r="DC45" s="15">
        <v>0</v>
      </c>
      <c r="DD45" s="17">
        <v>0</v>
      </c>
      <c r="DE45" s="15">
        <v>0</v>
      </c>
      <c r="DF45" s="15">
        <v>0</v>
      </c>
      <c r="DG45" s="17">
        <v>0</v>
      </c>
      <c r="DH45" s="15">
        <v>0</v>
      </c>
      <c r="DI45" s="15">
        <v>0</v>
      </c>
      <c r="DJ45" s="17">
        <v>0</v>
      </c>
      <c r="DK45" s="15">
        <v>0</v>
      </c>
      <c r="DL45" s="15">
        <v>0</v>
      </c>
      <c r="DM45" s="17">
        <v>0</v>
      </c>
      <c r="DN45" s="15">
        <v>0</v>
      </c>
      <c r="DO45" s="15">
        <v>0</v>
      </c>
      <c r="DP45" s="17">
        <v>0</v>
      </c>
      <c r="DQ45" s="15">
        <v>0</v>
      </c>
      <c r="DR45" s="15">
        <v>0</v>
      </c>
      <c r="DS45" s="17">
        <v>0</v>
      </c>
      <c r="DT45" s="15">
        <v>0</v>
      </c>
      <c r="DU45" s="15">
        <v>0</v>
      </c>
      <c r="DV45" s="17">
        <v>0</v>
      </c>
      <c r="DW45" s="87">
        <v>9</v>
      </c>
      <c r="DX45" s="15">
        <v>0</v>
      </c>
      <c r="DY45" s="17">
        <v>0</v>
      </c>
      <c r="DZ45" s="15">
        <v>0</v>
      </c>
      <c r="EA45" s="15">
        <v>0</v>
      </c>
      <c r="EB45" s="17">
        <v>0</v>
      </c>
      <c r="EC45" s="87">
        <v>2</v>
      </c>
      <c r="ED45" s="15">
        <v>0</v>
      </c>
      <c r="EE45" s="17">
        <v>0</v>
      </c>
      <c r="EF45" s="15">
        <v>0</v>
      </c>
      <c r="EG45" s="15">
        <v>0</v>
      </c>
      <c r="EH45" s="17">
        <v>0</v>
      </c>
      <c r="EI45" s="15">
        <v>0</v>
      </c>
      <c r="EJ45" s="15">
        <v>0</v>
      </c>
      <c r="EK45" s="17">
        <v>0</v>
      </c>
      <c r="EL45" s="15">
        <v>0</v>
      </c>
      <c r="EM45" s="15">
        <v>0</v>
      </c>
      <c r="EN45" s="17">
        <v>0</v>
      </c>
      <c r="EO45" s="15">
        <v>0</v>
      </c>
      <c r="EP45" s="15">
        <v>0</v>
      </c>
      <c r="EQ45" s="17">
        <v>0</v>
      </c>
      <c r="ER45" s="87">
        <v>1</v>
      </c>
      <c r="ES45" s="15">
        <v>0</v>
      </c>
      <c r="ET45" s="17">
        <v>0</v>
      </c>
      <c r="EU45" s="15">
        <v>0</v>
      </c>
      <c r="EV45" s="15">
        <v>0</v>
      </c>
      <c r="EW45" s="17">
        <v>0</v>
      </c>
      <c r="EX45" s="15">
        <v>0</v>
      </c>
      <c r="EY45" s="15">
        <v>0</v>
      </c>
      <c r="EZ45" s="17">
        <v>0</v>
      </c>
      <c r="FA45" s="15">
        <v>0</v>
      </c>
      <c r="FB45" s="15">
        <v>0</v>
      </c>
      <c r="FC45" s="17">
        <v>0</v>
      </c>
      <c r="FD45" s="55"/>
      <c r="FE45" s="77" t="s">
        <v>256</v>
      </c>
    </row>
    <row r="46" spans="1:161" ht="12.75">
      <c r="A46" s="40">
        <v>43877</v>
      </c>
      <c r="B46" s="84">
        <f t="shared" ref="B46:D46" si="82">SUM(J46,P46,S46,V46,Y46,AB46,AK46,AN46,AQ46,AT46,AW46,AZ46,BC46,BF46,BL46,BO46,BR46,BU46,BX46,CG46,CJ46,CM46,CP46,CS46,CV46,DH46,CY46,DB46,DK46,DN46,DQ46,DT46,DW46,DZ46,EC46,EF46,EI46,EL46,EO46,ER46,EU46,EX46,FA46,)</f>
        <v>47</v>
      </c>
      <c r="C46" s="124">
        <f t="shared" si="82"/>
        <v>1</v>
      </c>
      <c r="D46" s="44">
        <f t="shared" si="82"/>
        <v>0</v>
      </c>
      <c r="E46" s="85">
        <f t="shared" si="1"/>
        <v>46</v>
      </c>
      <c r="F46" s="86">
        <f t="shared" ref="F46:H46" si="83">SUM(P46,S46,V46,AE46,AH46,AK46,AN46,AQ46,AT46,AW46,AZ46,BF46,BL46,BR46,BX46,CG46,CM46,CP46,CV46,DK46,DN46,DQ46,DT46,DZ46,EL46,EO46,ER46)</f>
        <v>36</v>
      </c>
      <c r="G46" s="124">
        <f t="shared" si="83"/>
        <v>1</v>
      </c>
      <c r="H46" s="41">
        <f t="shared" si="83"/>
        <v>0</v>
      </c>
      <c r="I46" s="85">
        <f t="shared" si="3"/>
        <v>35</v>
      </c>
      <c r="J46" s="15">
        <v>0</v>
      </c>
      <c r="K46" s="15">
        <v>0</v>
      </c>
      <c r="L46" s="17">
        <v>0</v>
      </c>
      <c r="M46" s="15">
        <v>0</v>
      </c>
      <c r="N46" s="15">
        <v>0</v>
      </c>
      <c r="O46" s="17">
        <v>0</v>
      </c>
      <c r="P46" s="87">
        <v>16</v>
      </c>
      <c r="Q46" s="15">
        <v>0</v>
      </c>
      <c r="R46" s="17">
        <v>0</v>
      </c>
      <c r="S46" s="15">
        <v>0</v>
      </c>
      <c r="T46" s="15">
        <v>0</v>
      </c>
      <c r="U46" s="17">
        <v>0</v>
      </c>
      <c r="V46" s="87">
        <v>1</v>
      </c>
      <c r="W46" s="15">
        <v>0</v>
      </c>
      <c r="X46" s="17">
        <v>0</v>
      </c>
      <c r="Y46" s="15">
        <v>0</v>
      </c>
      <c r="Z46" s="15">
        <v>0</v>
      </c>
      <c r="AA46" s="17">
        <v>0</v>
      </c>
      <c r="AB46" s="15">
        <v>0</v>
      </c>
      <c r="AC46" s="15">
        <v>0</v>
      </c>
      <c r="AD46" s="17">
        <v>0</v>
      </c>
      <c r="AE46" s="15">
        <v>0</v>
      </c>
      <c r="AF46" s="15">
        <v>0</v>
      </c>
      <c r="AG46" s="17">
        <v>0</v>
      </c>
      <c r="AH46" s="15">
        <v>0</v>
      </c>
      <c r="AI46" s="15">
        <v>0</v>
      </c>
      <c r="AJ46" s="17">
        <v>0</v>
      </c>
      <c r="AK46" s="15">
        <v>0</v>
      </c>
      <c r="AL46" s="15">
        <v>0</v>
      </c>
      <c r="AM46" s="17">
        <v>0</v>
      </c>
      <c r="AN46" s="15">
        <v>0</v>
      </c>
      <c r="AO46" s="15">
        <v>0</v>
      </c>
      <c r="AP46" s="17">
        <v>0</v>
      </c>
      <c r="AQ46" s="87">
        <v>2</v>
      </c>
      <c r="AR46" s="15">
        <v>0</v>
      </c>
      <c r="AS46" s="17">
        <v>0</v>
      </c>
      <c r="AT46" s="15">
        <v>0</v>
      </c>
      <c r="AU46" s="15">
        <v>0</v>
      </c>
      <c r="AV46" s="17">
        <v>0</v>
      </c>
      <c r="AW46" s="87">
        <v>1</v>
      </c>
      <c r="AX46" s="15">
        <v>0</v>
      </c>
      <c r="AY46" s="17">
        <v>0</v>
      </c>
      <c r="AZ46" s="87">
        <v>12</v>
      </c>
      <c r="BA46" s="135">
        <v>1</v>
      </c>
      <c r="BB46" s="17">
        <v>0</v>
      </c>
      <c r="BC46" s="15">
        <v>0</v>
      </c>
      <c r="BD46" s="15">
        <v>0</v>
      </c>
      <c r="BE46" s="17">
        <v>0</v>
      </c>
      <c r="BF46" s="15">
        <v>0</v>
      </c>
      <c r="BG46" s="15">
        <v>0</v>
      </c>
      <c r="BH46" s="17">
        <v>0</v>
      </c>
      <c r="BI46" s="15">
        <v>0</v>
      </c>
      <c r="BJ46" s="15">
        <v>0</v>
      </c>
      <c r="BK46" s="17">
        <v>0</v>
      </c>
      <c r="BL46" s="15">
        <v>0</v>
      </c>
      <c r="BM46" s="15">
        <v>0</v>
      </c>
      <c r="BN46" s="17">
        <v>0</v>
      </c>
      <c r="BO46" s="15">
        <v>0</v>
      </c>
      <c r="BP46" s="15">
        <v>0</v>
      </c>
      <c r="BQ46" s="17">
        <v>0</v>
      </c>
      <c r="BR46" s="15">
        <v>0</v>
      </c>
      <c r="BS46" s="15">
        <v>0</v>
      </c>
      <c r="BT46" s="17">
        <v>0</v>
      </c>
      <c r="BU46" s="15">
        <v>0</v>
      </c>
      <c r="BV46" s="15">
        <v>0</v>
      </c>
      <c r="BW46" s="17">
        <v>0</v>
      </c>
      <c r="BX46" s="87">
        <v>3</v>
      </c>
      <c r="BY46" s="53">
        <v>0</v>
      </c>
      <c r="BZ46" s="17">
        <v>0</v>
      </c>
      <c r="CA46" s="15">
        <v>0</v>
      </c>
      <c r="CB46" s="15">
        <v>0</v>
      </c>
      <c r="CC46" s="17">
        <v>0</v>
      </c>
      <c r="CD46" s="15">
        <v>0</v>
      </c>
      <c r="CE46" s="15">
        <v>0</v>
      </c>
      <c r="CF46" s="17">
        <v>0</v>
      </c>
      <c r="CG46" s="15">
        <v>0</v>
      </c>
      <c r="CH46" s="15">
        <v>0</v>
      </c>
      <c r="CI46" s="17">
        <v>0</v>
      </c>
      <c r="CJ46" s="15">
        <v>0</v>
      </c>
      <c r="CK46" s="15">
        <v>0</v>
      </c>
      <c r="CL46" s="17">
        <v>0</v>
      </c>
      <c r="CM46" s="15">
        <v>0</v>
      </c>
      <c r="CN46" s="15">
        <v>0</v>
      </c>
      <c r="CO46" s="17">
        <v>0</v>
      </c>
      <c r="CP46" s="15">
        <v>0</v>
      </c>
      <c r="CQ46" s="15">
        <v>0</v>
      </c>
      <c r="CR46" s="17">
        <v>0</v>
      </c>
      <c r="CS46" s="15">
        <v>0</v>
      </c>
      <c r="CT46" s="15">
        <v>0</v>
      </c>
      <c r="CU46" s="17">
        <v>0</v>
      </c>
      <c r="CV46" s="15">
        <v>0</v>
      </c>
      <c r="CW46" s="15">
        <v>0</v>
      </c>
      <c r="CX46" s="17">
        <v>0</v>
      </c>
      <c r="CY46" s="15">
        <v>0</v>
      </c>
      <c r="CZ46" s="15">
        <v>0</v>
      </c>
      <c r="DA46" s="17">
        <v>0</v>
      </c>
      <c r="DB46" s="15">
        <v>0</v>
      </c>
      <c r="DC46" s="15">
        <v>0</v>
      </c>
      <c r="DD46" s="17">
        <v>0</v>
      </c>
      <c r="DE46" s="15">
        <v>0</v>
      </c>
      <c r="DF46" s="15">
        <v>0</v>
      </c>
      <c r="DG46" s="17">
        <v>0</v>
      </c>
      <c r="DH46" s="15">
        <v>0</v>
      </c>
      <c r="DI46" s="15">
        <v>0</v>
      </c>
      <c r="DJ46" s="17">
        <v>0</v>
      </c>
      <c r="DK46" s="15">
        <v>0</v>
      </c>
      <c r="DL46" s="15">
        <v>0</v>
      </c>
      <c r="DM46" s="17">
        <v>0</v>
      </c>
      <c r="DN46" s="15">
        <v>0</v>
      </c>
      <c r="DO46" s="15">
        <v>0</v>
      </c>
      <c r="DP46" s="17">
        <v>0</v>
      </c>
      <c r="DQ46" s="15">
        <v>0</v>
      </c>
      <c r="DR46" s="15">
        <v>0</v>
      </c>
      <c r="DS46" s="17">
        <v>0</v>
      </c>
      <c r="DT46" s="15">
        <v>0</v>
      </c>
      <c r="DU46" s="15">
        <v>0</v>
      </c>
      <c r="DV46" s="17">
        <v>0</v>
      </c>
      <c r="DW46" s="87">
        <v>9</v>
      </c>
      <c r="DX46" s="15">
        <v>0</v>
      </c>
      <c r="DY46" s="17">
        <v>0</v>
      </c>
      <c r="DZ46" s="15">
        <v>0</v>
      </c>
      <c r="EA46" s="15">
        <v>0</v>
      </c>
      <c r="EB46" s="17">
        <v>0</v>
      </c>
      <c r="EC46" s="87">
        <v>2</v>
      </c>
      <c r="ED46" s="15">
        <v>0</v>
      </c>
      <c r="EE46" s="17">
        <v>0</v>
      </c>
      <c r="EF46" s="15">
        <v>0</v>
      </c>
      <c r="EG46" s="15">
        <v>0</v>
      </c>
      <c r="EH46" s="17">
        <v>0</v>
      </c>
      <c r="EI46" s="15">
        <v>0</v>
      </c>
      <c r="EJ46" s="15">
        <v>0</v>
      </c>
      <c r="EK46" s="17">
        <v>0</v>
      </c>
      <c r="EL46" s="15">
        <v>0</v>
      </c>
      <c r="EM46" s="15">
        <v>0</v>
      </c>
      <c r="EN46" s="17">
        <v>0</v>
      </c>
      <c r="EO46" s="15">
        <v>0</v>
      </c>
      <c r="EP46" s="15">
        <v>0</v>
      </c>
      <c r="EQ46" s="17">
        <v>0</v>
      </c>
      <c r="ER46" s="87">
        <v>1</v>
      </c>
      <c r="ES46" s="15">
        <v>0</v>
      </c>
      <c r="ET46" s="17">
        <v>0</v>
      </c>
      <c r="EU46" s="15">
        <v>0</v>
      </c>
      <c r="EV46" s="15">
        <v>0</v>
      </c>
      <c r="EW46" s="17">
        <v>0</v>
      </c>
      <c r="EX46" s="15">
        <v>0</v>
      </c>
      <c r="EY46" s="15">
        <v>0</v>
      </c>
      <c r="EZ46" s="17">
        <v>0</v>
      </c>
      <c r="FA46" s="15">
        <v>0</v>
      </c>
      <c r="FB46" s="15">
        <v>0</v>
      </c>
      <c r="FC46" s="17">
        <v>0</v>
      </c>
      <c r="FD46" s="55"/>
      <c r="FE46" s="56"/>
    </row>
    <row r="47" spans="1:161" ht="12.75">
      <c r="A47" s="40">
        <v>43878</v>
      </c>
      <c r="B47" s="84">
        <f t="shared" ref="B47:D47" si="84">SUM(J47,P47,S47,V47,Y47,AB47,AK47,AN47,AQ47,AT47,AW47,AZ47,BC47,BF47,BL47,BO47,BR47,BU47,BX47,CG47,CJ47,CM47,CP47,CS47,CV47,DH47,CY47,DB47,DK47,DN47,DQ47,DT47,DW47,DZ47,EC47,EF47,EI47,EL47,EO47,ER47,EU47,EX47,FA47,)</f>
        <v>47</v>
      </c>
      <c r="C47" s="124">
        <f t="shared" si="84"/>
        <v>1</v>
      </c>
      <c r="D47" s="44">
        <f t="shared" si="84"/>
        <v>0</v>
      </c>
      <c r="E47" s="85">
        <f t="shared" si="1"/>
        <v>46</v>
      </c>
      <c r="F47" s="86">
        <f t="shared" ref="F47:H47" si="85">SUM(P47,S47,V47,AE47,AH47,AK47,AN47,AQ47,AT47,AW47,AZ47,BF47,BL47,BR47,BX47,CG47,CM47,CP47,CV47,DK47,DN47,DQ47,DT47,DZ47,EL47,EO47,ER47)</f>
        <v>36</v>
      </c>
      <c r="G47" s="124">
        <f t="shared" si="85"/>
        <v>1</v>
      </c>
      <c r="H47" s="41">
        <f t="shared" si="85"/>
        <v>0</v>
      </c>
      <c r="I47" s="85">
        <f t="shared" si="3"/>
        <v>35</v>
      </c>
      <c r="J47" s="15">
        <v>0</v>
      </c>
      <c r="K47" s="15">
        <v>0</v>
      </c>
      <c r="L47" s="17">
        <v>0</v>
      </c>
      <c r="M47" s="15">
        <v>0</v>
      </c>
      <c r="N47" s="15">
        <v>0</v>
      </c>
      <c r="O47" s="17">
        <v>0</v>
      </c>
      <c r="P47" s="87">
        <v>16</v>
      </c>
      <c r="Q47" s="15">
        <v>0</v>
      </c>
      <c r="R47" s="17">
        <v>0</v>
      </c>
      <c r="S47" s="15">
        <v>0</v>
      </c>
      <c r="T47" s="15">
        <v>0</v>
      </c>
      <c r="U47" s="17">
        <v>0</v>
      </c>
      <c r="V47" s="87">
        <v>1</v>
      </c>
      <c r="W47" s="15">
        <v>0</v>
      </c>
      <c r="X47" s="17">
        <v>0</v>
      </c>
      <c r="Y47" s="15">
        <v>0</v>
      </c>
      <c r="Z47" s="15">
        <v>0</v>
      </c>
      <c r="AA47" s="17">
        <v>0</v>
      </c>
      <c r="AB47" s="15">
        <v>0</v>
      </c>
      <c r="AC47" s="15">
        <v>0</v>
      </c>
      <c r="AD47" s="17">
        <v>0</v>
      </c>
      <c r="AE47" s="15">
        <v>0</v>
      </c>
      <c r="AF47" s="15">
        <v>0</v>
      </c>
      <c r="AG47" s="17">
        <v>0</v>
      </c>
      <c r="AH47" s="15">
        <v>0</v>
      </c>
      <c r="AI47" s="15">
        <v>0</v>
      </c>
      <c r="AJ47" s="17">
        <v>0</v>
      </c>
      <c r="AK47" s="15">
        <v>0</v>
      </c>
      <c r="AL47" s="15">
        <v>0</v>
      </c>
      <c r="AM47" s="17">
        <v>0</v>
      </c>
      <c r="AN47" s="15">
        <v>0</v>
      </c>
      <c r="AO47" s="15">
        <v>0</v>
      </c>
      <c r="AP47" s="17">
        <v>0</v>
      </c>
      <c r="AQ47" s="87">
        <v>2</v>
      </c>
      <c r="AR47" s="15">
        <v>0</v>
      </c>
      <c r="AS47" s="17">
        <v>0</v>
      </c>
      <c r="AT47" s="15">
        <v>0</v>
      </c>
      <c r="AU47" s="15">
        <v>0</v>
      </c>
      <c r="AV47" s="17">
        <v>0</v>
      </c>
      <c r="AW47" s="87">
        <v>1</v>
      </c>
      <c r="AX47" s="15">
        <v>0</v>
      </c>
      <c r="AY47" s="17">
        <v>0</v>
      </c>
      <c r="AZ47" s="87">
        <v>12</v>
      </c>
      <c r="BA47" s="135">
        <v>1</v>
      </c>
      <c r="BB47" s="17">
        <v>0</v>
      </c>
      <c r="BC47" s="15">
        <v>0</v>
      </c>
      <c r="BD47" s="15">
        <v>0</v>
      </c>
      <c r="BE47" s="17">
        <v>0</v>
      </c>
      <c r="BF47" s="15">
        <v>0</v>
      </c>
      <c r="BG47" s="15">
        <v>0</v>
      </c>
      <c r="BH47" s="17">
        <v>0</v>
      </c>
      <c r="BI47" s="15">
        <v>0</v>
      </c>
      <c r="BJ47" s="15">
        <v>0</v>
      </c>
      <c r="BK47" s="17">
        <v>0</v>
      </c>
      <c r="BL47" s="15">
        <v>0</v>
      </c>
      <c r="BM47" s="15">
        <v>0</v>
      </c>
      <c r="BN47" s="17">
        <v>0</v>
      </c>
      <c r="BO47" s="15">
        <v>0</v>
      </c>
      <c r="BP47" s="15">
        <v>0</v>
      </c>
      <c r="BQ47" s="17">
        <v>0</v>
      </c>
      <c r="BR47" s="15">
        <v>0</v>
      </c>
      <c r="BS47" s="15">
        <v>0</v>
      </c>
      <c r="BT47" s="17">
        <v>0</v>
      </c>
      <c r="BU47" s="15">
        <v>0</v>
      </c>
      <c r="BV47" s="15">
        <v>0</v>
      </c>
      <c r="BW47" s="17">
        <v>0</v>
      </c>
      <c r="BX47" s="87">
        <v>3</v>
      </c>
      <c r="BY47" s="53">
        <v>0</v>
      </c>
      <c r="BZ47" s="17">
        <v>0</v>
      </c>
      <c r="CA47" s="15">
        <v>0</v>
      </c>
      <c r="CB47" s="15">
        <v>0</v>
      </c>
      <c r="CC47" s="17">
        <v>0</v>
      </c>
      <c r="CD47" s="15">
        <v>0</v>
      </c>
      <c r="CE47" s="15">
        <v>0</v>
      </c>
      <c r="CF47" s="17">
        <v>0</v>
      </c>
      <c r="CG47" s="15">
        <v>0</v>
      </c>
      <c r="CH47" s="15">
        <v>0</v>
      </c>
      <c r="CI47" s="17">
        <v>0</v>
      </c>
      <c r="CJ47" s="15">
        <v>0</v>
      </c>
      <c r="CK47" s="15">
        <v>0</v>
      </c>
      <c r="CL47" s="17">
        <v>0</v>
      </c>
      <c r="CM47" s="15">
        <v>0</v>
      </c>
      <c r="CN47" s="15">
        <v>0</v>
      </c>
      <c r="CO47" s="17">
        <v>0</v>
      </c>
      <c r="CP47" s="15">
        <v>0</v>
      </c>
      <c r="CQ47" s="15">
        <v>0</v>
      </c>
      <c r="CR47" s="17">
        <v>0</v>
      </c>
      <c r="CS47" s="15">
        <v>0</v>
      </c>
      <c r="CT47" s="15">
        <v>0</v>
      </c>
      <c r="CU47" s="17">
        <v>0</v>
      </c>
      <c r="CV47" s="15">
        <v>0</v>
      </c>
      <c r="CW47" s="15">
        <v>0</v>
      </c>
      <c r="CX47" s="17">
        <v>0</v>
      </c>
      <c r="CY47" s="15">
        <v>0</v>
      </c>
      <c r="CZ47" s="15">
        <v>0</v>
      </c>
      <c r="DA47" s="17">
        <v>0</v>
      </c>
      <c r="DB47" s="15">
        <v>0</v>
      </c>
      <c r="DC47" s="15">
        <v>0</v>
      </c>
      <c r="DD47" s="17">
        <v>0</v>
      </c>
      <c r="DE47" s="15">
        <v>0</v>
      </c>
      <c r="DF47" s="15">
        <v>0</v>
      </c>
      <c r="DG47" s="17">
        <v>0</v>
      </c>
      <c r="DH47" s="15">
        <v>0</v>
      </c>
      <c r="DI47" s="15">
        <v>0</v>
      </c>
      <c r="DJ47" s="17">
        <v>0</v>
      </c>
      <c r="DK47" s="15">
        <v>0</v>
      </c>
      <c r="DL47" s="15">
        <v>0</v>
      </c>
      <c r="DM47" s="17">
        <v>0</v>
      </c>
      <c r="DN47" s="15">
        <v>0</v>
      </c>
      <c r="DO47" s="15">
        <v>0</v>
      </c>
      <c r="DP47" s="17">
        <v>0</v>
      </c>
      <c r="DQ47" s="15">
        <v>0</v>
      </c>
      <c r="DR47" s="15">
        <v>0</v>
      </c>
      <c r="DS47" s="17">
        <v>0</v>
      </c>
      <c r="DT47" s="15">
        <v>0</v>
      </c>
      <c r="DU47" s="15">
        <v>0</v>
      </c>
      <c r="DV47" s="17">
        <v>0</v>
      </c>
      <c r="DW47" s="87">
        <v>9</v>
      </c>
      <c r="DX47" s="15">
        <v>0</v>
      </c>
      <c r="DY47" s="17">
        <v>0</v>
      </c>
      <c r="DZ47" s="15">
        <v>0</v>
      </c>
      <c r="EA47" s="15">
        <v>0</v>
      </c>
      <c r="EB47" s="17">
        <v>0</v>
      </c>
      <c r="EC47" s="87">
        <v>2</v>
      </c>
      <c r="ED47" s="15">
        <v>0</v>
      </c>
      <c r="EE47" s="17">
        <v>0</v>
      </c>
      <c r="EF47" s="15">
        <v>0</v>
      </c>
      <c r="EG47" s="15">
        <v>0</v>
      </c>
      <c r="EH47" s="17">
        <v>0</v>
      </c>
      <c r="EI47" s="15">
        <v>0</v>
      </c>
      <c r="EJ47" s="15">
        <v>0</v>
      </c>
      <c r="EK47" s="17">
        <v>0</v>
      </c>
      <c r="EL47" s="15">
        <v>0</v>
      </c>
      <c r="EM47" s="15">
        <v>0</v>
      </c>
      <c r="EN47" s="17">
        <v>0</v>
      </c>
      <c r="EO47" s="15">
        <v>0</v>
      </c>
      <c r="EP47" s="15">
        <v>0</v>
      </c>
      <c r="EQ47" s="17">
        <v>0</v>
      </c>
      <c r="ER47" s="87">
        <v>1</v>
      </c>
      <c r="ES47" s="15">
        <v>0</v>
      </c>
      <c r="ET47" s="17">
        <v>0</v>
      </c>
      <c r="EU47" s="15">
        <v>0</v>
      </c>
      <c r="EV47" s="15">
        <v>0</v>
      </c>
      <c r="EW47" s="17">
        <v>0</v>
      </c>
      <c r="EX47" s="15">
        <v>0</v>
      </c>
      <c r="EY47" s="15">
        <v>0</v>
      </c>
      <c r="EZ47" s="17">
        <v>0</v>
      </c>
      <c r="FA47" s="15">
        <v>0</v>
      </c>
      <c r="FB47" s="15">
        <v>0</v>
      </c>
      <c r="FC47" s="17">
        <v>0</v>
      </c>
      <c r="FD47" s="55"/>
      <c r="FE47" s="56"/>
    </row>
    <row r="48" spans="1:161" ht="12.75">
      <c r="A48" s="40">
        <v>43879</v>
      </c>
      <c r="B48" s="84">
        <f t="shared" ref="B48:D48" si="86">SUM(J48,P48,S48,V48,Y48,AB48,AK48,AN48,AQ48,AT48,AW48,AZ48,BC48,BF48,BL48,BO48,BR48,BU48,BX48,CG48,CJ48,CM48,CP48,CS48,CV48,DH48,CY48,DB48,DK48,DN48,DQ48,DT48,DW48,DZ48,EC48,EF48,EI48,EL48,EO48,ER48,EU48,EX48,FA48,)</f>
        <v>47</v>
      </c>
      <c r="C48" s="124">
        <f t="shared" si="86"/>
        <v>1</v>
      </c>
      <c r="D48" s="44">
        <f t="shared" si="86"/>
        <v>0</v>
      </c>
      <c r="E48" s="85">
        <f t="shared" si="1"/>
        <v>46</v>
      </c>
      <c r="F48" s="86">
        <f t="shared" ref="F48:H48" si="87">SUM(P48,S48,V48,AE48,AH48,AK48,AN48,AQ48,AT48,AW48,AZ48,BF48,BL48,BR48,BX48,CG48,CM48,CP48,CV48,DK48,DN48,DQ48,DT48,DZ48,EL48,EO48,ER48)</f>
        <v>36</v>
      </c>
      <c r="G48" s="124">
        <f t="shared" si="87"/>
        <v>1</v>
      </c>
      <c r="H48" s="41">
        <f t="shared" si="87"/>
        <v>0</v>
      </c>
      <c r="I48" s="85">
        <f t="shared" si="3"/>
        <v>35</v>
      </c>
      <c r="J48" s="15">
        <v>0</v>
      </c>
      <c r="K48" s="15">
        <v>0</v>
      </c>
      <c r="L48" s="17">
        <v>0</v>
      </c>
      <c r="M48" s="15">
        <v>0</v>
      </c>
      <c r="N48" s="15">
        <v>0</v>
      </c>
      <c r="O48" s="17">
        <v>0</v>
      </c>
      <c r="P48" s="87">
        <v>16</v>
      </c>
      <c r="Q48" s="15">
        <v>0</v>
      </c>
      <c r="R48" s="17">
        <v>0</v>
      </c>
      <c r="S48" s="15">
        <v>0</v>
      </c>
      <c r="T48" s="15">
        <v>0</v>
      </c>
      <c r="U48" s="17">
        <v>0</v>
      </c>
      <c r="V48" s="87">
        <v>1</v>
      </c>
      <c r="W48" s="15">
        <v>0</v>
      </c>
      <c r="X48" s="17">
        <v>0</v>
      </c>
      <c r="Y48" s="15">
        <v>0</v>
      </c>
      <c r="Z48" s="15">
        <v>0</v>
      </c>
      <c r="AA48" s="17">
        <v>0</v>
      </c>
      <c r="AB48" s="15">
        <v>0</v>
      </c>
      <c r="AC48" s="15">
        <v>0</v>
      </c>
      <c r="AD48" s="17">
        <v>0</v>
      </c>
      <c r="AE48" s="15">
        <v>0</v>
      </c>
      <c r="AF48" s="15">
        <v>0</v>
      </c>
      <c r="AG48" s="17">
        <v>0</v>
      </c>
      <c r="AH48" s="15">
        <v>0</v>
      </c>
      <c r="AI48" s="15">
        <v>0</v>
      </c>
      <c r="AJ48" s="17">
        <v>0</v>
      </c>
      <c r="AK48" s="15">
        <v>0</v>
      </c>
      <c r="AL48" s="15">
        <v>0</v>
      </c>
      <c r="AM48" s="17">
        <v>0</v>
      </c>
      <c r="AN48" s="15">
        <v>0</v>
      </c>
      <c r="AO48" s="15">
        <v>0</v>
      </c>
      <c r="AP48" s="17">
        <v>0</v>
      </c>
      <c r="AQ48" s="87">
        <v>2</v>
      </c>
      <c r="AR48" s="15">
        <v>0</v>
      </c>
      <c r="AS48" s="17">
        <v>0</v>
      </c>
      <c r="AT48" s="15">
        <v>0</v>
      </c>
      <c r="AU48" s="15">
        <v>0</v>
      </c>
      <c r="AV48" s="17">
        <v>0</v>
      </c>
      <c r="AW48" s="87">
        <v>1</v>
      </c>
      <c r="AX48" s="15">
        <v>0</v>
      </c>
      <c r="AY48" s="17">
        <v>0</v>
      </c>
      <c r="AZ48" s="87">
        <v>12</v>
      </c>
      <c r="BA48" s="135">
        <v>1</v>
      </c>
      <c r="BB48" s="17">
        <v>0</v>
      </c>
      <c r="BC48" s="15">
        <v>0</v>
      </c>
      <c r="BD48" s="15">
        <v>0</v>
      </c>
      <c r="BE48" s="17">
        <v>0</v>
      </c>
      <c r="BF48" s="15">
        <v>0</v>
      </c>
      <c r="BG48" s="15">
        <v>0</v>
      </c>
      <c r="BH48" s="17">
        <v>0</v>
      </c>
      <c r="BI48" s="15">
        <v>0</v>
      </c>
      <c r="BJ48" s="15">
        <v>0</v>
      </c>
      <c r="BK48" s="17">
        <v>0</v>
      </c>
      <c r="BL48" s="15">
        <v>0</v>
      </c>
      <c r="BM48" s="15">
        <v>0</v>
      </c>
      <c r="BN48" s="17">
        <v>0</v>
      </c>
      <c r="BO48" s="15">
        <v>0</v>
      </c>
      <c r="BP48" s="15">
        <v>0</v>
      </c>
      <c r="BQ48" s="17">
        <v>0</v>
      </c>
      <c r="BR48" s="15">
        <v>0</v>
      </c>
      <c r="BS48" s="15">
        <v>0</v>
      </c>
      <c r="BT48" s="17">
        <v>0</v>
      </c>
      <c r="BU48" s="15">
        <v>0</v>
      </c>
      <c r="BV48" s="15">
        <v>0</v>
      </c>
      <c r="BW48" s="17">
        <v>0</v>
      </c>
      <c r="BX48" s="87">
        <v>3</v>
      </c>
      <c r="BY48" s="53">
        <v>0</v>
      </c>
      <c r="BZ48" s="17">
        <v>0</v>
      </c>
      <c r="CA48" s="15">
        <v>0</v>
      </c>
      <c r="CB48" s="15">
        <v>0</v>
      </c>
      <c r="CC48" s="17">
        <v>0</v>
      </c>
      <c r="CD48" s="15">
        <v>0</v>
      </c>
      <c r="CE48" s="15">
        <v>0</v>
      </c>
      <c r="CF48" s="17">
        <v>0</v>
      </c>
      <c r="CG48" s="15">
        <v>0</v>
      </c>
      <c r="CH48" s="15">
        <v>0</v>
      </c>
      <c r="CI48" s="17">
        <v>0</v>
      </c>
      <c r="CJ48" s="15">
        <v>0</v>
      </c>
      <c r="CK48" s="15">
        <v>0</v>
      </c>
      <c r="CL48" s="17">
        <v>0</v>
      </c>
      <c r="CM48" s="15">
        <v>0</v>
      </c>
      <c r="CN48" s="15">
        <v>0</v>
      </c>
      <c r="CO48" s="17">
        <v>0</v>
      </c>
      <c r="CP48" s="15">
        <v>0</v>
      </c>
      <c r="CQ48" s="15">
        <v>0</v>
      </c>
      <c r="CR48" s="17">
        <v>0</v>
      </c>
      <c r="CS48" s="15">
        <v>0</v>
      </c>
      <c r="CT48" s="15">
        <v>0</v>
      </c>
      <c r="CU48" s="17">
        <v>0</v>
      </c>
      <c r="CV48" s="15">
        <v>0</v>
      </c>
      <c r="CW48" s="15">
        <v>0</v>
      </c>
      <c r="CX48" s="17">
        <v>0</v>
      </c>
      <c r="CY48" s="15">
        <v>0</v>
      </c>
      <c r="CZ48" s="15">
        <v>0</v>
      </c>
      <c r="DA48" s="17">
        <v>0</v>
      </c>
      <c r="DB48" s="15">
        <v>0</v>
      </c>
      <c r="DC48" s="15">
        <v>0</v>
      </c>
      <c r="DD48" s="17">
        <v>0</v>
      </c>
      <c r="DE48" s="15">
        <v>0</v>
      </c>
      <c r="DF48" s="15">
        <v>0</v>
      </c>
      <c r="DG48" s="17">
        <v>0</v>
      </c>
      <c r="DH48" s="15">
        <v>0</v>
      </c>
      <c r="DI48" s="15">
        <v>0</v>
      </c>
      <c r="DJ48" s="17">
        <v>0</v>
      </c>
      <c r="DK48" s="15">
        <v>0</v>
      </c>
      <c r="DL48" s="15">
        <v>0</v>
      </c>
      <c r="DM48" s="17">
        <v>0</v>
      </c>
      <c r="DN48" s="15">
        <v>0</v>
      </c>
      <c r="DO48" s="15">
        <v>0</v>
      </c>
      <c r="DP48" s="17">
        <v>0</v>
      </c>
      <c r="DQ48" s="15">
        <v>0</v>
      </c>
      <c r="DR48" s="15">
        <v>0</v>
      </c>
      <c r="DS48" s="17">
        <v>0</v>
      </c>
      <c r="DT48" s="15">
        <v>0</v>
      </c>
      <c r="DU48" s="15">
        <v>0</v>
      </c>
      <c r="DV48" s="17">
        <v>0</v>
      </c>
      <c r="DW48" s="87">
        <v>9</v>
      </c>
      <c r="DX48" s="15">
        <v>0</v>
      </c>
      <c r="DY48" s="17">
        <v>0</v>
      </c>
      <c r="DZ48" s="15">
        <v>0</v>
      </c>
      <c r="EA48" s="15">
        <v>0</v>
      </c>
      <c r="EB48" s="17">
        <v>0</v>
      </c>
      <c r="EC48" s="87">
        <v>2</v>
      </c>
      <c r="ED48" s="15">
        <v>0</v>
      </c>
      <c r="EE48" s="17">
        <v>0</v>
      </c>
      <c r="EF48" s="15">
        <v>0</v>
      </c>
      <c r="EG48" s="15">
        <v>0</v>
      </c>
      <c r="EH48" s="17">
        <v>0</v>
      </c>
      <c r="EI48" s="15">
        <v>0</v>
      </c>
      <c r="EJ48" s="15">
        <v>0</v>
      </c>
      <c r="EK48" s="17">
        <v>0</v>
      </c>
      <c r="EL48" s="15">
        <v>0</v>
      </c>
      <c r="EM48" s="15">
        <v>0</v>
      </c>
      <c r="EN48" s="17">
        <v>0</v>
      </c>
      <c r="EO48" s="15">
        <v>0</v>
      </c>
      <c r="EP48" s="15">
        <v>0</v>
      </c>
      <c r="EQ48" s="17">
        <v>0</v>
      </c>
      <c r="ER48" s="87">
        <v>1</v>
      </c>
      <c r="ES48" s="15">
        <v>0</v>
      </c>
      <c r="ET48" s="17">
        <v>0</v>
      </c>
      <c r="EU48" s="15">
        <v>0</v>
      </c>
      <c r="EV48" s="15">
        <v>0</v>
      </c>
      <c r="EW48" s="17">
        <v>0</v>
      </c>
      <c r="EX48" s="15">
        <v>0</v>
      </c>
      <c r="EY48" s="15">
        <v>0</v>
      </c>
      <c r="EZ48" s="17">
        <v>0</v>
      </c>
      <c r="FA48" s="15">
        <v>0</v>
      </c>
      <c r="FB48" s="15">
        <v>0</v>
      </c>
      <c r="FC48" s="17">
        <v>0</v>
      </c>
      <c r="FD48" s="55"/>
      <c r="FE48" s="56"/>
    </row>
    <row r="49" spans="1:161" ht="12.75">
      <c r="A49" s="40">
        <v>43880</v>
      </c>
      <c r="B49" s="84">
        <f t="shared" ref="B49:D49" si="88">SUM(J49,P49,S49,V49,Y49,AB49,AK49,AN49,AQ49,AT49,AW49,AZ49,BC49,BF49,BL49,BO49,BR49,BU49,BX49,CG49,CJ49,CM49,CP49,CS49,CV49,DH49,CY49,DB49,DK49,DN49,DQ49,DT49,DW49,DZ49,EC49,EF49,EI49,EL49,EO49,ER49,EU49,EX49,FA49,)</f>
        <v>47</v>
      </c>
      <c r="C49" s="124">
        <f t="shared" si="88"/>
        <v>1</v>
      </c>
      <c r="D49" s="44">
        <f t="shared" si="88"/>
        <v>0</v>
      </c>
      <c r="E49" s="85">
        <f t="shared" si="1"/>
        <v>46</v>
      </c>
      <c r="F49" s="86">
        <f t="shared" ref="F49:H49" si="89">SUM(P49,S49,V49,AE49,AH49,AK49,AN49,AQ49,AT49,AW49,AZ49,BF49,BL49,BR49,BX49,CG49,CM49,CP49,CV49,DK49,DN49,DQ49,DT49,DZ49,EL49,EO49,ER49)</f>
        <v>36</v>
      </c>
      <c r="G49" s="124">
        <f t="shared" si="89"/>
        <v>1</v>
      </c>
      <c r="H49" s="41">
        <f t="shared" si="89"/>
        <v>0</v>
      </c>
      <c r="I49" s="85">
        <f t="shared" si="3"/>
        <v>35</v>
      </c>
      <c r="J49" s="15">
        <v>0</v>
      </c>
      <c r="K49" s="15">
        <v>0</v>
      </c>
      <c r="L49" s="17">
        <v>0</v>
      </c>
      <c r="M49" s="15">
        <v>0</v>
      </c>
      <c r="N49" s="15">
        <v>0</v>
      </c>
      <c r="O49" s="17">
        <v>0</v>
      </c>
      <c r="P49" s="87">
        <v>16</v>
      </c>
      <c r="Q49" s="15">
        <v>0</v>
      </c>
      <c r="R49" s="17">
        <v>0</v>
      </c>
      <c r="S49" s="15">
        <v>0</v>
      </c>
      <c r="T49" s="15">
        <v>0</v>
      </c>
      <c r="U49" s="17">
        <v>0</v>
      </c>
      <c r="V49" s="87">
        <v>1</v>
      </c>
      <c r="W49" s="15">
        <v>0</v>
      </c>
      <c r="X49" s="17">
        <v>0</v>
      </c>
      <c r="Y49" s="15">
        <v>0</v>
      </c>
      <c r="Z49" s="15">
        <v>0</v>
      </c>
      <c r="AA49" s="17">
        <v>0</v>
      </c>
      <c r="AB49" s="15">
        <v>0</v>
      </c>
      <c r="AC49" s="15">
        <v>0</v>
      </c>
      <c r="AD49" s="17">
        <v>0</v>
      </c>
      <c r="AE49" s="15">
        <v>0</v>
      </c>
      <c r="AF49" s="15">
        <v>0</v>
      </c>
      <c r="AG49" s="17">
        <v>0</v>
      </c>
      <c r="AH49" s="15">
        <v>0</v>
      </c>
      <c r="AI49" s="15">
        <v>0</v>
      </c>
      <c r="AJ49" s="17">
        <v>0</v>
      </c>
      <c r="AK49" s="15">
        <v>0</v>
      </c>
      <c r="AL49" s="15">
        <v>0</v>
      </c>
      <c r="AM49" s="17">
        <v>0</v>
      </c>
      <c r="AN49" s="15">
        <v>0</v>
      </c>
      <c r="AO49" s="15">
        <v>0</v>
      </c>
      <c r="AP49" s="17">
        <v>0</v>
      </c>
      <c r="AQ49" s="87">
        <v>2</v>
      </c>
      <c r="AR49" s="15">
        <v>0</v>
      </c>
      <c r="AS49" s="17">
        <v>0</v>
      </c>
      <c r="AT49" s="15">
        <v>0</v>
      </c>
      <c r="AU49" s="15">
        <v>0</v>
      </c>
      <c r="AV49" s="17">
        <v>0</v>
      </c>
      <c r="AW49" s="87">
        <v>1</v>
      </c>
      <c r="AX49" s="15">
        <v>0</v>
      </c>
      <c r="AY49" s="17">
        <v>0</v>
      </c>
      <c r="AZ49" s="87">
        <v>12</v>
      </c>
      <c r="BA49" s="135">
        <v>1</v>
      </c>
      <c r="BB49" s="17">
        <v>0</v>
      </c>
      <c r="BC49" s="15">
        <v>0</v>
      </c>
      <c r="BD49" s="15">
        <v>0</v>
      </c>
      <c r="BE49" s="17">
        <v>0</v>
      </c>
      <c r="BF49" s="15">
        <v>0</v>
      </c>
      <c r="BG49" s="15">
        <v>0</v>
      </c>
      <c r="BH49" s="17">
        <v>0</v>
      </c>
      <c r="BI49" s="15">
        <v>0</v>
      </c>
      <c r="BJ49" s="15">
        <v>0</v>
      </c>
      <c r="BK49" s="17">
        <v>0</v>
      </c>
      <c r="BL49" s="15">
        <v>0</v>
      </c>
      <c r="BM49" s="15">
        <v>0</v>
      </c>
      <c r="BN49" s="17">
        <v>0</v>
      </c>
      <c r="BO49" s="15">
        <v>0</v>
      </c>
      <c r="BP49" s="15">
        <v>0</v>
      </c>
      <c r="BQ49" s="17">
        <v>0</v>
      </c>
      <c r="BR49" s="15">
        <v>0</v>
      </c>
      <c r="BS49" s="15">
        <v>0</v>
      </c>
      <c r="BT49" s="17">
        <v>0</v>
      </c>
      <c r="BU49" s="15">
        <v>0</v>
      </c>
      <c r="BV49" s="15">
        <v>0</v>
      </c>
      <c r="BW49" s="17">
        <v>0</v>
      </c>
      <c r="BX49" s="87">
        <v>3</v>
      </c>
      <c r="BY49" s="53">
        <v>0</v>
      </c>
      <c r="BZ49" s="17">
        <v>0</v>
      </c>
      <c r="CA49" s="15">
        <v>0</v>
      </c>
      <c r="CB49" s="15">
        <v>0</v>
      </c>
      <c r="CC49" s="17">
        <v>0</v>
      </c>
      <c r="CD49" s="15">
        <v>0</v>
      </c>
      <c r="CE49" s="15">
        <v>0</v>
      </c>
      <c r="CF49" s="17">
        <v>0</v>
      </c>
      <c r="CG49" s="15">
        <v>0</v>
      </c>
      <c r="CH49" s="15">
        <v>0</v>
      </c>
      <c r="CI49" s="17">
        <v>0</v>
      </c>
      <c r="CJ49" s="15">
        <v>0</v>
      </c>
      <c r="CK49" s="15">
        <v>0</v>
      </c>
      <c r="CL49" s="17">
        <v>0</v>
      </c>
      <c r="CM49" s="15">
        <v>0</v>
      </c>
      <c r="CN49" s="15">
        <v>0</v>
      </c>
      <c r="CO49" s="17">
        <v>0</v>
      </c>
      <c r="CP49" s="15">
        <v>0</v>
      </c>
      <c r="CQ49" s="15">
        <v>0</v>
      </c>
      <c r="CR49" s="17">
        <v>0</v>
      </c>
      <c r="CS49" s="15">
        <v>0</v>
      </c>
      <c r="CT49" s="15">
        <v>0</v>
      </c>
      <c r="CU49" s="17">
        <v>0</v>
      </c>
      <c r="CV49" s="15">
        <v>0</v>
      </c>
      <c r="CW49" s="15">
        <v>0</v>
      </c>
      <c r="CX49" s="17">
        <v>0</v>
      </c>
      <c r="CY49" s="15">
        <v>0</v>
      </c>
      <c r="CZ49" s="15">
        <v>0</v>
      </c>
      <c r="DA49" s="17">
        <v>0</v>
      </c>
      <c r="DB49" s="15">
        <v>0</v>
      </c>
      <c r="DC49" s="15">
        <v>0</v>
      </c>
      <c r="DD49" s="17">
        <v>0</v>
      </c>
      <c r="DE49" s="15">
        <v>0</v>
      </c>
      <c r="DF49" s="15">
        <v>0</v>
      </c>
      <c r="DG49" s="17">
        <v>0</v>
      </c>
      <c r="DH49" s="15">
        <v>0</v>
      </c>
      <c r="DI49" s="15">
        <v>0</v>
      </c>
      <c r="DJ49" s="17">
        <v>0</v>
      </c>
      <c r="DK49" s="15">
        <v>0</v>
      </c>
      <c r="DL49" s="15">
        <v>0</v>
      </c>
      <c r="DM49" s="17">
        <v>0</v>
      </c>
      <c r="DN49" s="15">
        <v>0</v>
      </c>
      <c r="DO49" s="15">
        <v>0</v>
      </c>
      <c r="DP49" s="17">
        <v>0</v>
      </c>
      <c r="DQ49" s="15">
        <v>0</v>
      </c>
      <c r="DR49" s="15">
        <v>0</v>
      </c>
      <c r="DS49" s="17">
        <v>0</v>
      </c>
      <c r="DT49" s="15">
        <v>0</v>
      </c>
      <c r="DU49" s="15">
        <v>0</v>
      </c>
      <c r="DV49" s="17">
        <v>0</v>
      </c>
      <c r="DW49" s="87">
        <v>9</v>
      </c>
      <c r="DX49" s="15">
        <v>0</v>
      </c>
      <c r="DY49" s="17">
        <v>0</v>
      </c>
      <c r="DZ49" s="15">
        <v>0</v>
      </c>
      <c r="EA49" s="15">
        <v>0</v>
      </c>
      <c r="EB49" s="17">
        <v>0</v>
      </c>
      <c r="EC49" s="87">
        <v>2</v>
      </c>
      <c r="ED49" s="15">
        <v>0</v>
      </c>
      <c r="EE49" s="17">
        <v>0</v>
      </c>
      <c r="EF49" s="15">
        <v>0</v>
      </c>
      <c r="EG49" s="15">
        <v>0</v>
      </c>
      <c r="EH49" s="17">
        <v>0</v>
      </c>
      <c r="EI49" s="15">
        <v>0</v>
      </c>
      <c r="EJ49" s="15">
        <v>0</v>
      </c>
      <c r="EK49" s="17">
        <v>0</v>
      </c>
      <c r="EL49" s="15">
        <v>0</v>
      </c>
      <c r="EM49" s="15">
        <v>0</v>
      </c>
      <c r="EN49" s="17">
        <v>0</v>
      </c>
      <c r="EO49" s="15">
        <v>0</v>
      </c>
      <c r="EP49" s="15">
        <v>0</v>
      </c>
      <c r="EQ49" s="17">
        <v>0</v>
      </c>
      <c r="ER49" s="87">
        <v>1</v>
      </c>
      <c r="ES49" s="15">
        <v>0</v>
      </c>
      <c r="ET49" s="17">
        <v>0</v>
      </c>
      <c r="EU49" s="15">
        <v>0</v>
      </c>
      <c r="EV49" s="15">
        <v>0</v>
      </c>
      <c r="EW49" s="17">
        <v>0</v>
      </c>
      <c r="EX49" s="15">
        <v>0</v>
      </c>
      <c r="EY49" s="15">
        <v>0</v>
      </c>
      <c r="EZ49" s="17">
        <v>0</v>
      </c>
      <c r="FA49" s="15">
        <v>0</v>
      </c>
      <c r="FB49" s="15">
        <v>0</v>
      </c>
      <c r="FC49" s="17">
        <v>0</v>
      </c>
      <c r="FD49" s="55"/>
      <c r="FE49" s="56"/>
    </row>
    <row r="50" spans="1:161" ht="12.75">
      <c r="A50" s="40">
        <v>43881</v>
      </c>
      <c r="B50" s="84">
        <f t="shared" ref="B50:D50" si="90">SUM(J50,P50,S50,V50,Y50,AB50,AK50,AN50,AQ50,AT50,AW50,AZ50,BC50,BF50,BL50,BO50,BR50,BU50,BX50,CG50,CJ50,CM50,CP50,CS50,CV50,DH50,CY50,DB50,DK50,DN50,DQ50,DT50,DW50,DZ50,EC50,EF50,EI50,EL50,EO50,ER50,EU50,EX50,FA50,)</f>
        <v>47</v>
      </c>
      <c r="C50" s="124">
        <f t="shared" si="90"/>
        <v>1</v>
      </c>
      <c r="D50" s="44">
        <f t="shared" si="90"/>
        <v>0</v>
      </c>
      <c r="E50" s="85">
        <f t="shared" si="1"/>
        <v>46</v>
      </c>
      <c r="F50" s="86">
        <f t="shared" ref="F50:H50" si="91">SUM(P50,S50,V50,AE50,AH50,AK50,AN50,AQ50,AT50,AW50,AZ50,BF50,BL50,BR50,BX50,CG50,CM50,CP50,CV50,DK50,DN50,DQ50,DT50,DZ50,EL50,EO50,ER50)</f>
        <v>36</v>
      </c>
      <c r="G50" s="124">
        <f t="shared" si="91"/>
        <v>1</v>
      </c>
      <c r="H50" s="41">
        <f t="shared" si="91"/>
        <v>0</v>
      </c>
      <c r="I50" s="85">
        <f t="shared" si="3"/>
        <v>35</v>
      </c>
      <c r="J50" s="15">
        <v>0</v>
      </c>
      <c r="K50" s="15">
        <v>0</v>
      </c>
      <c r="L50" s="17">
        <v>0</v>
      </c>
      <c r="M50" s="15">
        <v>0</v>
      </c>
      <c r="N50" s="15">
        <v>0</v>
      </c>
      <c r="O50" s="17">
        <v>0</v>
      </c>
      <c r="P50" s="87">
        <v>16</v>
      </c>
      <c r="Q50" s="15">
        <v>0</v>
      </c>
      <c r="R50" s="17">
        <v>0</v>
      </c>
      <c r="S50" s="15">
        <v>0</v>
      </c>
      <c r="T50" s="15">
        <v>0</v>
      </c>
      <c r="U50" s="17">
        <v>0</v>
      </c>
      <c r="V50" s="87">
        <v>1</v>
      </c>
      <c r="W50" s="15">
        <v>0</v>
      </c>
      <c r="X50" s="17">
        <v>0</v>
      </c>
      <c r="Y50" s="15">
        <v>0</v>
      </c>
      <c r="Z50" s="15">
        <v>0</v>
      </c>
      <c r="AA50" s="17">
        <v>0</v>
      </c>
      <c r="AB50" s="15">
        <v>0</v>
      </c>
      <c r="AC50" s="15">
        <v>0</v>
      </c>
      <c r="AD50" s="17">
        <v>0</v>
      </c>
      <c r="AE50" s="15">
        <v>0</v>
      </c>
      <c r="AF50" s="15">
        <v>0</v>
      </c>
      <c r="AG50" s="17">
        <v>0</v>
      </c>
      <c r="AH50" s="15">
        <v>0</v>
      </c>
      <c r="AI50" s="15">
        <v>0</v>
      </c>
      <c r="AJ50" s="17">
        <v>0</v>
      </c>
      <c r="AK50" s="15">
        <v>0</v>
      </c>
      <c r="AL50" s="15">
        <v>0</v>
      </c>
      <c r="AM50" s="17">
        <v>0</v>
      </c>
      <c r="AN50" s="15">
        <v>0</v>
      </c>
      <c r="AO50" s="15">
        <v>0</v>
      </c>
      <c r="AP50" s="17">
        <v>0</v>
      </c>
      <c r="AQ50" s="87">
        <v>2</v>
      </c>
      <c r="AR50" s="15">
        <v>0</v>
      </c>
      <c r="AS50" s="17">
        <v>0</v>
      </c>
      <c r="AT50" s="15">
        <v>0</v>
      </c>
      <c r="AU50" s="15">
        <v>0</v>
      </c>
      <c r="AV50" s="17">
        <v>0</v>
      </c>
      <c r="AW50" s="87">
        <v>1</v>
      </c>
      <c r="AX50" s="15">
        <v>0</v>
      </c>
      <c r="AY50" s="17">
        <v>0</v>
      </c>
      <c r="AZ50" s="87">
        <v>12</v>
      </c>
      <c r="BA50" s="135">
        <v>1</v>
      </c>
      <c r="BB50" s="17">
        <v>0</v>
      </c>
      <c r="BC50" s="15">
        <v>0</v>
      </c>
      <c r="BD50" s="15">
        <v>0</v>
      </c>
      <c r="BE50" s="17">
        <v>0</v>
      </c>
      <c r="BF50" s="15">
        <v>0</v>
      </c>
      <c r="BG50" s="15">
        <v>0</v>
      </c>
      <c r="BH50" s="17">
        <v>0</v>
      </c>
      <c r="BI50" s="15">
        <v>0</v>
      </c>
      <c r="BJ50" s="15">
        <v>0</v>
      </c>
      <c r="BK50" s="17">
        <v>0</v>
      </c>
      <c r="BL50" s="15">
        <v>0</v>
      </c>
      <c r="BM50" s="15">
        <v>0</v>
      </c>
      <c r="BN50" s="17">
        <v>0</v>
      </c>
      <c r="BO50" s="15">
        <v>0</v>
      </c>
      <c r="BP50" s="15">
        <v>0</v>
      </c>
      <c r="BQ50" s="17">
        <v>0</v>
      </c>
      <c r="BR50" s="15">
        <v>0</v>
      </c>
      <c r="BS50" s="15">
        <v>0</v>
      </c>
      <c r="BT50" s="17">
        <v>0</v>
      </c>
      <c r="BU50" s="15">
        <v>0</v>
      </c>
      <c r="BV50" s="15">
        <v>0</v>
      </c>
      <c r="BW50" s="17">
        <v>0</v>
      </c>
      <c r="BX50" s="87">
        <v>3</v>
      </c>
      <c r="BY50" s="53">
        <v>0</v>
      </c>
      <c r="BZ50" s="17">
        <v>0</v>
      </c>
      <c r="CA50" s="15">
        <v>0</v>
      </c>
      <c r="CB50" s="15">
        <v>0</v>
      </c>
      <c r="CC50" s="17">
        <v>0</v>
      </c>
      <c r="CD50" s="15">
        <v>0</v>
      </c>
      <c r="CE50" s="15">
        <v>0</v>
      </c>
      <c r="CF50" s="17">
        <v>0</v>
      </c>
      <c r="CG50" s="15">
        <v>0</v>
      </c>
      <c r="CH50" s="15">
        <v>0</v>
      </c>
      <c r="CI50" s="17">
        <v>0</v>
      </c>
      <c r="CJ50" s="15">
        <v>0</v>
      </c>
      <c r="CK50" s="15">
        <v>0</v>
      </c>
      <c r="CL50" s="17">
        <v>0</v>
      </c>
      <c r="CM50" s="15">
        <v>0</v>
      </c>
      <c r="CN50" s="15">
        <v>0</v>
      </c>
      <c r="CO50" s="17">
        <v>0</v>
      </c>
      <c r="CP50" s="15">
        <v>0</v>
      </c>
      <c r="CQ50" s="15">
        <v>0</v>
      </c>
      <c r="CR50" s="17">
        <v>0</v>
      </c>
      <c r="CS50" s="15">
        <v>0</v>
      </c>
      <c r="CT50" s="15">
        <v>0</v>
      </c>
      <c r="CU50" s="17">
        <v>0</v>
      </c>
      <c r="CV50" s="15">
        <v>0</v>
      </c>
      <c r="CW50" s="15">
        <v>0</v>
      </c>
      <c r="CX50" s="17">
        <v>0</v>
      </c>
      <c r="CY50" s="15">
        <v>0</v>
      </c>
      <c r="CZ50" s="15">
        <v>0</v>
      </c>
      <c r="DA50" s="17">
        <v>0</v>
      </c>
      <c r="DB50" s="15">
        <v>0</v>
      </c>
      <c r="DC50" s="15">
        <v>0</v>
      </c>
      <c r="DD50" s="17">
        <v>0</v>
      </c>
      <c r="DE50" s="15">
        <v>0</v>
      </c>
      <c r="DF50" s="15">
        <v>0</v>
      </c>
      <c r="DG50" s="17">
        <v>0</v>
      </c>
      <c r="DH50" s="15">
        <v>0</v>
      </c>
      <c r="DI50" s="15">
        <v>0</v>
      </c>
      <c r="DJ50" s="17">
        <v>0</v>
      </c>
      <c r="DK50" s="15">
        <v>0</v>
      </c>
      <c r="DL50" s="15">
        <v>0</v>
      </c>
      <c r="DM50" s="17">
        <v>0</v>
      </c>
      <c r="DN50" s="15">
        <v>0</v>
      </c>
      <c r="DO50" s="15">
        <v>0</v>
      </c>
      <c r="DP50" s="17">
        <v>0</v>
      </c>
      <c r="DQ50" s="15">
        <v>0</v>
      </c>
      <c r="DR50" s="15">
        <v>0</v>
      </c>
      <c r="DS50" s="17">
        <v>0</v>
      </c>
      <c r="DT50" s="15">
        <v>0</v>
      </c>
      <c r="DU50" s="15">
        <v>0</v>
      </c>
      <c r="DV50" s="17">
        <v>0</v>
      </c>
      <c r="DW50" s="87">
        <v>9</v>
      </c>
      <c r="DX50" s="15">
        <v>0</v>
      </c>
      <c r="DY50" s="17">
        <v>0</v>
      </c>
      <c r="DZ50" s="15">
        <v>0</v>
      </c>
      <c r="EA50" s="15">
        <v>0</v>
      </c>
      <c r="EB50" s="17">
        <v>0</v>
      </c>
      <c r="EC50" s="87">
        <v>2</v>
      </c>
      <c r="ED50" s="15">
        <v>0</v>
      </c>
      <c r="EE50" s="17">
        <v>0</v>
      </c>
      <c r="EF50" s="15">
        <v>0</v>
      </c>
      <c r="EG50" s="15">
        <v>0</v>
      </c>
      <c r="EH50" s="17">
        <v>0</v>
      </c>
      <c r="EI50" s="15">
        <v>0</v>
      </c>
      <c r="EJ50" s="15">
        <v>0</v>
      </c>
      <c r="EK50" s="17">
        <v>0</v>
      </c>
      <c r="EL50" s="15">
        <v>0</v>
      </c>
      <c r="EM50" s="15">
        <v>0</v>
      </c>
      <c r="EN50" s="17">
        <v>0</v>
      </c>
      <c r="EO50" s="15">
        <v>0</v>
      </c>
      <c r="EP50" s="15">
        <v>0</v>
      </c>
      <c r="EQ50" s="17">
        <v>0</v>
      </c>
      <c r="ER50" s="87">
        <v>1</v>
      </c>
      <c r="ES50" s="15">
        <v>0</v>
      </c>
      <c r="ET50" s="17">
        <v>0</v>
      </c>
      <c r="EU50" s="15">
        <v>0</v>
      </c>
      <c r="EV50" s="15">
        <v>0</v>
      </c>
      <c r="EW50" s="17">
        <v>0</v>
      </c>
      <c r="EX50" s="15">
        <v>0</v>
      </c>
      <c r="EY50" s="15">
        <v>0</v>
      </c>
      <c r="EZ50" s="17">
        <v>0</v>
      </c>
      <c r="FA50" s="15">
        <v>0</v>
      </c>
      <c r="FB50" s="15">
        <v>0</v>
      </c>
      <c r="FC50" s="17">
        <v>0</v>
      </c>
      <c r="FD50" s="55"/>
      <c r="FE50" s="56"/>
    </row>
    <row r="51" spans="1:161" ht="12.75">
      <c r="A51" s="40">
        <v>43882</v>
      </c>
      <c r="B51" s="84">
        <f t="shared" ref="B51:D51" si="92">SUM(J51,P51,S51,V51,Y51,AB51,AK51,AN51,AQ51,AT51,AW51,AZ51,BC51,BF51,BL51,BO51,BR51,BU51,BX51,CG51,CJ51,CM51,CP51,CS51,CV51,DH51,CY51,DB51,DK51,DN51,DQ51,DT51,DW51,DZ51,EC51,EF51,EI51,EL51,EO51,ER51,EU51,EX51,FA51,)</f>
        <v>53</v>
      </c>
      <c r="C51" s="124">
        <f t="shared" si="92"/>
        <v>1</v>
      </c>
      <c r="D51" s="44">
        <f t="shared" si="92"/>
        <v>0</v>
      </c>
      <c r="E51" s="85">
        <f t="shared" si="1"/>
        <v>52</v>
      </c>
      <c r="F51" s="86">
        <f t="shared" ref="F51:H51" si="93">SUM(P51,S51,V51,AE51,AH51,AK51,AN51,AQ51,AT51,AW51,AZ51,BF51,BL51,BR51,BX51,CG51,CM51,CP51,CV51,DK51,DN51,DQ51,DT51,DZ51,EL51,EO51,ER51)</f>
        <v>42</v>
      </c>
      <c r="G51" s="124">
        <f t="shared" si="93"/>
        <v>1</v>
      </c>
      <c r="H51" s="41">
        <f t="shared" si="93"/>
        <v>0</v>
      </c>
      <c r="I51" s="85">
        <f t="shared" si="3"/>
        <v>41</v>
      </c>
      <c r="J51" s="15">
        <v>0</v>
      </c>
      <c r="K51" s="15">
        <v>0</v>
      </c>
      <c r="L51" s="17">
        <v>0</v>
      </c>
      <c r="M51" s="15">
        <v>0</v>
      </c>
      <c r="N51" s="15">
        <v>0</v>
      </c>
      <c r="O51" s="17">
        <v>0</v>
      </c>
      <c r="P51" s="87">
        <v>16</v>
      </c>
      <c r="Q51" s="15">
        <v>0</v>
      </c>
      <c r="R51" s="17">
        <v>0</v>
      </c>
      <c r="S51" s="15">
        <v>0</v>
      </c>
      <c r="T51" s="15">
        <v>0</v>
      </c>
      <c r="U51" s="17">
        <v>0</v>
      </c>
      <c r="V51" s="87">
        <v>1</v>
      </c>
      <c r="W51" s="15">
        <v>0</v>
      </c>
      <c r="X51" s="17">
        <v>0</v>
      </c>
      <c r="Y51" s="15">
        <v>0</v>
      </c>
      <c r="Z51" s="15">
        <v>0</v>
      </c>
      <c r="AA51" s="17">
        <v>0</v>
      </c>
      <c r="AB51" s="15">
        <v>0</v>
      </c>
      <c r="AC51" s="15">
        <v>0</v>
      </c>
      <c r="AD51" s="17">
        <v>0</v>
      </c>
      <c r="AE51" s="15">
        <v>0</v>
      </c>
      <c r="AF51" s="15">
        <v>0</v>
      </c>
      <c r="AG51" s="17">
        <v>0</v>
      </c>
      <c r="AH51" s="15">
        <v>0</v>
      </c>
      <c r="AI51" s="15">
        <v>0</v>
      </c>
      <c r="AJ51" s="17">
        <v>0</v>
      </c>
      <c r="AK51" s="15">
        <v>0</v>
      </c>
      <c r="AL51" s="15">
        <v>0</v>
      </c>
      <c r="AM51" s="17">
        <v>0</v>
      </c>
      <c r="AN51" s="15">
        <v>0</v>
      </c>
      <c r="AO51" s="15">
        <v>0</v>
      </c>
      <c r="AP51" s="17">
        <v>0</v>
      </c>
      <c r="AQ51" s="87">
        <v>2</v>
      </c>
      <c r="AR51" s="15">
        <v>0</v>
      </c>
      <c r="AS51" s="17">
        <v>0</v>
      </c>
      <c r="AT51" s="15">
        <v>0</v>
      </c>
      <c r="AU51" s="15">
        <v>0</v>
      </c>
      <c r="AV51" s="17">
        <v>0</v>
      </c>
      <c r="AW51" s="87">
        <v>1</v>
      </c>
      <c r="AX51" s="15">
        <v>0</v>
      </c>
      <c r="AY51" s="17">
        <v>0</v>
      </c>
      <c r="AZ51" s="87">
        <v>12</v>
      </c>
      <c r="BA51" s="135">
        <v>1</v>
      </c>
      <c r="BB51" s="17">
        <v>0</v>
      </c>
      <c r="BC51" s="15">
        <v>0</v>
      </c>
      <c r="BD51" s="15">
        <v>0</v>
      </c>
      <c r="BE51" s="17">
        <v>0</v>
      </c>
      <c r="BF51" s="15">
        <v>0</v>
      </c>
      <c r="BG51" s="15">
        <v>0</v>
      </c>
      <c r="BH51" s="17">
        <v>0</v>
      </c>
      <c r="BI51" s="15">
        <v>0</v>
      </c>
      <c r="BJ51" s="15">
        <v>0</v>
      </c>
      <c r="BK51" s="17">
        <v>0</v>
      </c>
      <c r="BL51" s="15">
        <v>0</v>
      </c>
      <c r="BM51" s="15">
        <v>0</v>
      </c>
      <c r="BN51" s="17">
        <v>0</v>
      </c>
      <c r="BO51" s="15">
        <v>0</v>
      </c>
      <c r="BP51" s="15">
        <v>0</v>
      </c>
      <c r="BQ51" s="17">
        <v>0</v>
      </c>
      <c r="BR51" s="15">
        <v>0</v>
      </c>
      <c r="BS51" s="15">
        <v>0</v>
      </c>
      <c r="BT51" s="17">
        <v>0</v>
      </c>
      <c r="BU51" s="15">
        <v>0</v>
      </c>
      <c r="BV51" s="15">
        <v>0</v>
      </c>
      <c r="BW51" s="17">
        <v>0</v>
      </c>
      <c r="BX51" s="87">
        <v>9</v>
      </c>
      <c r="BY51" s="53">
        <v>0</v>
      </c>
      <c r="BZ51" s="17">
        <v>0</v>
      </c>
      <c r="CA51" s="15">
        <v>0</v>
      </c>
      <c r="CB51" s="15">
        <v>0</v>
      </c>
      <c r="CC51" s="17">
        <v>0</v>
      </c>
      <c r="CD51" s="15">
        <v>0</v>
      </c>
      <c r="CE51" s="15">
        <v>0</v>
      </c>
      <c r="CF51" s="17">
        <v>0</v>
      </c>
      <c r="CG51" s="15">
        <v>0</v>
      </c>
      <c r="CH51" s="15">
        <v>0</v>
      </c>
      <c r="CI51" s="17">
        <v>0</v>
      </c>
      <c r="CJ51" s="15">
        <v>0</v>
      </c>
      <c r="CK51" s="15">
        <v>0</v>
      </c>
      <c r="CL51" s="17">
        <v>0</v>
      </c>
      <c r="CM51" s="15">
        <v>0</v>
      </c>
      <c r="CN51" s="15">
        <v>0</v>
      </c>
      <c r="CO51" s="17">
        <v>0</v>
      </c>
      <c r="CP51" s="15">
        <v>0</v>
      </c>
      <c r="CQ51" s="15">
        <v>0</v>
      </c>
      <c r="CR51" s="17">
        <v>0</v>
      </c>
      <c r="CS51" s="15">
        <v>0</v>
      </c>
      <c r="CT51" s="15">
        <v>0</v>
      </c>
      <c r="CU51" s="17">
        <v>0</v>
      </c>
      <c r="CV51" s="15">
        <v>0</v>
      </c>
      <c r="CW51" s="15">
        <v>0</v>
      </c>
      <c r="CX51" s="17">
        <v>0</v>
      </c>
      <c r="CY51" s="15">
        <v>0</v>
      </c>
      <c r="CZ51" s="15">
        <v>0</v>
      </c>
      <c r="DA51" s="17">
        <v>0</v>
      </c>
      <c r="DB51" s="15">
        <v>0</v>
      </c>
      <c r="DC51" s="15">
        <v>0</v>
      </c>
      <c r="DD51" s="17">
        <v>0</v>
      </c>
      <c r="DE51" s="15">
        <v>0</v>
      </c>
      <c r="DF51" s="15">
        <v>0</v>
      </c>
      <c r="DG51" s="17">
        <v>0</v>
      </c>
      <c r="DH51" s="15">
        <v>0</v>
      </c>
      <c r="DI51" s="15">
        <v>0</v>
      </c>
      <c r="DJ51" s="17">
        <v>0</v>
      </c>
      <c r="DK51" s="15">
        <v>0</v>
      </c>
      <c r="DL51" s="15">
        <v>0</v>
      </c>
      <c r="DM51" s="17">
        <v>0</v>
      </c>
      <c r="DN51" s="15">
        <v>0</v>
      </c>
      <c r="DO51" s="15">
        <v>0</v>
      </c>
      <c r="DP51" s="17">
        <v>0</v>
      </c>
      <c r="DQ51" s="15">
        <v>0</v>
      </c>
      <c r="DR51" s="15">
        <v>0</v>
      </c>
      <c r="DS51" s="17">
        <v>0</v>
      </c>
      <c r="DT51" s="15">
        <v>0</v>
      </c>
      <c r="DU51" s="15">
        <v>0</v>
      </c>
      <c r="DV51" s="17">
        <v>0</v>
      </c>
      <c r="DW51" s="87">
        <v>9</v>
      </c>
      <c r="DX51" s="15">
        <v>0</v>
      </c>
      <c r="DY51" s="17">
        <v>0</v>
      </c>
      <c r="DZ51" s="15">
        <v>0</v>
      </c>
      <c r="EA51" s="15">
        <v>0</v>
      </c>
      <c r="EB51" s="17">
        <v>0</v>
      </c>
      <c r="EC51" s="87">
        <v>2</v>
      </c>
      <c r="ED51" s="15">
        <v>0</v>
      </c>
      <c r="EE51" s="17">
        <v>0</v>
      </c>
      <c r="EF51" s="15">
        <v>0</v>
      </c>
      <c r="EG51" s="15">
        <v>0</v>
      </c>
      <c r="EH51" s="17">
        <v>0</v>
      </c>
      <c r="EI51" s="15">
        <v>0</v>
      </c>
      <c r="EJ51" s="15">
        <v>0</v>
      </c>
      <c r="EK51" s="17">
        <v>0</v>
      </c>
      <c r="EL51" s="15">
        <v>0</v>
      </c>
      <c r="EM51" s="15">
        <v>0</v>
      </c>
      <c r="EN51" s="17">
        <v>0</v>
      </c>
      <c r="EO51" s="15">
        <v>0</v>
      </c>
      <c r="EP51" s="15">
        <v>0</v>
      </c>
      <c r="EQ51" s="17">
        <v>0</v>
      </c>
      <c r="ER51" s="87">
        <v>1</v>
      </c>
      <c r="ES51" s="15">
        <v>0</v>
      </c>
      <c r="ET51" s="17">
        <v>0</v>
      </c>
      <c r="EU51" s="15">
        <v>0</v>
      </c>
      <c r="EV51" s="15">
        <v>0</v>
      </c>
      <c r="EW51" s="17">
        <v>0</v>
      </c>
      <c r="EX51" s="15">
        <v>0</v>
      </c>
      <c r="EY51" s="15">
        <v>0</v>
      </c>
      <c r="EZ51" s="17">
        <v>0</v>
      </c>
      <c r="FA51" s="15">
        <v>0</v>
      </c>
      <c r="FB51" s="15">
        <v>0</v>
      </c>
      <c r="FC51" s="17">
        <v>0</v>
      </c>
      <c r="FD51" s="55"/>
      <c r="FE51" s="77" t="s">
        <v>211</v>
      </c>
    </row>
    <row r="52" spans="1:161" ht="12.75">
      <c r="A52" s="40">
        <v>43883</v>
      </c>
      <c r="B52" s="84">
        <f t="shared" ref="B52:D52" si="94">SUM(J52,P52,S52,V52,Y52,AB52,AK52,AN52,AQ52,AT52,AW52,AZ52,BC52,BF52,BL52,BO52,BR52,BU52,BX52,CG52,CJ52,CM52,CP52,CS52,CV52,DH52,CY52,DB52,DK52,DN52,DQ52,DT52,DW52,DZ52,EC52,EF52,EI52,EL52,EO52,ER52,EU52,EX52,FA52,)</f>
        <v>120</v>
      </c>
      <c r="C52" s="124">
        <f t="shared" si="94"/>
        <v>3</v>
      </c>
      <c r="D52" s="44">
        <f t="shared" si="94"/>
        <v>0</v>
      </c>
      <c r="E52" s="85">
        <f t="shared" si="1"/>
        <v>117</v>
      </c>
      <c r="F52" s="86">
        <f t="shared" ref="F52:H52" si="95">SUM(P52,S52,V52,AE52,AH52,AK52,AN52,AQ52,AT52,AW52,AZ52,BF52,BL52,BR52,BX52,CG52,CM52,CP52,CV52,DK52,DN52,DQ52,DT52,DZ52,EL52,EO52,ER52)</f>
        <v>109</v>
      </c>
      <c r="G52" s="124">
        <f t="shared" si="95"/>
        <v>3</v>
      </c>
      <c r="H52" s="41">
        <f t="shared" si="95"/>
        <v>0</v>
      </c>
      <c r="I52" s="85">
        <f t="shared" si="3"/>
        <v>106</v>
      </c>
      <c r="J52" s="15">
        <v>0</v>
      </c>
      <c r="K52" s="15">
        <v>0</v>
      </c>
      <c r="L52" s="17">
        <v>0</v>
      </c>
      <c r="M52" s="15">
        <v>0</v>
      </c>
      <c r="N52" s="15">
        <v>0</v>
      </c>
      <c r="O52" s="17">
        <v>0</v>
      </c>
      <c r="P52" s="87">
        <v>16</v>
      </c>
      <c r="Q52" s="15">
        <v>0</v>
      </c>
      <c r="R52" s="17">
        <v>0</v>
      </c>
      <c r="S52" s="15">
        <v>0</v>
      </c>
      <c r="T52" s="15">
        <v>0</v>
      </c>
      <c r="U52" s="17">
        <v>0</v>
      </c>
      <c r="V52" s="87">
        <v>1</v>
      </c>
      <c r="W52" s="15">
        <v>0</v>
      </c>
      <c r="X52" s="17">
        <v>0</v>
      </c>
      <c r="Y52" s="15">
        <v>0</v>
      </c>
      <c r="Z52" s="15">
        <v>0</v>
      </c>
      <c r="AA52" s="17">
        <v>0</v>
      </c>
      <c r="AB52" s="15">
        <v>0</v>
      </c>
      <c r="AC52" s="15">
        <v>0</v>
      </c>
      <c r="AD52" s="17">
        <v>0</v>
      </c>
      <c r="AE52" s="15">
        <v>0</v>
      </c>
      <c r="AF52" s="15">
        <v>0</v>
      </c>
      <c r="AG52" s="17">
        <v>0</v>
      </c>
      <c r="AH52" s="15">
        <v>0</v>
      </c>
      <c r="AI52" s="15">
        <v>0</v>
      </c>
      <c r="AJ52" s="17">
        <v>0</v>
      </c>
      <c r="AK52" s="15">
        <v>0</v>
      </c>
      <c r="AL52" s="15">
        <v>0</v>
      </c>
      <c r="AM52" s="17">
        <v>0</v>
      </c>
      <c r="AN52" s="15">
        <v>0</v>
      </c>
      <c r="AO52" s="15">
        <v>0</v>
      </c>
      <c r="AP52" s="17">
        <v>0</v>
      </c>
      <c r="AQ52" s="87">
        <v>2</v>
      </c>
      <c r="AR52" s="15">
        <v>0</v>
      </c>
      <c r="AS52" s="17">
        <v>0</v>
      </c>
      <c r="AT52" s="15">
        <v>0</v>
      </c>
      <c r="AU52" s="15">
        <v>0</v>
      </c>
      <c r="AV52" s="17">
        <v>0</v>
      </c>
      <c r="AW52" s="87">
        <v>1</v>
      </c>
      <c r="AX52" s="15">
        <v>0</v>
      </c>
      <c r="AY52" s="17">
        <v>0</v>
      </c>
      <c r="AZ52" s="87">
        <v>12</v>
      </c>
      <c r="BA52" s="135">
        <v>1</v>
      </c>
      <c r="BB52" s="17">
        <v>0</v>
      </c>
      <c r="BC52" s="15">
        <v>0</v>
      </c>
      <c r="BD52" s="15">
        <v>0</v>
      </c>
      <c r="BE52" s="17">
        <v>0</v>
      </c>
      <c r="BF52" s="15">
        <v>0</v>
      </c>
      <c r="BG52" s="15">
        <v>0</v>
      </c>
      <c r="BH52" s="17">
        <v>0</v>
      </c>
      <c r="BI52" s="15">
        <v>0</v>
      </c>
      <c r="BJ52" s="15">
        <v>0</v>
      </c>
      <c r="BK52" s="17">
        <v>0</v>
      </c>
      <c r="BL52" s="15">
        <v>0</v>
      </c>
      <c r="BM52" s="15">
        <v>0</v>
      </c>
      <c r="BN52" s="17">
        <v>0</v>
      </c>
      <c r="BO52" s="15">
        <v>0</v>
      </c>
      <c r="BP52" s="15">
        <v>0</v>
      </c>
      <c r="BQ52" s="17">
        <v>0</v>
      </c>
      <c r="BR52" s="15">
        <v>0</v>
      </c>
      <c r="BS52" s="15">
        <v>0</v>
      </c>
      <c r="BT52" s="17">
        <v>0</v>
      </c>
      <c r="BU52" s="15">
        <v>0</v>
      </c>
      <c r="BV52" s="15">
        <v>0</v>
      </c>
      <c r="BW52" s="17">
        <v>0</v>
      </c>
      <c r="BX52" s="87">
        <v>76</v>
      </c>
      <c r="BY52" s="135">
        <v>2</v>
      </c>
      <c r="BZ52" s="17">
        <v>0</v>
      </c>
      <c r="CA52" s="15">
        <v>0</v>
      </c>
      <c r="CB52" s="15">
        <v>0</v>
      </c>
      <c r="CC52" s="17">
        <v>0</v>
      </c>
      <c r="CD52" s="15">
        <v>0</v>
      </c>
      <c r="CE52" s="15">
        <v>0</v>
      </c>
      <c r="CF52" s="17">
        <v>0</v>
      </c>
      <c r="CG52" s="15">
        <v>0</v>
      </c>
      <c r="CH52" s="15">
        <v>0</v>
      </c>
      <c r="CI52" s="17">
        <v>0</v>
      </c>
      <c r="CJ52" s="15">
        <v>0</v>
      </c>
      <c r="CK52" s="15">
        <v>0</v>
      </c>
      <c r="CL52" s="17">
        <v>0</v>
      </c>
      <c r="CM52" s="15">
        <v>0</v>
      </c>
      <c r="CN52" s="15">
        <v>0</v>
      </c>
      <c r="CO52" s="17">
        <v>0</v>
      </c>
      <c r="CP52" s="15">
        <v>0</v>
      </c>
      <c r="CQ52" s="15">
        <v>0</v>
      </c>
      <c r="CR52" s="17">
        <v>0</v>
      </c>
      <c r="CS52" s="15">
        <v>0</v>
      </c>
      <c r="CT52" s="15">
        <v>0</v>
      </c>
      <c r="CU52" s="17">
        <v>0</v>
      </c>
      <c r="CV52" s="15">
        <v>0</v>
      </c>
      <c r="CW52" s="15">
        <v>0</v>
      </c>
      <c r="CX52" s="17">
        <v>0</v>
      </c>
      <c r="CY52" s="15">
        <v>0</v>
      </c>
      <c r="CZ52" s="15">
        <v>0</v>
      </c>
      <c r="DA52" s="17">
        <v>0</v>
      </c>
      <c r="DB52" s="15">
        <v>0</v>
      </c>
      <c r="DC52" s="15">
        <v>0</v>
      </c>
      <c r="DD52" s="17">
        <v>0</v>
      </c>
      <c r="DE52" s="15">
        <v>0</v>
      </c>
      <c r="DF52" s="15">
        <v>0</v>
      </c>
      <c r="DG52" s="17">
        <v>0</v>
      </c>
      <c r="DH52" s="15">
        <v>0</v>
      </c>
      <c r="DI52" s="15">
        <v>0</v>
      </c>
      <c r="DJ52" s="17">
        <v>0</v>
      </c>
      <c r="DK52" s="15">
        <v>0</v>
      </c>
      <c r="DL52" s="15">
        <v>0</v>
      </c>
      <c r="DM52" s="17">
        <v>0</v>
      </c>
      <c r="DN52" s="15">
        <v>0</v>
      </c>
      <c r="DO52" s="15">
        <v>0</v>
      </c>
      <c r="DP52" s="17">
        <v>0</v>
      </c>
      <c r="DQ52" s="15">
        <v>0</v>
      </c>
      <c r="DR52" s="15">
        <v>0</v>
      </c>
      <c r="DS52" s="17">
        <v>0</v>
      </c>
      <c r="DT52" s="15">
        <v>0</v>
      </c>
      <c r="DU52" s="15">
        <v>0</v>
      </c>
      <c r="DV52" s="17">
        <v>0</v>
      </c>
      <c r="DW52" s="87">
        <v>9</v>
      </c>
      <c r="DX52" s="15">
        <v>0</v>
      </c>
      <c r="DY52" s="17">
        <v>0</v>
      </c>
      <c r="DZ52" s="15">
        <v>0</v>
      </c>
      <c r="EA52" s="15">
        <v>0</v>
      </c>
      <c r="EB52" s="17">
        <v>0</v>
      </c>
      <c r="EC52" s="87">
        <v>2</v>
      </c>
      <c r="ED52" s="15">
        <v>0</v>
      </c>
      <c r="EE52" s="17">
        <v>0</v>
      </c>
      <c r="EF52" s="15">
        <v>0</v>
      </c>
      <c r="EG52" s="15">
        <v>0</v>
      </c>
      <c r="EH52" s="17">
        <v>0</v>
      </c>
      <c r="EI52" s="15">
        <v>0</v>
      </c>
      <c r="EJ52" s="15">
        <v>0</v>
      </c>
      <c r="EK52" s="17">
        <v>0</v>
      </c>
      <c r="EL52" s="15">
        <v>0</v>
      </c>
      <c r="EM52" s="15">
        <v>0</v>
      </c>
      <c r="EN52" s="17">
        <v>0</v>
      </c>
      <c r="EO52" s="15">
        <v>0</v>
      </c>
      <c r="EP52" s="15">
        <v>0</v>
      </c>
      <c r="EQ52" s="17">
        <v>0</v>
      </c>
      <c r="ER52" s="87">
        <v>1</v>
      </c>
      <c r="ES52" s="15">
        <v>0</v>
      </c>
      <c r="ET52" s="17">
        <v>0</v>
      </c>
      <c r="EU52" s="15">
        <v>0</v>
      </c>
      <c r="EV52" s="15">
        <v>0</v>
      </c>
      <c r="EW52" s="17">
        <v>0</v>
      </c>
      <c r="EX52" s="15">
        <v>0</v>
      </c>
      <c r="EY52" s="15">
        <v>0</v>
      </c>
      <c r="EZ52" s="17">
        <v>0</v>
      </c>
      <c r="FA52" s="15">
        <v>0</v>
      </c>
      <c r="FB52" s="15">
        <v>0</v>
      </c>
      <c r="FC52" s="17">
        <v>0</v>
      </c>
      <c r="FD52" s="55" t="s">
        <v>272</v>
      </c>
      <c r="FE52" s="77" t="s">
        <v>273</v>
      </c>
    </row>
    <row r="53" spans="1:161" ht="12.75">
      <c r="A53" s="93">
        <v>43884</v>
      </c>
      <c r="B53" s="84">
        <f t="shared" ref="B53:D53" si="96">SUM(J53,P53,S53,V53,Y53,AB53,AK53,AN53,AQ53,AT53,AW53,AZ53,BC53,BF53,BL53,BO53,BR53,BU53,BX53,CG53,CJ53,CM53,CP53,CS53,CV53,DH53,CY53,DB53,DK53,DN53,DQ53,DT53,DW53,DZ53,EC53,EF53,EI53,EL53,EO53,ER53,EU53,EX53,FA53,)</f>
        <v>168</v>
      </c>
      <c r="C53" s="124">
        <f t="shared" si="96"/>
        <v>4</v>
      </c>
      <c r="D53" s="44">
        <f t="shared" si="96"/>
        <v>0</v>
      </c>
      <c r="E53" s="85">
        <f t="shared" si="1"/>
        <v>164</v>
      </c>
      <c r="F53" s="86">
        <f t="shared" ref="F53:H53" si="97">SUM(P53,S53,V53,AE53,AH53,AK53,AN53,AQ53,AT53,AW53,AZ53,BF53,BL53,BR53,BX53,CG53,CM53,CP53,CV53,DK53,DN53,DQ53,DT53,DZ53,EL53,EO53,ER53)</f>
        <v>157</v>
      </c>
      <c r="G53" s="124">
        <f t="shared" si="97"/>
        <v>4</v>
      </c>
      <c r="H53" s="41">
        <f t="shared" si="97"/>
        <v>0</v>
      </c>
      <c r="I53" s="85">
        <f t="shared" si="3"/>
        <v>153</v>
      </c>
      <c r="J53" s="15">
        <v>0</v>
      </c>
      <c r="K53" s="15">
        <v>0</v>
      </c>
      <c r="L53" s="17">
        <v>0</v>
      </c>
      <c r="M53" s="15">
        <v>0</v>
      </c>
      <c r="N53" s="15">
        <v>0</v>
      </c>
      <c r="O53" s="17">
        <v>0</v>
      </c>
      <c r="P53" s="87">
        <v>16</v>
      </c>
      <c r="Q53" s="15">
        <v>0</v>
      </c>
      <c r="R53" s="17">
        <v>0</v>
      </c>
      <c r="S53" s="15">
        <v>0</v>
      </c>
      <c r="T53" s="15">
        <v>0</v>
      </c>
      <c r="U53" s="17">
        <v>0</v>
      </c>
      <c r="V53" s="87">
        <v>1</v>
      </c>
      <c r="W53" s="15">
        <v>0</v>
      </c>
      <c r="X53" s="17">
        <v>0</v>
      </c>
      <c r="Y53" s="15">
        <v>0</v>
      </c>
      <c r="Z53" s="15">
        <v>0</v>
      </c>
      <c r="AA53" s="17">
        <v>0</v>
      </c>
      <c r="AB53" s="15">
        <v>0</v>
      </c>
      <c r="AC53" s="15">
        <v>0</v>
      </c>
      <c r="AD53" s="17">
        <v>0</v>
      </c>
      <c r="AE53" s="15">
        <v>0</v>
      </c>
      <c r="AF53" s="15">
        <v>0</v>
      </c>
      <c r="AG53" s="17">
        <v>0</v>
      </c>
      <c r="AH53" s="15">
        <v>0</v>
      </c>
      <c r="AI53" s="15">
        <v>0</v>
      </c>
      <c r="AJ53" s="17">
        <v>0</v>
      </c>
      <c r="AK53" s="15">
        <v>0</v>
      </c>
      <c r="AL53" s="15">
        <v>0</v>
      </c>
      <c r="AM53" s="17">
        <v>0</v>
      </c>
      <c r="AN53" s="15">
        <v>0</v>
      </c>
      <c r="AO53" s="15">
        <v>0</v>
      </c>
      <c r="AP53" s="17">
        <v>0</v>
      </c>
      <c r="AQ53" s="87">
        <v>2</v>
      </c>
      <c r="AR53" s="15">
        <v>0</v>
      </c>
      <c r="AS53" s="17">
        <v>0</v>
      </c>
      <c r="AT53" s="15">
        <v>0</v>
      </c>
      <c r="AU53" s="15">
        <v>0</v>
      </c>
      <c r="AV53" s="17">
        <v>0</v>
      </c>
      <c r="AW53" s="87">
        <v>1</v>
      </c>
      <c r="AX53" s="15">
        <v>0</v>
      </c>
      <c r="AY53" s="17">
        <v>0</v>
      </c>
      <c r="AZ53" s="87">
        <v>12</v>
      </c>
      <c r="BA53" s="135">
        <v>1</v>
      </c>
      <c r="BB53" s="17">
        <v>0</v>
      </c>
      <c r="BC53" s="15">
        <v>0</v>
      </c>
      <c r="BD53" s="15">
        <v>0</v>
      </c>
      <c r="BE53" s="17">
        <v>0</v>
      </c>
      <c r="BF53" s="15">
        <v>0</v>
      </c>
      <c r="BG53" s="15">
        <v>0</v>
      </c>
      <c r="BH53" s="17">
        <v>0</v>
      </c>
      <c r="BI53" s="15">
        <v>0</v>
      </c>
      <c r="BJ53" s="15">
        <v>0</v>
      </c>
      <c r="BK53" s="17">
        <v>0</v>
      </c>
      <c r="BL53" s="15">
        <v>0</v>
      </c>
      <c r="BM53" s="15">
        <v>0</v>
      </c>
      <c r="BN53" s="17">
        <v>0</v>
      </c>
      <c r="BO53" s="15">
        <v>0</v>
      </c>
      <c r="BP53" s="15">
        <v>0</v>
      </c>
      <c r="BQ53" s="17">
        <v>0</v>
      </c>
      <c r="BR53" s="15">
        <v>0</v>
      </c>
      <c r="BS53" s="15">
        <v>0</v>
      </c>
      <c r="BT53" s="17">
        <v>0</v>
      </c>
      <c r="BU53" s="15">
        <v>0</v>
      </c>
      <c r="BV53" s="15">
        <v>0</v>
      </c>
      <c r="BW53" s="17">
        <v>0</v>
      </c>
      <c r="BX53" s="87">
        <v>124</v>
      </c>
      <c r="BY53" s="139">
        <v>3</v>
      </c>
      <c r="BZ53" s="17">
        <v>0</v>
      </c>
      <c r="CA53" s="15">
        <v>0</v>
      </c>
      <c r="CB53" s="15">
        <v>0</v>
      </c>
      <c r="CC53" s="17">
        <v>0</v>
      </c>
      <c r="CD53" s="15">
        <v>0</v>
      </c>
      <c r="CE53" s="15">
        <v>0</v>
      </c>
      <c r="CF53" s="17">
        <v>0</v>
      </c>
      <c r="CG53" s="15">
        <v>0</v>
      </c>
      <c r="CH53" s="15">
        <v>0</v>
      </c>
      <c r="CI53" s="17">
        <v>0</v>
      </c>
      <c r="CJ53" s="15">
        <v>0</v>
      </c>
      <c r="CK53" s="15">
        <v>0</v>
      </c>
      <c r="CL53" s="17">
        <v>0</v>
      </c>
      <c r="CM53" s="15">
        <v>0</v>
      </c>
      <c r="CN53" s="15">
        <v>0</v>
      </c>
      <c r="CO53" s="17">
        <v>0</v>
      </c>
      <c r="CP53" s="15">
        <v>0</v>
      </c>
      <c r="CQ53" s="15">
        <v>0</v>
      </c>
      <c r="CR53" s="17">
        <v>0</v>
      </c>
      <c r="CS53" s="15">
        <v>0</v>
      </c>
      <c r="CT53" s="15">
        <v>0</v>
      </c>
      <c r="CU53" s="17">
        <v>0</v>
      </c>
      <c r="CV53" s="15">
        <v>0</v>
      </c>
      <c r="CW53" s="15">
        <v>0</v>
      </c>
      <c r="CX53" s="17">
        <v>0</v>
      </c>
      <c r="CY53" s="15">
        <v>0</v>
      </c>
      <c r="CZ53" s="15">
        <v>0</v>
      </c>
      <c r="DA53" s="17">
        <v>0</v>
      </c>
      <c r="DB53" s="15">
        <v>0</v>
      </c>
      <c r="DC53" s="15">
        <v>0</v>
      </c>
      <c r="DD53" s="17">
        <v>0</v>
      </c>
      <c r="DE53" s="15">
        <v>0</v>
      </c>
      <c r="DF53" s="15">
        <v>0</v>
      </c>
      <c r="DG53" s="17">
        <v>0</v>
      </c>
      <c r="DH53" s="15">
        <v>0</v>
      </c>
      <c r="DI53" s="15">
        <v>0</v>
      </c>
      <c r="DJ53" s="17">
        <v>0</v>
      </c>
      <c r="DK53" s="15">
        <v>0</v>
      </c>
      <c r="DL53" s="15">
        <v>0</v>
      </c>
      <c r="DM53" s="17">
        <v>0</v>
      </c>
      <c r="DN53" s="15">
        <v>0</v>
      </c>
      <c r="DO53" s="15">
        <v>0</v>
      </c>
      <c r="DP53" s="17">
        <v>0</v>
      </c>
      <c r="DQ53" s="15">
        <v>0</v>
      </c>
      <c r="DR53" s="15">
        <v>0</v>
      </c>
      <c r="DS53" s="17">
        <v>0</v>
      </c>
      <c r="DT53" s="15">
        <v>0</v>
      </c>
      <c r="DU53" s="15">
        <v>0</v>
      </c>
      <c r="DV53" s="17">
        <v>0</v>
      </c>
      <c r="DW53" s="87">
        <v>9</v>
      </c>
      <c r="DX53" s="15">
        <v>0</v>
      </c>
      <c r="DY53" s="17">
        <v>0</v>
      </c>
      <c r="DZ53" s="15">
        <v>0</v>
      </c>
      <c r="EA53" s="15">
        <v>0</v>
      </c>
      <c r="EB53" s="17">
        <v>0</v>
      </c>
      <c r="EC53" s="87">
        <v>2</v>
      </c>
      <c r="ED53" s="15">
        <v>0</v>
      </c>
      <c r="EE53" s="17">
        <v>0</v>
      </c>
      <c r="EF53" s="15">
        <v>0</v>
      </c>
      <c r="EG53" s="15">
        <v>0</v>
      </c>
      <c r="EH53" s="17">
        <v>0</v>
      </c>
      <c r="EI53" s="15">
        <v>0</v>
      </c>
      <c r="EJ53" s="15">
        <v>0</v>
      </c>
      <c r="EK53" s="17">
        <v>0</v>
      </c>
      <c r="EL53" s="15">
        <v>0</v>
      </c>
      <c r="EM53" s="15">
        <v>0</v>
      </c>
      <c r="EN53" s="17">
        <v>0</v>
      </c>
      <c r="EO53" s="15">
        <v>0</v>
      </c>
      <c r="EP53" s="15">
        <v>0</v>
      </c>
      <c r="EQ53" s="17">
        <v>0</v>
      </c>
      <c r="ER53" s="87">
        <v>1</v>
      </c>
      <c r="ES53" s="15">
        <v>0</v>
      </c>
      <c r="ET53" s="17">
        <v>0</v>
      </c>
      <c r="EU53" s="15">
        <v>0</v>
      </c>
      <c r="EV53" s="15">
        <v>0</v>
      </c>
      <c r="EW53" s="17">
        <v>0</v>
      </c>
      <c r="EX53" s="15">
        <v>0</v>
      </c>
      <c r="EY53" s="15">
        <v>0</v>
      </c>
      <c r="EZ53" s="17">
        <v>0</v>
      </c>
      <c r="FA53" s="15">
        <v>0</v>
      </c>
      <c r="FB53" s="15">
        <v>0</v>
      </c>
      <c r="FC53" s="17">
        <v>0</v>
      </c>
      <c r="FD53" s="55"/>
      <c r="FE53" s="77" t="s">
        <v>214</v>
      </c>
    </row>
    <row r="54" spans="1:161" ht="12.75">
      <c r="A54" s="93">
        <v>43885</v>
      </c>
      <c r="B54" s="84">
        <f t="shared" ref="B54:D54" si="98">SUM(J54,P54,S54,V54,Y54,AB54,AK54,AN54,AQ54,AT54,AW54,AZ54,BC54,BF54,BL54,BO54,BR54,BU54,BX54,CG54,CJ54,CM54,CP54,CS54,CV54,DH54,CY54,DB54,DK54,DN54,DQ54,DT54,DW54,DZ54,EC54,EF54,EI54,EL54,EO54,ER54,EU54,EX54,FA54,)</f>
        <v>273</v>
      </c>
      <c r="C54" s="124">
        <f t="shared" si="98"/>
        <v>7</v>
      </c>
      <c r="D54" s="44">
        <f t="shared" si="98"/>
        <v>0</v>
      </c>
      <c r="E54" s="85">
        <f t="shared" si="1"/>
        <v>266</v>
      </c>
      <c r="F54" s="86">
        <f t="shared" ref="F54:H54" si="99">SUM(P54,S54,V54,AE54,AH54,AK54,AN54,AQ54,AT54,AW54,AZ54,BF54,BL54,BR54,BX54,CG54,CM54,CP54,CV54,DK54,DN54,DQ54,DT54,DZ54,EL54,EO54,ER54)</f>
        <v>262</v>
      </c>
      <c r="G54" s="124">
        <f t="shared" si="99"/>
        <v>7</v>
      </c>
      <c r="H54" s="41">
        <f t="shared" si="99"/>
        <v>0</v>
      </c>
      <c r="I54" s="85">
        <f t="shared" si="3"/>
        <v>255</v>
      </c>
      <c r="J54" s="15">
        <v>0</v>
      </c>
      <c r="K54" s="15">
        <v>0</v>
      </c>
      <c r="L54" s="17">
        <v>0</v>
      </c>
      <c r="M54" s="15">
        <v>0</v>
      </c>
      <c r="N54" s="15">
        <v>0</v>
      </c>
      <c r="O54" s="17">
        <v>0</v>
      </c>
      <c r="P54" s="87">
        <v>16</v>
      </c>
      <c r="Q54" s="15">
        <v>0</v>
      </c>
      <c r="R54" s="17">
        <v>0</v>
      </c>
      <c r="S54" s="15">
        <v>0</v>
      </c>
      <c r="T54" s="15">
        <v>0</v>
      </c>
      <c r="U54" s="17">
        <v>0</v>
      </c>
      <c r="V54" s="87">
        <v>1</v>
      </c>
      <c r="W54" s="15">
        <v>0</v>
      </c>
      <c r="X54" s="17">
        <v>0</v>
      </c>
      <c r="Y54" s="15">
        <v>0</v>
      </c>
      <c r="Z54" s="15">
        <v>0</v>
      </c>
      <c r="AA54" s="17">
        <v>0</v>
      </c>
      <c r="AB54" s="15">
        <v>0</v>
      </c>
      <c r="AC54" s="15">
        <v>0</v>
      </c>
      <c r="AD54" s="17">
        <v>0</v>
      </c>
      <c r="AE54" s="15">
        <v>0</v>
      </c>
      <c r="AF54" s="15">
        <v>0</v>
      </c>
      <c r="AG54" s="17">
        <v>0</v>
      </c>
      <c r="AH54" s="15">
        <v>0</v>
      </c>
      <c r="AI54" s="15">
        <v>0</v>
      </c>
      <c r="AJ54" s="17">
        <v>0</v>
      </c>
      <c r="AK54" s="15">
        <v>0</v>
      </c>
      <c r="AL54" s="15">
        <v>0</v>
      </c>
      <c r="AM54" s="17">
        <v>0</v>
      </c>
      <c r="AN54" s="15">
        <v>0</v>
      </c>
      <c r="AO54" s="15">
        <v>0</v>
      </c>
      <c r="AP54" s="17">
        <v>0</v>
      </c>
      <c r="AQ54" s="87">
        <v>2</v>
      </c>
      <c r="AR54" s="15">
        <v>0</v>
      </c>
      <c r="AS54" s="17">
        <v>0</v>
      </c>
      <c r="AT54" s="15">
        <v>0</v>
      </c>
      <c r="AU54" s="15">
        <v>0</v>
      </c>
      <c r="AV54" s="17">
        <v>0</v>
      </c>
      <c r="AW54" s="87">
        <v>1</v>
      </c>
      <c r="AX54" s="15">
        <v>0</v>
      </c>
      <c r="AY54" s="17">
        <v>0</v>
      </c>
      <c r="AZ54" s="87">
        <v>12</v>
      </c>
      <c r="BA54" s="139">
        <v>1</v>
      </c>
      <c r="BB54" s="17">
        <v>0</v>
      </c>
      <c r="BC54" s="15">
        <v>0</v>
      </c>
      <c r="BD54" s="15">
        <v>0</v>
      </c>
      <c r="BE54" s="17">
        <v>0</v>
      </c>
      <c r="BF54" s="15">
        <v>0</v>
      </c>
      <c r="BG54" s="15">
        <v>0</v>
      </c>
      <c r="BH54" s="17">
        <v>0</v>
      </c>
      <c r="BI54" s="15">
        <v>0</v>
      </c>
      <c r="BJ54" s="15">
        <v>0</v>
      </c>
      <c r="BK54" s="17">
        <v>0</v>
      </c>
      <c r="BL54" s="15">
        <v>0</v>
      </c>
      <c r="BM54" s="15">
        <v>0</v>
      </c>
      <c r="BN54" s="17">
        <v>0</v>
      </c>
      <c r="BO54" s="15">
        <v>0</v>
      </c>
      <c r="BP54" s="15">
        <v>0</v>
      </c>
      <c r="BQ54" s="17">
        <v>0</v>
      </c>
      <c r="BR54" s="15">
        <v>0</v>
      </c>
      <c r="BS54" s="15">
        <v>0</v>
      </c>
      <c r="BT54" s="17">
        <v>0</v>
      </c>
      <c r="BU54" s="15">
        <v>0</v>
      </c>
      <c r="BV54" s="15">
        <v>0</v>
      </c>
      <c r="BW54" s="17">
        <v>0</v>
      </c>
      <c r="BX54" s="87">
        <v>229</v>
      </c>
      <c r="BY54" s="139">
        <v>6</v>
      </c>
      <c r="BZ54" s="17">
        <v>0</v>
      </c>
      <c r="CA54" s="15">
        <v>0</v>
      </c>
      <c r="CB54" s="15">
        <v>0</v>
      </c>
      <c r="CC54" s="17">
        <v>0</v>
      </c>
      <c r="CD54" s="15">
        <v>0</v>
      </c>
      <c r="CE54" s="15">
        <v>0</v>
      </c>
      <c r="CF54" s="17">
        <v>0</v>
      </c>
      <c r="CG54" s="15">
        <v>0</v>
      </c>
      <c r="CH54" s="15">
        <v>0</v>
      </c>
      <c r="CI54" s="17">
        <v>0</v>
      </c>
      <c r="CJ54" s="15">
        <v>0</v>
      </c>
      <c r="CK54" s="15">
        <v>0</v>
      </c>
      <c r="CL54" s="17">
        <v>0</v>
      </c>
      <c r="CM54" s="15">
        <v>0</v>
      </c>
      <c r="CN54" s="15">
        <v>0</v>
      </c>
      <c r="CO54" s="17">
        <v>0</v>
      </c>
      <c r="CP54" s="15">
        <v>0</v>
      </c>
      <c r="CQ54" s="15">
        <v>0</v>
      </c>
      <c r="CR54" s="17">
        <v>0</v>
      </c>
      <c r="CS54" s="15">
        <v>0</v>
      </c>
      <c r="CT54" s="15">
        <v>0</v>
      </c>
      <c r="CU54" s="17">
        <v>0</v>
      </c>
      <c r="CV54" s="15">
        <v>0</v>
      </c>
      <c r="CW54" s="15">
        <v>0</v>
      </c>
      <c r="CX54" s="17">
        <v>0</v>
      </c>
      <c r="CY54" s="15">
        <v>0</v>
      </c>
      <c r="CZ54" s="15">
        <v>0</v>
      </c>
      <c r="DA54" s="17">
        <v>0</v>
      </c>
      <c r="DB54" s="15">
        <v>0</v>
      </c>
      <c r="DC54" s="15">
        <v>0</v>
      </c>
      <c r="DD54" s="17">
        <v>0</v>
      </c>
      <c r="DE54" s="15">
        <v>0</v>
      </c>
      <c r="DF54" s="15">
        <v>0</v>
      </c>
      <c r="DG54" s="17">
        <v>0</v>
      </c>
      <c r="DH54" s="15">
        <v>0</v>
      </c>
      <c r="DI54" s="15">
        <v>0</v>
      </c>
      <c r="DJ54" s="17">
        <v>0</v>
      </c>
      <c r="DK54" s="15">
        <v>0</v>
      </c>
      <c r="DL54" s="15">
        <v>0</v>
      </c>
      <c r="DM54" s="17">
        <v>0</v>
      </c>
      <c r="DN54" s="15">
        <v>0</v>
      </c>
      <c r="DO54" s="15">
        <v>0</v>
      </c>
      <c r="DP54" s="17">
        <v>0</v>
      </c>
      <c r="DQ54" s="15">
        <v>0</v>
      </c>
      <c r="DR54" s="15">
        <v>0</v>
      </c>
      <c r="DS54" s="17">
        <v>0</v>
      </c>
      <c r="DT54" s="15">
        <v>0</v>
      </c>
      <c r="DU54" s="15">
        <v>0</v>
      </c>
      <c r="DV54" s="17">
        <v>0</v>
      </c>
      <c r="DW54" s="87">
        <v>9</v>
      </c>
      <c r="DX54" s="15">
        <v>0</v>
      </c>
      <c r="DY54" s="17">
        <v>0</v>
      </c>
      <c r="DZ54" s="15">
        <v>0</v>
      </c>
      <c r="EA54" s="15">
        <v>0</v>
      </c>
      <c r="EB54" s="17">
        <v>0</v>
      </c>
      <c r="EC54" s="87">
        <v>2</v>
      </c>
      <c r="ED54" s="15">
        <v>0</v>
      </c>
      <c r="EE54" s="17">
        <v>0</v>
      </c>
      <c r="EF54" s="15">
        <v>0</v>
      </c>
      <c r="EG54" s="15">
        <v>0</v>
      </c>
      <c r="EH54" s="17">
        <v>0</v>
      </c>
      <c r="EI54" s="15">
        <v>0</v>
      </c>
      <c r="EJ54" s="15">
        <v>0</v>
      </c>
      <c r="EK54" s="17">
        <v>0</v>
      </c>
      <c r="EL54" s="15">
        <v>0</v>
      </c>
      <c r="EM54" s="15">
        <v>0</v>
      </c>
      <c r="EN54" s="17">
        <v>0</v>
      </c>
      <c r="EO54" s="15">
        <v>0</v>
      </c>
      <c r="EP54" s="15">
        <v>0</v>
      </c>
      <c r="EQ54" s="17">
        <v>0</v>
      </c>
      <c r="ER54" s="87">
        <v>1</v>
      </c>
      <c r="ES54" s="15">
        <v>0</v>
      </c>
      <c r="ET54" s="17">
        <v>0</v>
      </c>
      <c r="EU54" s="15">
        <v>0</v>
      </c>
      <c r="EV54" s="15">
        <v>0</v>
      </c>
      <c r="EW54" s="17">
        <v>0</v>
      </c>
      <c r="EX54" s="15">
        <v>0</v>
      </c>
      <c r="EY54" s="15">
        <v>0</v>
      </c>
      <c r="EZ54" s="17">
        <v>0</v>
      </c>
      <c r="FA54" s="15">
        <v>0</v>
      </c>
      <c r="FB54" s="15">
        <v>0</v>
      </c>
      <c r="FC54" s="17">
        <v>0</v>
      </c>
      <c r="FD54" s="55"/>
      <c r="FE54" s="77" t="s">
        <v>217</v>
      </c>
    </row>
    <row r="55" spans="1:161" ht="38.25">
      <c r="A55" s="93">
        <v>43886</v>
      </c>
      <c r="B55" s="84">
        <f t="shared" ref="B55:D55" si="100">SUM(J55,P55,S55,V55,Y55,AB55,AK55,AN55,AQ55,AT55,AW55,AZ55,BC55,BF55,BL55,BO55,BR55,BU55,BX55,CG55,CJ55,CM55,CP55,CS55,CV55,DH55,CY55,DB55,DK55,DN55,DQ55,DT55,DW55,DZ55,EC55,EF55,EI55,EL55,EO55,ER55,EU55,EX55,FA55,)</f>
        <v>385</v>
      </c>
      <c r="C55" s="124">
        <f t="shared" si="100"/>
        <v>12</v>
      </c>
      <c r="D55" s="125">
        <f t="shared" si="100"/>
        <v>29</v>
      </c>
      <c r="E55" s="85">
        <f t="shared" si="1"/>
        <v>344</v>
      </c>
      <c r="F55" s="86">
        <f t="shared" ref="F55:H55" si="101">SUM(P55,S55,V55,AE55,AH55,AK55,AN55,AQ55,AT55,AW55,AZ55,BF55,BL55,BR55,BX55,CG55,CM55,CP55,CV55,DK55,DN55,DQ55,DT55,DZ55,EL55,EO55,ER55)</f>
        <v>366</v>
      </c>
      <c r="G55" s="148">
        <f t="shared" si="101"/>
        <v>12</v>
      </c>
      <c r="H55" s="149">
        <f t="shared" si="101"/>
        <v>19</v>
      </c>
      <c r="I55" s="85">
        <f t="shared" si="3"/>
        <v>335</v>
      </c>
      <c r="J55" s="15">
        <v>0</v>
      </c>
      <c r="K55" s="15">
        <v>0</v>
      </c>
      <c r="L55" s="17">
        <v>0</v>
      </c>
      <c r="M55" s="15">
        <v>0</v>
      </c>
      <c r="N55" s="15">
        <v>0</v>
      </c>
      <c r="O55" s="17">
        <v>0</v>
      </c>
      <c r="P55" s="87">
        <v>18</v>
      </c>
      <c r="Q55" s="18">
        <v>0</v>
      </c>
      <c r="R55" s="150">
        <v>14</v>
      </c>
      <c r="S55" s="105">
        <v>2</v>
      </c>
      <c r="T55" s="15">
        <v>0</v>
      </c>
      <c r="U55" s="17">
        <v>0</v>
      </c>
      <c r="V55" s="105">
        <v>1</v>
      </c>
      <c r="W55" s="15">
        <v>0</v>
      </c>
      <c r="X55" s="150">
        <v>1</v>
      </c>
      <c r="Y55" s="15">
        <v>0</v>
      </c>
      <c r="Z55" s="15">
        <v>0</v>
      </c>
      <c r="AA55" s="17">
        <v>0</v>
      </c>
      <c r="AB55" s="15">
        <v>0</v>
      </c>
      <c r="AC55" s="15">
        <v>0</v>
      </c>
      <c r="AD55" s="17">
        <v>0</v>
      </c>
      <c r="AE55" s="15">
        <v>0</v>
      </c>
      <c r="AF55" s="15">
        <v>0</v>
      </c>
      <c r="AG55" s="17">
        <v>0</v>
      </c>
      <c r="AH55" s="15">
        <v>0</v>
      </c>
      <c r="AI55" s="15">
        <v>0</v>
      </c>
      <c r="AJ55" s="17">
        <v>0</v>
      </c>
      <c r="AK55" s="105">
        <v>2</v>
      </c>
      <c r="AL55" s="15">
        <v>0</v>
      </c>
      <c r="AM55" s="17">
        <v>0</v>
      </c>
      <c r="AN55" s="15">
        <v>0</v>
      </c>
      <c r="AO55" s="15">
        <v>0</v>
      </c>
      <c r="AP55" s="17">
        <v>0</v>
      </c>
      <c r="AQ55" s="105">
        <v>5</v>
      </c>
      <c r="AR55" s="15">
        <v>0</v>
      </c>
      <c r="AS55" s="150">
        <v>2</v>
      </c>
      <c r="AT55" s="15">
        <v>0</v>
      </c>
      <c r="AU55" s="15">
        <v>0</v>
      </c>
      <c r="AV55" s="17">
        <v>0</v>
      </c>
      <c r="AW55" s="105">
        <v>1</v>
      </c>
      <c r="AX55" s="15">
        <v>0</v>
      </c>
      <c r="AY55" s="150">
        <v>1</v>
      </c>
      <c r="AZ55" s="105">
        <v>14</v>
      </c>
      <c r="BA55" s="139">
        <v>1</v>
      </c>
      <c r="BB55" s="17">
        <v>0</v>
      </c>
      <c r="BC55" s="15">
        <v>0</v>
      </c>
      <c r="BD55" s="15">
        <v>0</v>
      </c>
      <c r="BE55" s="17">
        <v>0</v>
      </c>
      <c r="BF55" s="15">
        <v>0</v>
      </c>
      <c r="BG55" s="15">
        <v>0</v>
      </c>
      <c r="BH55" s="17">
        <v>0</v>
      </c>
      <c r="BI55" s="15">
        <v>0</v>
      </c>
      <c r="BJ55" s="15">
        <v>0</v>
      </c>
      <c r="BK55" s="17">
        <v>0</v>
      </c>
      <c r="BL55" s="15">
        <v>0</v>
      </c>
      <c r="BM55" s="15">
        <v>0</v>
      </c>
      <c r="BN55" s="17">
        <v>0</v>
      </c>
      <c r="BO55" s="15">
        <v>0</v>
      </c>
      <c r="BP55" s="15">
        <v>0</v>
      </c>
      <c r="BQ55" s="17">
        <v>0</v>
      </c>
      <c r="BR55" s="15">
        <v>0</v>
      </c>
      <c r="BS55" s="15">
        <v>0</v>
      </c>
      <c r="BT55" s="17">
        <v>0</v>
      </c>
      <c r="BU55" s="15">
        <v>0</v>
      </c>
      <c r="BV55" s="15">
        <v>0</v>
      </c>
      <c r="BW55" s="17">
        <v>0</v>
      </c>
      <c r="BX55" s="105">
        <v>322</v>
      </c>
      <c r="BY55" s="139">
        <v>11</v>
      </c>
      <c r="BZ55" s="150">
        <v>1</v>
      </c>
      <c r="CA55" s="15">
        <v>0</v>
      </c>
      <c r="CB55" s="15">
        <v>0</v>
      </c>
      <c r="CC55" s="17">
        <v>0</v>
      </c>
      <c r="CD55" s="15">
        <v>0</v>
      </c>
      <c r="CE55" s="15">
        <v>0</v>
      </c>
      <c r="CF55" s="17">
        <v>0</v>
      </c>
      <c r="CG55" s="15">
        <v>0</v>
      </c>
      <c r="CH55" s="15">
        <v>0</v>
      </c>
      <c r="CI55" s="17">
        <v>0</v>
      </c>
      <c r="CJ55" s="15">
        <v>0</v>
      </c>
      <c r="CK55" s="15">
        <v>0</v>
      </c>
      <c r="CL55" s="17">
        <v>0</v>
      </c>
      <c r="CM55" s="15">
        <v>0</v>
      </c>
      <c r="CN55" s="15">
        <v>0</v>
      </c>
      <c r="CO55" s="17">
        <v>0</v>
      </c>
      <c r="CP55" s="15">
        <v>0</v>
      </c>
      <c r="CQ55" s="15">
        <v>0</v>
      </c>
      <c r="CR55" s="17">
        <v>0</v>
      </c>
      <c r="CS55" s="15">
        <v>0</v>
      </c>
      <c r="CT55" s="15">
        <v>0</v>
      </c>
      <c r="CU55" s="17">
        <v>0</v>
      </c>
      <c r="CV55" s="15">
        <v>0</v>
      </c>
      <c r="CW55" s="15">
        <v>0</v>
      </c>
      <c r="CX55" s="17">
        <v>0</v>
      </c>
      <c r="CY55" s="15">
        <v>0</v>
      </c>
      <c r="CZ55" s="15">
        <v>0</v>
      </c>
      <c r="DA55" s="17">
        <v>0</v>
      </c>
      <c r="DB55" s="15">
        <v>0</v>
      </c>
      <c r="DC55" s="15">
        <v>0</v>
      </c>
      <c r="DD55" s="17">
        <v>0</v>
      </c>
      <c r="DE55" s="15">
        <v>0</v>
      </c>
      <c r="DF55" s="15">
        <v>0</v>
      </c>
      <c r="DG55" s="17">
        <v>0</v>
      </c>
      <c r="DH55" s="15">
        <v>0</v>
      </c>
      <c r="DI55" s="15">
        <v>0</v>
      </c>
      <c r="DJ55" s="17">
        <v>0</v>
      </c>
      <c r="DK55" s="15">
        <v>0</v>
      </c>
      <c r="DL55" s="15">
        <v>0</v>
      </c>
      <c r="DM55" s="17">
        <v>0</v>
      </c>
      <c r="DN55" s="15">
        <v>0</v>
      </c>
      <c r="DO55" s="15">
        <v>0</v>
      </c>
      <c r="DP55" s="17">
        <v>0</v>
      </c>
      <c r="DQ55" s="15">
        <v>0</v>
      </c>
      <c r="DR55" s="15">
        <v>0</v>
      </c>
      <c r="DS55" s="17">
        <v>0</v>
      </c>
      <c r="DT55" s="15">
        <v>0</v>
      </c>
      <c r="DU55" s="15">
        <v>0</v>
      </c>
      <c r="DV55" s="17">
        <v>0</v>
      </c>
      <c r="DW55" s="105">
        <v>13</v>
      </c>
      <c r="DX55" s="15">
        <v>0</v>
      </c>
      <c r="DY55" s="150">
        <v>8</v>
      </c>
      <c r="DZ55" s="15">
        <v>0</v>
      </c>
      <c r="EA55" s="15">
        <v>0</v>
      </c>
      <c r="EB55" s="17">
        <v>0</v>
      </c>
      <c r="EC55" s="105">
        <v>2</v>
      </c>
      <c r="ED55" s="15">
        <v>0</v>
      </c>
      <c r="EE55" s="150">
        <v>2</v>
      </c>
      <c r="EF55" s="15">
        <v>0</v>
      </c>
      <c r="EG55" s="15">
        <v>0</v>
      </c>
      <c r="EH55" s="17">
        <v>0</v>
      </c>
      <c r="EI55" s="15">
        <v>0</v>
      </c>
      <c r="EJ55" s="15">
        <v>0</v>
      </c>
      <c r="EK55" s="17">
        <v>0</v>
      </c>
      <c r="EL55" s="15">
        <v>0</v>
      </c>
      <c r="EM55" s="15">
        <v>0</v>
      </c>
      <c r="EN55" s="17">
        <v>0</v>
      </c>
      <c r="EO55" s="15">
        <v>0</v>
      </c>
      <c r="EP55" s="15">
        <v>0</v>
      </c>
      <c r="EQ55" s="17">
        <v>0</v>
      </c>
      <c r="ER55" s="87">
        <v>1</v>
      </c>
      <c r="ES55" s="15">
        <v>0</v>
      </c>
      <c r="ET55" s="17">
        <v>0</v>
      </c>
      <c r="EU55" s="87">
        <f>SuisseSwitzerland!B55</f>
        <v>4</v>
      </c>
      <c r="EV55" s="15">
        <v>0</v>
      </c>
      <c r="EW55" s="17">
        <v>0</v>
      </c>
      <c r="EX55" s="15">
        <v>0</v>
      </c>
      <c r="EY55" s="15">
        <v>0</v>
      </c>
      <c r="EZ55" s="17">
        <v>0</v>
      </c>
      <c r="FA55" s="15">
        <v>0</v>
      </c>
      <c r="FB55" s="15">
        <v>0</v>
      </c>
      <c r="FC55" s="17">
        <v>0</v>
      </c>
      <c r="FD55" s="151" t="s">
        <v>283</v>
      </c>
      <c r="FE55" s="76" t="s">
        <v>219</v>
      </c>
    </row>
    <row r="56" spans="1:161" ht="12.75">
      <c r="A56" s="93">
        <v>43887</v>
      </c>
      <c r="B56" s="84">
        <f t="shared" ref="B56:D56" si="102">SUM(J56,P56,S56,V56,Y56,AB56,AK56,AN56,AQ56,AT56,AW56,AZ56,BC56,BF56,BL56,BO56,BR56,BU56,BX56,CG56,CJ56,CM56,CP56,CS56,CV56,DH56,CY56,DB56,DK56,DN56,DQ56,DT56,DW56,DZ56,EC56,EF56,EI56,EL56,EO56,ER56,EU56,EX56,FA56,)</f>
        <v>486</v>
      </c>
      <c r="C56" s="124">
        <f t="shared" si="102"/>
        <v>14</v>
      </c>
      <c r="D56" s="125">
        <f t="shared" si="102"/>
        <v>30</v>
      </c>
      <c r="E56" s="85">
        <f t="shared" si="1"/>
        <v>442</v>
      </c>
      <c r="F56" s="152">
        <f t="shared" ref="F56:H56" si="103">SUM(P56,S56,V56,AE56,AH56,AK56,AN56,AQ56,AT56,AW56,AZ56,BF56,BL56,BR56,BX56,CG56,CM56,CP56,CV56,DK56,DN56,DQ56,DT56,DZ56,EL56,EO56,ER56)</f>
        <v>465</v>
      </c>
      <c r="G56" s="148">
        <f t="shared" si="103"/>
        <v>14</v>
      </c>
      <c r="H56" s="149">
        <f t="shared" si="103"/>
        <v>20</v>
      </c>
      <c r="I56" s="153">
        <f t="shared" si="3"/>
        <v>431</v>
      </c>
      <c r="J56" s="15">
        <v>0</v>
      </c>
      <c r="K56" s="15">
        <v>0</v>
      </c>
      <c r="L56" s="17">
        <v>0</v>
      </c>
      <c r="M56" s="15">
        <v>0</v>
      </c>
      <c r="N56" s="15">
        <v>0</v>
      </c>
      <c r="O56" s="17">
        <v>0</v>
      </c>
      <c r="P56" s="105">
        <v>21</v>
      </c>
      <c r="Q56" s="18">
        <v>0</v>
      </c>
      <c r="R56" s="150">
        <v>15</v>
      </c>
      <c r="S56" s="105">
        <v>2</v>
      </c>
      <c r="T56" s="15">
        <v>0</v>
      </c>
      <c r="U56" s="17">
        <v>0</v>
      </c>
      <c r="V56" s="105">
        <v>1</v>
      </c>
      <c r="W56" s="15">
        <v>0</v>
      </c>
      <c r="X56" s="150">
        <v>1</v>
      </c>
      <c r="Y56" s="15">
        <v>0</v>
      </c>
      <c r="Z56" s="15">
        <v>0</v>
      </c>
      <c r="AA56" s="17">
        <v>0</v>
      </c>
      <c r="AB56" s="15">
        <v>0</v>
      </c>
      <c r="AC56" s="15">
        <v>0</v>
      </c>
      <c r="AD56" s="17">
        <v>0</v>
      </c>
      <c r="AE56" s="15">
        <v>0</v>
      </c>
      <c r="AF56" s="15">
        <v>0</v>
      </c>
      <c r="AG56" s="17">
        <v>0</v>
      </c>
      <c r="AH56" s="15">
        <v>0</v>
      </c>
      <c r="AI56" s="15">
        <v>0</v>
      </c>
      <c r="AJ56" s="17">
        <v>0</v>
      </c>
      <c r="AK56" s="105">
        <v>3</v>
      </c>
      <c r="AL56" s="15">
        <v>0</v>
      </c>
      <c r="AM56" s="17">
        <v>0</v>
      </c>
      <c r="AN56" s="105">
        <v>1</v>
      </c>
      <c r="AO56" s="15">
        <v>0</v>
      </c>
      <c r="AP56" s="17">
        <v>0</v>
      </c>
      <c r="AQ56" s="105">
        <v>12</v>
      </c>
      <c r="AR56" s="15">
        <v>0</v>
      </c>
      <c r="AS56" s="150">
        <v>2</v>
      </c>
      <c r="AT56" s="105">
        <v>1</v>
      </c>
      <c r="AU56" s="15">
        <v>0</v>
      </c>
      <c r="AV56" s="17">
        <v>0</v>
      </c>
      <c r="AW56" s="105">
        <v>2</v>
      </c>
      <c r="AX56" s="15">
        <v>0</v>
      </c>
      <c r="AY56" s="150">
        <v>1</v>
      </c>
      <c r="AZ56" s="105">
        <v>18</v>
      </c>
      <c r="BA56" s="139">
        <v>2</v>
      </c>
      <c r="BB56" s="17">
        <v>0</v>
      </c>
      <c r="BC56" s="15">
        <v>0</v>
      </c>
      <c r="BD56" s="15">
        <v>0</v>
      </c>
      <c r="BE56" s="17">
        <v>0</v>
      </c>
      <c r="BF56" s="105">
        <v>1</v>
      </c>
      <c r="BG56" s="15">
        <v>0</v>
      </c>
      <c r="BH56" s="17">
        <v>0</v>
      </c>
      <c r="BI56" s="15">
        <v>0</v>
      </c>
      <c r="BJ56" s="15">
        <v>0</v>
      </c>
      <c r="BK56" s="17">
        <v>0</v>
      </c>
      <c r="BL56" s="15">
        <v>0</v>
      </c>
      <c r="BM56" s="15">
        <v>0</v>
      </c>
      <c r="BN56" s="17">
        <v>0</v>
      </c>
      <c r="BO56" s="15">
        <v>0</v>
      </c>
      <c r="BP56" s="15">
        <v>0</v>
      </c>
      <c r="BQ56" s="17">
        <v>0</v>
      </c>
      <c r="BR56" s="15">
        <v>0</v>
      </c>
      <c r="BS56" s="15">
        <v>0</v>
      </c>
      <c r="BT56" s="17">
        <v>0</v>
      </c>
      <c r="BU56" s="15">
        <v>0</v>
      </c>
      <c r="BV56" s="15">
        <v>0</v>
      </c>
      <c r="BW56" s="17">
        <v>0</v>
      </c>
      <c r="BX56" s="105">
        <v>400</v>
      </c>
      <c r="BY56" s="139">
        <v>12</v>
      </c>
      <c r="BZ56" s="150">
        <v>1</v>
      </c>
      <c r="CA56" s="15">
        <v>0</v>
      </c>
      <c r="CB56" s="15">
        <v>0</v>
      </c>
      <c r="CC56" s="17">
        <v>0</v>
      </c>
      <c r="CD56" s="15">
        <v>0</v>
      </c>
      <c r="CE56" s="15">
        <v>0</v>
      </c>
      <c r="CF56" s="17">
        <v>0</v>
      </c>
      <c r="CG56" s="15">
        <v>0</v>
      </c>
      <c r="CH56" s="15">
        <v>0</v>
      </c>
      <c r="CI56" s="17">
        <v>0</v>
      </c>
      <c r="CJ56" s="15">
        <v>0</v>
      </c>
      <c r="CK56" s="15">
        <v>0</v>
      </c>
      <c r="CL56" s="17">
        <v>0</v>
      </c>
      <c r="CM56" s="15">
        <v>0</v>
      </c>
      <c r="CN56" s="15">
        <v>0</v>
      </c>
      <c r="CO56" s="17">
        <v>0</v>
      </c>
      <c r="CP56" s="15">
        <v>0</v>
      </c>
      <c r="CQ56" s="15">
        <v>0</v>
      </c>
      <c r="CR56" s="17">
        <v>0</v>
      </c>
      <c r="CS56" s="105">
        <v>1</v>
      </c>
      <c r="CT56" s="15">
        <v>0</v>
      </c>
      <c r="CU56" s="17">
        <v>0</v>
      </c>
      <c r="CV56" s="15">
        <v>0</v>
      </c>
      <c r="CW56" s="15">
        <v>0</v>
      </c>
      <c r="CX56" s="17">
        <v>0</v>
      </c>
      <c r="CY56" s="15">
        <v>0</v>
      </c>
      <c r="CZ56" s="15">
        <v>0</v>
      </c>
      <c r="DA56" s="17">
        <v>0</v>
      </c>
      <c r="DB56" s="15">
        <v>0</v>
      </c>
      <c r="DC56" s="15">
        <v>0</v>
      </c>
      <c r="DD56" s="17">
        <v>0</v>
      </c>
      <c r="DE56" s="15">
        <v>0</v>
      </c>
      <c r="DF56" s="15">
        <v>0</v>
      </c>
      <c r="DG56" s="17">
        <v>0</v>
      </c>
      <c r="DH56" s="15">
        <v>0</v>
      </c>
      <c r="DI56" s="15">
        <v>0</v>
      </c>
      <c r="DJ56" s="17">
        <v>0</v>
      </c>
      <c r="DK56" s="15">
        <v>0</v>
      </c>
      <c r="DL56" s="15">
        <v>0</v>
      </c>
      <c r="DM56" s="17">
        <v>0</v>
      </c>
      <c r="DN56" s="15">
        <v>0</v>
      </c>
      <c r="DO56" s="15">
        <v>0</v>
      </c>
      <c r="DP56" s="17">
        <v>0</v>
      </c>
      <c r="DQ56" s="15">
        <v>0</v>
      </c>
      <c r="DR56" s="15">
        <v>0</v>
      </c>
      <c r="DS56" s="17">
        <v>0</v>
      </c>
      <c r="DT56" s="15">
        <v>0</v>
      </c>
      <c r="DU56" s="15">
        <v>0</v>
      </c>
      <c r="DV56" s="17">
        <v>0</v>
      </c>
      <c r="DW56" s="105">
        <v>13</v>
      </c>
      <c r="DX56" s="15">
        <v>0</v>
      </c>
      <c r="DY56" s="150">
        <v>8</v>
      </c>
      <c r="DZ56" s="105">
        <v>1</v>
      </c>
      <c r="EA56" s="15">
        <v>0</v>
      </c>
      <c r="EB56" s="17">
        <v>0</v>
      </c>
      <c r="EC56" s="105">
        <v>2</v>
      </c>
      <c r="ED56" s="15">
        <v>0</v>
      </c>
      <c r="EE56" s="150">
        <v>2</v>
      </c>
      <c r="EF56" s="15">
        <v>0</v>
      </c>
      <c r="EG56" s="15">
        <v>0</v>
      </c>
      <c r="EH56" s="17">
        <v>0</v>
      </c>
      <c r="EI56" s="15">
        <v>0</v>
      </c>
      <c r="EJ56" s="15">
        <v>0</v>
      </c>
      <c r="EK56" s="17">
        <v>0</v>
      </c>
      <c r="EL56" s="15">
        <v>0</v>
      </c>
      <c r="EM56" s="15">
        <v>0</v>
      </c>
      <c r="EN56" s="17">
        <v>0</v>
      </c>
      <c r="EO56" s="15">
        <v>0</v>
      </c>
      <c r="EP56" s="15">
        <v>0</v>
      </c>
      <c r="EQ56" s="17">
        <v>0</v>
      </c>
      <c r="ER56" s="105">
        <v>2</v>
      </c>
      <c r="ES56" s="15">
        <v>0</v>
      </c>
      <c r="ET56" s="17">
        <v>0</v>
      </c>
      <c r="EU56" s="87">
        <f>SuisseSwitzerland!B56</f>
        <v>5</v>
      </c>
      <c r="EV56" s="101">
        <f>SuisseSwitzerland!C56</f>
        <v>0</v>
      </c>
      <c r="EW56" s="154">
        <f>SuisseSwitzerland!D56</f>
        <v>0</v>
      </c>
      <c r="EX56" s="15">
        <v>0</v>
      </c>
      <c r="EY56" s="15">
        <v>0</v>
      </c>
      <c r="EZ56" s="17">
        <v>0</v>
      </c>
      <c r="FA56" s="15">
        <v>0</v>
      </c>
      <c r="FB56" s="15">
        <v>0</v>
      </c>
      <c r="FC56" s="17">
        <v>0</v>
      </c>
      <c r="FD56" s="55" t="s">
        <v>288</v>
      </c>
      <c r="FE56" s="76" t="s">
        <v>289</v>
      </c>
    </row>
    <row r="57" spans="1:161" ht="12.75">
      <c r="A57" s="93">
        <v>43888</v>
      </c>
      <c r="B57" s="84">
        <f t="shared" ref="B57:D57" si="104">SUM(J57,P57,S57,V57,Y57,AB57,AK57,AN57,AQ57,AT57,AW57,AZ57,BC57,BF57,BL57,BO57,BR57,BU57,BX57,CG57,CJ57,CM57,CP57,CS57,CV57,DH57,CY57,DB57,DK57,DN57,DQ57,DT57,DW57,DZ57,EC57,EF57,EI57,EL57,EO57,ER57,EU57,EX57,FA57,)</f>
        <v>798</v>
      </c>
      <c r="C57" s="124">
        <f t="shared" si="104"/>
        <v>19</v>
      </c>
      <c r="D57" s="125">
        <f t="shared" si="104"/>
        <v>70</v>
      </c>
      <c r="E57" s="85">
        <f t="shared" si="1"/>
        <v>709</v>
      </c>
      <c r="F57" s="152">
        <f t="shared" ref="F57:H57" si="105">SUM(P57,S57,V57,AE57,AH57,AK57,AN57,AQ57,AT57,AW57,AZ57,BF57,BL57,BR57,BX57,CG57,CM57,CP57,CV57,DK57,DN57,DQ57,DT57,DZ57,EL57,EO57,ER57)</f>
        <v>764</v>
      </c>
      <c r="G57" s="148">
        <f t="shared" si="105"/>
        <v>19</v>
      </c>
      <c r="H57" s="149">
        <f t="shared" si="105"/>
        <v>60</v>
      </c>
      <c r="I57" s="153">
        <f t="shared" si="3"/>
        <v>685</v>
      </c>
      <c r="J57" s="15">
        <v>0</v>
      </c>
      <c r="K57" s="15">
        <v>0</v>
      </c>
      <c r="L57" s="17">
        <v>0</v>
      </c>
      <c r="M57" s="15">
        <v>0</v>
      </c>
      <c r="N57" s="15">
        <v>0</v>
      </c>
      <c r="O57" s="17">
        <v>0</v>
      </c>
      <c r="P57" s="105">
        <v>26</v>
      </c>
      <c r="Q57" s="18">
        <v>0</v>
      </c>
      <c r="R57" s="150">
        <v>16</v>
      </c>
      <c r="S57" s="105">
        <v>4</v>
      </c>
      <c r="T57" s="15">
        <v>0</v>
      </c>
      <c r="U57" s="17">
        <v>0</v>
      </c>
      <c r="V57" s="105">
        <v>1</v>
      </c>
      <c r="W57" s="15">
        <v>0</v>
      </c>
      <c r="X57" s="150">
        <v>1</v>
      </c>
      <c r="Y57" s="105">
        <v>1</v>
      </c>
      <c r="Z57" s="15">
        <v>0</v>
      </c>
      <c r="AA57" s="17">
        <v>0</v>
      </c>
      <c r="AB57" s="15">
        <v>0</v>
      </c>
      <c r="AC57" s="15">
        <v>0</v>
      </c>
      <c r="AD57" s="17">
        <v>0</v>
      </c>
      <c r="AE57" s="15">
        <v>0</v>
      </c>
      <c r="AF57" s="15">
        <v>0</v>
      </c>
      <c r="AG57" s="17">
        <v>0</v>
      </c>
      <c r="AH57" s="15">
        <v>0</v>
      </c>
      <c r="AI57" s="15">
        <v>0</v>
      </c>
      <c r="AJ57" s="17">
        <v>0</v>
      </c>
      <c r="AK57" s="105">
        <v>3</v>
      </c>
      <c r="AL57" s="15">
        <v>0</v>
      </c>
      <c r="AM57" s="17">
        <v>0</v>
      </c>
      <c r="AN57" s="105">
        <v>1</v>
      </c>
      <c r="AO57" s="15">
        <v>0</v>
      </c>
      <c r="AP57" s="17">
        <v>0</v>
      </c>
      <c r="AQ57" s="105">
        <v>25</v>
      </c>
      <c r="AR57" s="15">
        <v>0</v>
      </c>
      <c r="AS57" s="150">
        <v>2</v>
      </c>
      <c r="AT57" s="105">
        <v>1</v>
      </c>
      <c r="AU57" s="15">
        <v>0</v>
      </c>
      <c r="AV57" s="17">
        <v>0</v>
      </c>
      <c r="AW57" s="105">
        <v>2</v>
      </c>
      <c r="AX57" s="15">
        <v>0</v>
      </c>
      <c r="AY57" s="150">
        <v>1</v>
      </c>
      <c r="AZ57" s="105">
        <v>38</v>
      </c>
      <c r="BA57" s="139">
        <v>2</v>
      </c>
      <c r="BB57" s="17">
        <v>0</v>
      </c>
      <c r="BC57" s="15">
        <v>0</v>
      </c>
      <c r="BD57" s="15">
        <v>0</v>
      </c>
      <c r="BE57" s="17">
        <v>0</v>
      </c>
      <c r="BF57" s="105">
        <v>3</v>
      </c>
      <c r="BG57" s="15">
        <v>0</v>
      </c>
      <c r="BH57" s="17">
        <v>0</v>
      </c>
      <c r="BI57" s="15">
        <v>0</v>
      </c>
      <c r="BJ57" s="15">
        <v>0</v>
      </c>
      <c r="BK57" s="17">
        <v>0</v>
      </c>
      <c r="BL57" s="15">
        <v>0</v>
      </c>
      <c r="BM57" s="15">
        <v>0</v>
      </c>
      <c r="BN57" s="17">
        <v>0</v>
      </c>
      <c r="BO57" s="15">
        <v>0</v>
      </c>
      <c r="BP57" s="15">
        <v>0</v>
      </c>
      <c r="BQ57" s="17">
        <v>0</v>
      </c>
      <c r="BR57" s="15">
        <v>0</v>
      </c>
      <c r="BS57" s="15">
        <v>0</v>
      </c>
      <c r="BT57" s="17">
        <v>0</v>
      </c>
      <c r="BU57" s="15">
        <v>0</v>
      </c>
      <c r="BV57" s="15">
        <v>0</v>
      </c>
      <c r="BW57" s="17">
        <v>0</v>
      </c>
      <c r="BX57" s="105">
        <v>650</v>
      </c>
      <c r="BY57" s="139">
        <v>17</v>
      </c>
      <c r="BZ57" s="150">
        <v>40</v>
      </c>
      <c r="CA57" s="15">
        <v>0</v>
      </c>
      <c r="CB57" s="15">
        <v>0</v>
      </c>
      <c r="CC57" s="17">
        <v>0</v>
      </c>
      <c r="CD57" s="15">
        <v>0</v>
      </c>
      <c r="CE57" s="15">
        <v>0</v>
      </c>
      <c r="CF57" s="17">
        <v>0</v>
      </c>
      <c r="CG57" s="15">
        <v>0</v>
      </c>
      <c r="CH57" s="15">
        <v>0</v>
      </c>
      <c r="CI57" s="17">
        <v>0</v>
      </c>
      <c r="CJ57" s="15">
        <v>0</v>
      </c>
      <c r="CK57" s="15">
        <v>0</v>
      </c>
      <c r="CL57" s="17">
        <v>0</v>
      </c>
      <c r="CM57" s="105">
        <v>1</v>
      </c>
      <c r="CN57" s="15">
        <v>0</v>
      </c>
      <c r="CO57" s="17">
        <v>0</v>
      </c>
      <c r="CP57" s="15">
        <v>0</v>
      </c>
      <c r="CQ57" s="15">
        <v>0</v>
      </c>
      <c r="CR57" s="17">
        <v>0</v>
      </c>
      <c r="CS57" s="105">
        <v>1</v>
      </c>
      <c r="CT57" s="15">
        <v>0</v>
      </c>
      <c r="CU57" s="17">
        <v>0</v>
      </c>
      <c r="CV57" s="15">
        <v>0</v>
      </c>
      <c r="CW57" s="15">
        <v>0</v>
      </c>
      <c r="CX57" s="17">
        <v>0</v>
      </c>
      <c r="CY57" s="15">
        <v>0</v>
      </c>
      <c r="CZ57" s="15">
        <v>0</v>
      </c>
      <c r="DA57" s="17">
        <v>0</v>
      </c>
      <c r="DB57" s="15">
        <v>0</v>
      </c>
      <c r="DC57" s="15">
        <v>0</v>
      </c>
      <c r="DD57" s="17">
        <v>0</v>
      </c>
      <c r="DE57" s="15">
        <v>0</v>
      </c>
      <c r="DF57" s="15">
        <v>0</v>
      </c>
      <c r="DG57" s="17">
        <v>0</v>
      </c>
      <c r="DH57" s="105">
        <v>4</v>
      </c>
      <c r="DI57" s="15">
        <v>0</v>
      </c>
      <c r="DJ57" s="17">
        <v>0</v>
      </c>
      <c r="DK57" s="105">
        <v>1</v>
      </c>
      <c r="DL57" s="15">
        <v>0</v>
      </c>
      <c r="DM57" s="17">
        <v>0</v>
      </c>
      <c r="DN57" s="15">
        <v>0</v>
      </c>
      <c r="DO57" s="15">
        <v>0</v>
      </c>
      <c r="DP57" s="17">
        <v>0</v>
      </c>
      <c r="DQ57" s="15">
        <v>0</v>
      </c>
      <c r="DR57" s="15">
        <v>0</v>
      </c>
      <c r="DS57" s="17">
        <v>0</v>
      </c>
      <c r="DT57" s="15">
        <v>0</v>
      </c>
      <c r="DU57" s="15">
        <v>0</v>
      </c>
      <c r="DV57" s="17">
        <v>0</v>
      </c>
      <c r="DW57" s="105">
        <v>16</v>
      </c>
      <c r="DX57" s="15">
        <v>0</v>
      </c>
      <c r="DY57" s="150">
        <v>8</v>
      </c>
      <c r="DZ57" s="105">
        <v>1</v>
      </c>
      <c r="EA57" s="15">
        <v>0</v>
      </c>
      <c r="EB57" s="17">
        <v>0</v>
      </c>
      <c r="EC57" s="105">
        <v>2</v>
      </c>
      <c r="ED57" s="15">
        <v>0</v>
      </c>
      <c r="EE57" s="150">
        <v>2</v>
      </c>
      <c r="EF57" s="15">
        <v>0</v>
      </c>
      <c r="EG57" s="15">
        <v>0</v>
      </c>
      <c r="EH57" s="17">
        <v>0</v>
      </c>
      <c r="EI57" s="15">
        <v>0</v>
      </c>
      <c r="EJ57" s="15">
        <v>0</v>
      </c>
      <c r="EK57" s="17">
        <v>0</v>
      </c>
      <c r="EL57" s="15">
        <v>0</v>
      </c>
      <c r="EM57" s="15">
        <v>0</v>
      </c>
      <c r="EN57" s="17">
        <v>0</v>
      </c>
      <c r="EO57" s="15">
        <v>0</v>
      </c>
      <c r="EP57" s="15">
        <v>0</v>
      </c>
      <c r="EQ57" s="17">
        <v>0</v>
      </c>
      <c r="ER57" s="105">
        <v>7</v>
      </c>
      <c r="ES57" s="15">
        <v>0</v>
      </c>
      <c r="ET57" s="17">
        <v>0</v>
      </c>
      <c r="EU57" s="87">
        <f>SuisseSwitzerland!B57</f>
        <v>10</v>
      </c>
      <c r="EV57" s="101">
        <f>SuisseSwitzerland!C57</f>
        <v>0</v>
      </c>
      <c r="EW57" s="154">
        <f>SuisseSwitzerland!D57</f>
        <v>0</v>
      </c>
      <c r="EX57" s="15">
        <v>0</v>
      </c>
      <c r="EY57" s="15">
        <v>0</v>
      </c>
      <c r="EZ57" s="17">
        <v>0</v>
      </c>
      <c r="FA57" s="15">
        <v>0</v>
      </c>
      <c r="FB57" s="15">
        <v>0</v>
      </c>
      <c r="FC57" s="17">
        <v>0</v>
      </c>
      <c r="FD57" s="55" t="s">
        <v>292</v>
      </c>
      <c r="FE57" s="76" t="s">
        <v>293</v>
      </c>
    </row>
    <row r="58" spans="1:161" ht="12.75">
      <c r="A58" s="93">
        <v>43889</v>
      </c>
      <c r="B58" s="84">
        <f t="shared" ref="B58:D58" si="106">SUM(J58,P58,S58,V58,Y58,AB58,AK58,AN58,AQ58,AT58,AW58,AZ58,BC58,BF58,BL58,BO58,BR58,BU58,BX58,CG58,CJ58,CM58,CP58,CS58,CV58,DH58,CY58,DB58,DK58,DN58,DQ58,DT58,DW58,DZ58,EC58,EF58,EI58,EL58,EO58,ER58,EU58,EX58,FA58,)</f>
        <v>1121</v>
      </c>
      <c r="C58" s="124">
        <f t="shared" si="106"/>
        <v>23</v>
      </c>
      <c r="D58" s="125">
        <f t="shared" si="106"/>
        <v>77</v>
      </c>
      <c r="E58" s="85">
        <f t="shared" si="1"/>
        <v>1021</v>
      </c>
      <c r="F58" s="152">
        <f t="shared" ref="F58:H58" si="107">SUM(P58,S58,V58,AE58,AH58,AK58,AN58,AQ58,AT58,AW58,AZ58,BF58,BL58,BR58,BX58,CG58,CM58,CP58,CV58,DK58,DN58,DQ58,DT58,DZ58,EL58,EO58,ER58)</f>
        <v>1072</v>
      </c>
      <c r="G58" s="148">
        <f t="shared" si="107"/>
        <v>23</v>
      </c>
      <c r="H58" s="149">
        <f t="shared" si="107"/>
        <v>66</v>
      </c>
      <c r="I58" s="153">
        <f t="shared" si="3"/>
        <v>983</v>
      </c>
      <c r="J58" s="15">
        <v>0</v>
      </c>
      <c r="K58" s="15">
        <v>0</v>
      </c>
      <c r="L58" s="17">
        <v>0</v>
      </c>
      <c r="M58" s="15">
        <v>0</v>
      </c>
      <c r="N58" s="15">
        <v>0</v>
      </c>
      <c r="O58" s="17">
        <v>0</v>
      </c>
      <c r="P58" s="105">
        <v>57</v>
      </c>
      <c r="Q58" s="18">
        <v>0</v>
      </c>
      <c r="R58" s="150">
        <v>16</v>
      </c>
      <c r="S58" s="105">
        <v>5</v>
      </c>
      <c r="T58" s="15">
        <v>0</v>
      </c>
      <c r="U58" s="17">
        <v>0</v>
      </c>
      <c r="V58" s="105">
        <v>1</v>
      </c>
      <c r="W58" s="15">
        <v>0</v>
      </c>
      <c r="X58" s="150">
        <v>1</v>
      </c>
      <c r="Y58" s="105">
        <v>1</v>
      </c>
      <c r="Z58" s="15">
        <v>0</v>
      </c>
      <c r="AA58" s="17">
        <v>0</v>
      </c>
      <c r="AB58" s="15">
        <v>0</v>
      </c>
      <c r="AC58" s="15">
        <v>0</v>
      </c>
      <c r="AD58" s="17">
        <v>0</v>
      </c>
      <c r="AE58" s="15">
        <v>0</v>
      </c>
      <c r="AF58" s="15">
        <v>0</v>
      </c>
      <c r="AG58" s="17">
        <v>0</v>
      </c>
      <c r="AH58" s="15">
        <v>0</v>
      </c>
      <c r="AI58" s="15">
        <v>0</v>
      </c>
      <c r="AJ58" s="17">
        <v>0</v>
      </c>
      <c r="AK58" s="105">
        <v>5</v>
      </c>
      <c r="AL58" s="15">
        <v>0</v>
      </c>
      <c r="AM58" s="17">
        <v>0</v>
      </c>
      <c r="AN58" s="105">
        <v>2</v>
      </c>
      <c r="AO58" s="15">
        <v>0</v>
      </c>
      <c r="AP58" s="17">
        <v>0</v>
      </c>
      <c r="AQ58" s="105">
        <v>32</v>
      </c>
      <c r="AR58" s="15">
        <v>0</v>
      </c>
      <c r="AS58" s="150">
        <v>2</v>
      </c>
      <c r="AT58" s="105">
        <v>1</v>
      </c>
      <c r="AU58" s="15">
        <v>0</v>
      </c>
      <c r="AV58" s="17">
        <v>0</v>
      </c>
      <c r="AW58" s="105">
        <v>2</v>
      </c>
      <c r="AX58" s="15">
        <v>0</v>
      </c>
      <c r="AY58" s="150">
        <v>1</v>
      </c>
      <c r="AZ58" s="105">
        <v>57</v>
      </c>
      <c r="BA58" s="139">
        <v>2</v>
      </c>
      <c r="BB58" s="17">
        <v>0</v>
      </c>
      <c r="BC58" s="15">
        <v>0</v>
      </c>
      <c r="BD58" s="15">
        <v>0</v>
      </c>
      <c r="BE58" s="17">
        <v>0</v>
      </c>
      <c r="BF58" s="105">
        <v>4</v>
      </c>
      <c r="BG58" s="15">
        <v>0</v>
      </c>
      <c r="BH58" s="17">
        <v>0</v>
      </c>
      <c r="BI58" s="15">
        <v>0</v>
      </c>
      <c r="BJ58" s="15">
        <v>0</v>
      </c>
      <c r="BK58" s="17">
        <v>0</v>
      </c>
      <c r="BL58" s="15">
        <v>0</v>
      </c>
      <c r="BM58" s="15">
        <v>0</v>
      </c>
      <c r="BN58" s="17">
        <v>0</v>
      </c>
      <c r="BO58" s="15">
        <v>0</v>
      </c>
      <c r="BP58" s="15">
        <v>0</v>
      </c>
      <c r="BQ58" s="17">
        <v>0</v>
      </c>
      <c r="BR58" s="15">
        <v>0</v>
      </c>
      <c r="BS58" s="15">
        <v>0</v>
      </c>
      <c r="BT58" s="17">
        <v>0</v>
      </c>
      <c r="BU58" s="105">
        <v>1</v>
      </c>
      <c r="BV58" s="15">
        <v>0</v>
      </c>
      <c r="BW58" s="17">
        <v>0</v>
      </c>
      <c r="BX58" s="105">
        <v>888</v>
      </c>
      <c r="BY58" s="139">
        <v>21</v>
      </c>
      <c r="BZ58" s="150">
        <v>46</v>
      </c>
      <c r="CA58" s="15">
        <v>0</v>
      </c>
      <c r="CB58" s="15">
        <v>0</v>
      </c>
      <c r="CC58" s="17">
        <v>0</v>
      </c>
      <c r="CD58" s="15">
        <v>0</v>
      </c>
      <c r="CE58" s="15">
        <v>0</v>
      </c>
      <c r="CF58" s="17">
        <v>0</v>
      </c>
      <c r="CG58" s="15">
        <v>0</v>
      </c>
      <c r="CH58" s="15">
        <v>0</v>
      </c>
      <c r="CI58" s="17">
        <v>0</v>
      </c>
      <c r="CJ58" s="15">
        <v>0</v>
      </c>
      <c r="CK58" s="15">
        <v>0</v>
      </c>
      <c r="CL58" s="17">
        <v>0</v>
      </c>
      <c r="CM58" s="105">
        <v>1</v>
      </c>
      <c r="CN58" s="15">
        <v>0</v>
      </c>
      <c r="CO58" s="17">
        <v>0</v>
      </c>
      <c r="CP58" s="15">
        <v>0</v>
      </c>
      <c r="CQ58" s="15">
        <v>0</v>
      </c>
      <c r="CR58" s="17">
        <v>0</v>
      </c>
      <c r="CS58" s="105">
        <v>1</v>
      </c>
      <c r="CT58" s="15">
        <v>0</v>
      </c>
      <c r="CU58" s="17">
        <v>0</v>
      </c>
      <c r="CV58" s="15">
        <v>0</v>
      </c>
      <c r="CW58" s="15">
        <v>0</v>
      </c>
      <c r="CX58" s="17">
        <v>0</v>
      </c>
      <c r="CY58" s="15">
        <v>0</v>
      </c>
      <c r="CZ58" s="15">
        <v>0</v>
      </c>
      <c r="DA58" s="17">
        <v>0</v>
      </c>
      <c r="DB58" s="15">
        <v>0</v>
      </c>
      <c r="DC58" s="15">
        <v>0</v>
      </c>
      <c r="DD58" s="17">
        <v>0</v>
      </c>
      <c r="DE58" s="15">
        <v>0</v>
      </c>
      <c r="DF58" s="15">
        <v>0</v>
      </c>
      <c r="DG58" s="17">
        <v>0</v>
      </c>
      <c r="DH58" s="105">
        <v>6</v>
      </c>
      <c r="DI58" s="15">
        <v>0</v>
      </c>
      <c r="DJ58" s="17">
        <v>0</v>
      </c>
      <c r="DK58" s="105">
        <v>2</v>
      </c>
      <c r="DL58" s="15">
        <v>0</v>
      </c>
      <c r="DM58" s="17">
        <v>0</v>
      </c>
      <c r="DN58" s="15">
        <v>0</v>
      </c>
      <c r="DO58" s="15">
        <v>0</v>
      </c>
      <c r="DP58" s="17">
        <v>0</v>
      </c>
      <c r="DQ58" s="15">
        <v>0</v>
      </c>
      <c r="DR58" s="15">
        <v>0</v>
      </c>
      <c r="DS58" s="17">
        <v>0</v>
      </c>
      <c r="DT58" s="15">
        <v>0</v>
      </c>
      <c r="DU58" s="15">
        <v>0</v>
      </c>
      <c r="DV58" s="17">
        <v>0</v>
      </c>
      <c r="DW58" s="105">
        <v>20</v>
      </c>
      <c r="DX58" s="15">
        <v>0</v>
      </c>
      <c r="DY58" s="150">
        <v>8</v>
      </c>
      <c r="DZ58" s="105">
        <v>3</v>
      </c>
      <c r="EA58" s="15">
        <v>0</v>
      </c>
      <c r="EB58" s="17">
        <v>0</v>
      </c>
      <c r="EC58" s="105">
        <v>2</v>
      </c>
      <c r="ED58" s="15">
        <v>0</v>
      </c>
      <c r="EE58" s="150">
        <v>2</v>
      </c>
      <c r="EF58" s="105">
        <v>1</v>
      </c>
      <c r="EG58" s="15">
        <v>0</v>
      </c>
      <c r="EH58" s="17">
        <v>0</v>
      </c>
      <c r="EI58" s="15">
        <v>0</v>
      </c>
      <c r="EJ58" s="15">
        <v>0</v>
      </c>
      <c r="EK58" s="17">
        <v>0</v>
      </c>
      <c r="EL58" s="15">
        <v>0</v>
      </c>
      <c r="EM58" s="15">
        <v>0</v>
      </c>
      <c r="EN58" s="17">
        <v>0</v>
      </c>
      <c r="EO58" s="15">
        <v>0</v>
      </c>
      <c r="EP58" s="15">
        <v>0</v>
      </c>
      <c r="EQ58" s="17">
        <v>0</v>
      </c>
      <c r="ER58" s="105">
        <v>12</v>
      </c>
      <c r="ES58" s="15">
        <v>0</v>
      </c>
      <c r="ET58" s="17">
        <v>0</v>
      </c>
      <c r="EU58" s="87">
        <f>SuisseSwitzerland!B58</f>
        <v>17</v>
      </c>
      <c r="EV58" s="101">
        <f>SuisseSwitzerland!C58</f>
        <v>0</v>
      </c>
      <c r="EW58" s="138">
        <f>SuisseSwitzerland!D58</f>
        <v>1</v>
      </c>
      <c r="EX58" s="15">
        <v>0</v>
      </c>
      <c r="EY58" s="15">
        <v>0</v>
      </c>
      <c r="EZ58" s="17">
        <v>0</v>
      </c>
      <c r="FA58" s="15">
        <v>0</v>
      </c>
      <c r="FB58" s="15">
        <v>0</v>
      </c>
      <c r="FC58" s="17">
        <v>0</v>
      </c>
      <c r="FD58" s="55" t="s">
        <v>298</v>
      </c>
      <c r="FE58" s="155" t="s">
        <v>299</v>
      </c>
    </row>
    <row r="59" spans="1:161" ht="12.75">
      <c r="A59" s="81">
        <v>43890</v>
      </c>
      <c r="B59" s="89">
        <f t="shared" ref="B59:D59" si="108">SUM(J59,P59,S59,V59,Y59,AB59,AK59,AN59,AQ59,AT59,AW59,AZ59,BC59,BF59,BL59,BO59,BR59,BU59,BX59,CG59,CJ59,CM59,CP59,CS59,CV59,DH59,CY59,DB59,DK59,DN59,DQ59,DT59,DW59,DZ59,EC59,EF59,EI59,EL59,EO59,ER59,EU59,EX59,FA59,)</f>
        <v>1446</v>
      </c>
      <c r="C59" s="156">
        <f t="shared" si="108"/>
        <v>31</v>
      </c>
      <c r="D59" s="157">
        <f t="shared" si="108"/>
        <v>77</v>
      </c>
      <c r="E59" s="90">
        <f t="shared" si="1"/>
        <v>1338</v>
      </c>
      <c r="F59" s="158">
        <f t="shared" ref="F59:H59" si="109">SUM(P59,S59,V59,AE59,AH59,AK59,AN59,AQ59,AT59,AW59,AZ59,BF59,BL59,BR59,BX59,CG59,CM59,CP59,CV59,DK59,DN59,DQ59,DT59,DZ59,EL59,EO59,ER59)</f>
        <v>1383</v>
      </c>
      <c r="G59" s="159">
        <f t="shared" si="109"/>
        <v>31</v>
      </c>
      <c r="H59" s="160">
        <f t="shared" si="109"/>
        <v>66</v>
      </c>
      <c r="I59" s="161">
        <f t="shared" si="3"/>
        <v>1286</v>
      </c>
      <c r="J59" s="22">
        <v>0</v>
      </c>
      <c r="K59" s="22">
        <v>0</v>
      </c>
      <c r="L59" s="24">
        <v>0</v>
      </c>
      <c r="M59" s="22">
        <v>0</v>
      </c>
      <c r="N59" s="22">
        <v>0</v>
      </c>
      <c r="O59" s="24">
        <v>0</v>
      </c>
      <c r="P59" s="116">
        <v>57</v>
      </c>
      <c r="Q59" s="27">
        <v>0</v>
      </c>
      <c r="R59" s="162">
        <v>16</v>
      </c>
      <c r="S59" s="116">
        <v>10</v>
      </c>
      <c r="T59" s="22">
        <v>0</v>
      </c>
      <c r="U59" s="24">
        <v>0</v>
      </c>
      <c r="V59" s="116">
        <v>1</v>
      </c>
      <c r="W59" s="22">
        <v>0</v>
      </c>
      <c r="X59" s="162">
        <v>1</v>
      </c>
      <c r="Y59" s="116">
        <v>1</v>
      </c>
      <c r="Z59" s="22">
        <v>0</v>
      </c>
      <c r="AA59" s="24">
        <v>0</v>
      </c>
      <c r="AB59" s="22">
        <v>0</v>
      </c>
      <c r="AC59" s="22">
        <v>0</v>
      </c>
      <c r="AD59" s="24">
        <v>0</v>
      </c>
      <c r="AE59" s="22">
        <v>0</v>
      </c>
      <c r="AF59" s="22">
        <v>0</v>
      </c>
      <c r="AG59" s="24">
        <v>0</v>
      </c>
      <c r="AH59" s="22">
        <v>0</v>
      </c>
      <c r="AI59" s="22">
        <v>0</v>
      </c>
      <c r="AJ59" s="24">
        <v>0</v>
      </c>
      <c r="AK59" s="116">
        <v>7</v>
      </c>
      <c r="AL59" s="22">
        <v>0</v>
      </c>
      <c r="AM59" s="24">
        <v>0</v>
      </c>
      <c r="AN59" s="116">
        <v>3</v>
      </c>
      <c r="AO59" s="22">
        <v>0</v>
      </c>
      <c r="AP59" s="24">
        <v>0</v>
      </c>
      <c r="AQ59" s="116">
        <v>45</v>
      </c>
      <c r="AR59" s="22">
        <v>0</v>
      </c>
      <c r="AS59" s="162">
        <v>2</v>
      </c>
      <c r="AT59" s="116">
        <v>1</v>
      </c>
      <c r="AU59" s="22">
        <v>0</v>
      </c>
      <c r="AV59" s="24">
        <v>0</v>
      </c>
      <c r="AW59" s="116">
        <v>3</v>
      </c>
      <c r="AX59" s="22">
        <v>0</v>
      </c>
      <c r="AY59" s="162">
        <v>1</v>
      </c>
      <c r="AZ59" s="116">
        <v>100</v>
      </c>
      <c r="BA59" s="163">
        <v>2</v>
      </c>
      <c r="BB59" s="24">
        <v>0</v>
      </c>
      <c r="BC59" s="22">
        <v>0</v>
      </c>
      <c r="BD59" s="22">
        <v>0</v>
      </c>
      <c r="BE59" s="24">
        <v>0</v>
      </c>
      <c r="BF59" s="116">
        <v>3</v>
      </c>
      <c r="BG59" s="22">
        <v>0</v>
      </c>
      <c r="BH59" s="24">
        <v>0</v>
      </c>
      <c r="BI59" s="22">
        <v>0</v>
      </c>
      <c r="BJ59" s="22">
        <v>0</v>
      </c>
      <c r="BK59" s="24">
        <v>0</v>
      </c>
      <c r="BL59" s="22">
        <v>0</v>
      </c>
      <c r="BM59" s="22">
        <v>0</v>
      </c>
      <c r="BN59" s="24">
        <v>0</v>
      </c>
      <c r="BO59" s="22">
        <v>0</v>
      </c>
      <c r="BP59" s="22">
        <v>0</v>
      </c>
      <c r="BQ59" s="24">
        <v>0</v>
      </c>
      <c r="BR59" s="116">
        <v>1</v>
      </c>
      <c r="BS59" s="22">
        <v>0</v>
      </c>
      <c r="BT59" s="24">
        <v>0</v>
      </c>
      <c r="BU59" s="116">
        <v>1</v>
      </c>
      <c r="BV59" s="22">
        <v>0</v>
      </c>
      <c r="BW59" s="24">
        <v>0</v>
      </c>
      <c r="BX59" s="116">
        <v>1128</v>
      </c>
      <c r="BY59" s="163">
        <v>29</v>
      </c>
      <c r="BZ59" s="162">
        <v>46</v>
      </c>
      <c r="CA59" s="22">
        <v>0</v>
      </c>
      <c r="CB59" s="22">
        <v>0</v>
      </c>
      <c r="CC59" s="24">
        <v>0</v>
      </c>
      <c r="CD59" s="22">
        <v>0</v>
      </c>
      <c r="CE59" s="22">
        <v>0</v>
      </c>
      <c r="CF59" s="24">
        <v>0</v>
      </c>
      <c r="CG59" s="22">
        <v>0</v>
      </c>
      <c r="CH59" s="22">
        <v>0</v>
      </c>
      <c r="CI59" s="24">
        <v>0</v>
      </c>
      <c r="CJ59" s="22">
        <v>0</v>
      </c>
      <c r="CK59" s="22">
        <v>0</v>
      </c>
      <c r="CL59" s="24">
        <v>0</v>
      </c>
      <c r="CM59" s="116">
        <v>1</v>
      </c>
      <c r="CN59" s="22">
        <v>0</v>
      </c>
      <c r="CO59" s="24">
        <v>0</v>
      </c>
      <c r="CP59" s="22">
        <v>0</v>
      </c>
      <c r="CQ59" s="22">
        <v>0</v>
      </c>
      <c r="CR59" s="24">
        <v>0</v>
      </c>
      <c r="CS59" s="116">
        <v>1</v>
      </c>
      <c r="CT59" s="22">
        <v>0</v>
      </c>
      <c r="CU59" s="24">
        <v>0</v>
      </c>
      <c r="CV59" s="22">
        <v>0</v>
      </c>
      <c r="CW59" s="22">
        <v>0</v>
      </c>
      <c r="CX59" s="24">
        <v>0</v>
      </c>
      <c r="CY59" s="22">
        <v>0</v>
      </c>
      <c r="CZ59" s="22">
        <v>0</v>
      </c>
      <c r="DA59" s="24">
        <v>0</v>
      </c>
      <c r="DB59" s="116">
        <v>1</v>
      </c>
      <c r="DC59" s="22">
        <v>0</v>
      </c>
      <c r="DD59" s="24">
        <v>0</v>
      </c>
      <c r="DE59" s="22">
        <v>0</v>
      </c>
      <c r="DF59" s="22">
        <v>0</v>
      </c>
      <c r="DG59" s="24">
        <v>0</v>
      </c>
      <c r="DH59" s="116">
        <v>15</v>
      </c>
      <c r="DI59" s="22">
        <v>0</v>
      </c>
      <c r="DJ59" s="24">
        <v>0</v>
      </c>
      <c r="DK59" s="116">
        <v>7</v>
      </c>
      <c r="DL59" s="22">
        <v>0</v>
      </c>
      <c r="DM59" s="24">
        <v>0</v>
      </c>
      <c r="DN59" s="22">
        <v>0</v>
      </c>
      <c r="DO59" s="22">
        <v>0</v>
      </c>
      <c r="DP59" s="24">
        <v>0</v>
      </c>
      <c r="DQ59" s="22">
        <v>0</v>
      </c>
      <c r="DR59" s="22">
        <v>0</v>
      </c>
      <c r="DS59" s="24">
        <v>0</v>
      </c>
      <c r="DT59" s="22">
        <v>0</v>
      </c>
      <c r="DU59" s="22">
        <v>0</v>
      </c>
      <c r="DV59" s="24">
        <v>0</v>
      </c>
      <c r="DW59" s="116">
        <v>23</v>
      </c>
      <c r="DX59" s="22">
        <v>0</v>
      </c>
      <c r="DY59" s="162">
        <v>8</v>
      </c>
      <c r="DZ59" s="116">
        <v>3</v>
      </c>
      <c r="EA59" s="22">
        <v>0</v>
      </c>
      <c r="EB59" s="24">
        <v>0</v>
      </c>
      <c r="EC59" s="116">
        <v>2</v>
      </c>
      <c r="ED59" s="22">
        <v>0</v>
      </c>
      <c r="EE59" s="162">
        <v>2</v>
      </c>
      <c r="EF59" s="116">
        <v>1</v>
      </c>
      <c r="EG59" s="22">
        <v>0</v>
      </c>
      <c r="EH59" s="24">
        <v>0</v>
      </c>
      <c r="EI59" s="22">
        <v>0</v>
      </c>
      <c r="EJ59" s="22">
        <v>0</v>
      </c>
      <c r="EK59" s="24">
        <v>0</v>
      </c>
      <c r="EL59" s="22">
        <v>0</v>
      </c>
      <c r="EM59" s="22">
        <v>0</v>
      </c>
      <c r="EN59" s="24">
        <v>0</v>
      </c>
      <c r="EO59" s="22">
        <v>0</v>
      </c>
      <c r="EP59" s="22">
        <v>0</v>
      </c>
      <c r="EQ59" s="24">
        <v>0</v>
      </c>
      <c r="ER59" s="116">
        <v>13</v>
      </c>
      <c r="ES59" s="22">
        <v>0</v>
      </c>
      <c r="ET59" s="24">
        <v>0</v>
      </c>
      <c r="EU59" s="92">
        <f>SuisseSwitzerland!B59</f>
        <v>18</v>
      </c>
      <c r="EV59" s="114">
        <f>SuisseSwitzerland!C59</f>
        <v>0</v>
      </c>
      <c r="EW59" s="169">
        <f>SuisseSwitzerland!D59</f>
        <v>1</v>
      </c>
      <c r="EX59" s="22">
        <v>0</v>
      </c>
      <c r="EY59" s="22">
        <v>0</v>
      </c>
      <c r="EZ59" s="24">
        <v>0</v>
      </c>
      <c r="FA59" s="22">
        <v>0</v>
      </c>
      <c r="FB59" s="22">
        <v>0</v>
      </c>
      <c r="FC59" s="24">
        <v>0</v>
      </c>
      <c r="FD59" s="66" t="s">
        <v>305</v>
      </c>
      <c r="FE59" s="171" t="s">
        <v>306</v>
      </c>
    </row>
    <row r="60" spans="1:161" ht="12.75">
      <c r="A60" s="93">
        <v>43891</v>
      </c>
      <c r="B60" s="84">
        <f t="shared" ref="B60:D60" si="110">SUM(J60,P60,S60,V60,Y60,AB60,AK60,AN60,AQ60,AT60,AW60,AZ60,BC60,BF60,BL60,BO60,BR60,BU60,BX60,CG60,CJ60,CM60,CP60,CS60,CV60,DH60,CY60,DB60,DK60,DN60,DQ60,DT60,DW60,DZ60,EC60,EF60,EI60,EL60,EO60,ER60,EU60,EX60,FA60,)</f>
        <v>2123</v>
      </c>
      <c r="C60" s="124">
        <f t="shared" si="110"/>
        <v>37</v>
      </c>
      <c r="D60" s="125">
        <f t="shared" si="110"/>
        <v>78</v>
      </c>
      <c r="E60" s="85">
        <f t="shared" si="1"/>
        <v>2008</v>
      </c>
      <c r="F60" s="152">
        <f t="shared" ref="F60:H60" si="111">SUM(P60,S60,V60,AE60,AH60,AK60,AN60,AQ60,AT60,AW60,AZ60,BF60,BL60,BR60,BX60,CG60,CM60,CP60,CV60,DK60,DN60,DQ60,DT60,DZ60,EL60,EO60,ER60)</f>
        <v>2032</v>
      </c>
      <c r="G60" s="148">
        <f t="shared" si="111"/>
        <v>37</v>
      </c>
      <c r="H60" s="149">
        <f t="shared" si="111"/>
        <v>67</v>
      </c>
      <c r="I60" s="153">
        <f t="shared" si="3"/>
        <v>1928</v>
      </c>
      <c r="J60" s="15">
        <v>0</v>
      </c>
      <c r="K60" s="15">
        <v>0</v>
      </c>
      <c r="L60" s="17">
        <v>0</v>
      </c>
      <c r="M60" s="15">
        <v>0</v>
      </c>
      <c r="N60" s="15">
        <v>0</v>
      </c>
      <c r="O60" s="17">
        <v>0</v>
      </c>
      <c r="P60" s="105">
        <v>129</v>
      </c>
      <c r="Q60" s="18">
        <v>0</v>
      </c>
      <c r="R60" s="150">
        <v>16</v>
      </c>
      <c r="S60" s="105">
        <v>10</v>
      </c>
      <c r="T60" s="15">
        <v>0</v>
      </c>
      <c r="U60" s="17">
        <v>0</v>
      </c>
      <c r="V60" s="105">
        <v>2</v>
      </c>
      <c r="W60" s="15">
        <v>0</v>
      </c>
      <c r="X60" s="150">
        <v>1</v>
      </c>
      <c r="Y60" s="105">
        <v>1</v>
      </c>
      <c r="Z60" s="15">
        <v>0</v>
      </c>
      <c r="AA60" s="17">
        <v>0</v>
      </c>
      <c r="AB60" s="15">
        <v>0</v>
      </c>
      <c r="AC60" s="15">
        <v>0</v>
      </c>
      <c r="AD60" s="17">
        <v>0</v>
      </c>
      <c r="AE60" s="15">
        <v>0</v>
      </c>
      <c r="AF60" s="15">
        <v>0</v>
      </c>
      <c r="AG60" s="17">
        <v>0</v>
      </c>
      <c r="AH60" s="15">
        <v>0</v>
      </c>
      <c r="AI60" s="15">
        <v>0</v>
      </c>
      <c r="AJ60" s="17">
        <v>0</v>
      </c>
      <c r="AK60" s="105">
        <v>7</v>
      </c>
      <c r="AL60" s="15">
        <v>0</v>
      </c>
      <c r="AM60" s="17">
        <v>0</v>
      </c>
      <c r="AN60" s="105">
        <v>3</v>
      </c>
      <c r="AO60" s="15">
        <v>0</v>
      </c>
      <c r="AP60" s="17">
        <v>0</v>
      </c>
      <c r="AQ60" s="105">
        <v>45</v>
      </c>
      <c r="AR60" s="15">
        <v>0</v>
      </c>
      <c r="AS60" s="150">
        <v>2</v>
      </c>
      <c r="AT60" s="105">
        <v>1</v>
      </c>
      <c r="AU60" s="15">
        <v>0</v>
      </c>
      <c r="AV60" s="17">
        <v>0</v>
      </c>
      <c r="AW60" s="105">
        <v>3</v>
      </c>
      <c r="AX60" s="15">
        <v>0</v>
      </c>
      <c r="AY60" s="150">
        <v>1</v>
      </c>
      <c r="AZ60" s="105">
        <v>100</v>
      </c>
      <c r="BA60" s="139">
        <v>2</v>
      </c>
      <c r="BB60" s="17">
        <v>0</v>
      </c>
      <c r="BC60" s="15">
        <v>0</v>
      </c>
      <c r="BD60" s="15">
        <v>0</v>
      </c>
      <c r="BE60" s="17">
        <v>0</v>
      </c>
      <c r="BF60" s="105">
        <v>7</v>
      </c>
      <c r="BG60" s="15">
        <v>0</v>
      </c>
      <c r="BH60" s="17">
        <v>0</v>
      </c>
      <c r="BI60" s="15">
        <v>0</v>
      </c>
      <c r="BJ60" s="15">
        <v>0</v>
      </c>
      <c r="BK60" s="17">
        <v>0</v>
      </c>
      <c r="BL60" s="15">
        <v>0</v>
      </c>
      <c r="BM60" s="15">
        <v>0</v>
      </c>
      <c r="BN60" s="17">
        <v>0</v>
      </c>
      <c r="BO60" s="15">
        <v>0</v>
      </c>
      <c r="BP60" s="15">
        <v>0</v>
      </c>
      <c r="BQ60" s="17">
        <v>0</v>
      </c>
      <c r="BR60" s="105">
        <v>1</v>
      </c>
      <c r="BS60" s="15">
        <v>0</v>
      </c>
      <c r="BT60" s="17">
        <v>0</v>
      </c>
      <c r="BU60" s="105">
        <v>1</v>
      </c>
      <c r="BV60" s="15">
        <v>0</v>
      </c>
      <c r="BW60" s="17">
        <v>0</v>
      </c>
      <c r="BX60" s="105">
        <v>1689</v>
      </c>
      <c r="BY60" s="139">
        <v>35</v>
      </c>
      <c r="BZ60" s="150">
        <v>46</v>
      </c>
      <c r="CA60" s="15">
        <v>0</v>
      </c>
      <c r="CB60" s="15">
        <v>0</v>
      </c>
      <c r="CC60" s="17">
        <v>0</v>
      </c>
      <c r="CD60" s="15">
        <v>0</v>
      </c>
      <c r="CE60" s="15">
        <v>0</v>
      </c>
      <c r="CF60" s="17">
        <v>0</v>
      </c>
      <c r="CG60" s="15">
        <v>0</v>
      </c>
      <c r="CH60" s="15">
        <v>0</v>
      </c>
      <c r="CI60" s="17">
        <v>0</v>
      </c>
      <c r="CJ60" s="15">
        <v>0</v>
      </c>
      <c r="CK60" s="15">
        <v>0</v>
      </c>
      <c r="CL60" s="17">
        <v>0</v>
      </c>
      <c r="CM60" s="105">
        <v>1</v>
      </c>
      <c r="CN60" s="15">
        <v>0</v>
      </c>
      <c r="CO60" s="17">
        <v>0</v>
      </c>
      <c r="CP60" s="105">
        <v>1</v>
      </c>
      <c r="CQ60" s="15">
        <v>0</v>
      </c>
      <c r="CR60" s="17">
        <v>0</v>
      </c>
      <c r="CS60" s="105">
        <v>1</v>
      </c>
      <c r="CT60" s="15">
        <v>0</v>
      </c>
      <c r="CU60" s="17">
        <v>0</v>
      </c>
      <c r="CV60" s="15">
        <v>0</v>
      </c>
      <c r="CW60" s="15">
        <v>0</v>
      </c>
      <c r="CX60" s="17">
        <v>0</v>
      </c>
      <c r="CY60" s="15">
        <v>0</v>
      </c>
      <c r="CZ60" s="15">
        <v>0</v>
      </c>
      <c r="DA60" s="17">
        <v>0</v>
      </c>
      <c r="DB60" s="105">
        <v>1</v>
      </c>
      <c r="DC60" s="15">
        <v>0</v>
      </c>
      <c r="DD60" s="17">
        <v>0</v>
      </c>
      <c r="DE60" s="15">
        <v>0</v>
      </c>
      <c r="DF60" s="15">
        <v>0</v>
      </c>
      <c r="DG60" s="17">
        <v>0</v>
      </c>
      <c r="DH60" s="105">
        <v>19</v>
      </c>
      <c r="DI60" s="15">
        <v>0</v>
      </c>
      <c r="DJ60" s="17">
        <v>0</v>
      </c>
      <c r="DK60" s="105">
        <v>13</v>
      </c>
      <c r="DL60" s="15">
        <v>0</v>
      </c>
      <c r="DM60" s="17">
        <v>0</v>
      </c>
      <c r="DN60" s="15">
        <v>0</v>
      </c>
      <c r="DO60" s="15">
        <v>0</v>
      </c>
      <c r="DP60" s="17">
        <v>0</v>
      </c>
      <c r="DQ60" s="15">
        <v>0</v>
      </c>
      <c r="DR60" s="15">
        <v>0</v>
      </c>
      <c r="DS60" s="17">
        <v>0</v>
      </c>
      <c r="DT60" s="105">
        <v>3</v>
      </c>
      <c r="DU60" s="15">
        <v>0</v>
      </c>
      <c r="DV60" s="17">
        <v>0</v>
      </c>
      <c r="DW60" s="105">
        <v>36</v>
      </c>
      <c r="DX60" s="15">
        <v>0</v>
      </c>
      <c r="DY60" s="150">
        <v>8</v>
      </c>
      <c r="DZ60" s="105">
        <v>3</v>
      </c>
      <c r="EA60" s="15">
        <v>0</v>
      </c>
      <c r="EB60" s="138">
        <v>1</v>
      </c>
      <c r="EC60" s="105">
        <v>2</v>
      </c>
      <c r="ED60" s="15">
        <v>0</v>
      </c>
      <c r="EE60" s="150">
        <v>2</v>
      </c>
      <c r="EF60" s="105">
        <v>1</v>
      </c>
      <c r="EG60" s="15">
        <v>0</v>
      </c>
      <c r="EH60" s="17">
        <v>0</v>
      </c>
      <c r="EI60" s="15">
        <v>0</v>
      </c>
      <c r="EJ60" s="15">
        <v>0</v>
      </c>
      <c r="EK60" s="17">
        <v>0</v>
      </c>
      <c r="EL60" s="15">
        <v>0</v>
      </c>
      <c r="EM60" s="15">
        <v>0</v>
      </c>
      <c r="EN60" s="17">
        <v>0</v>
      </c>
      <c r="EO60" s="15">
        <v>0</v>
      </c>
      <c r="EP60" s="15">
        <v>0</v>
      </c>
      <c r="EQ60" s="17">
        <v>0</v>
      </c>
      <c r="ER60" s="105">
        <v>14</v>
      </c>
      <c r="ES60" s="15">
        <v>0</v>
      </c>
      <c r="ET60" s="17">
        <v>0</v>
      </c>
      <c r="EU60" s="87">
        <f>SuisseSwitzerland!B60</f>
        <v>29</v>
      </c>
      <c r="EV60" s="101">
        <f>SuisseSwitzerland!C60</f>
        <v>0</v>
      </c>
      <c r="EW60" s="138">
        <f>SuisseSwitzerland!D60</f>
        <v>1</v>
      </c>
      <c r="EX60" s="15">
        <v>0</v>
      </c>
      <c r="EY60" s="15">
        <v>0</v>
      </c>
      <c r="EZ60" s="17">
        <v>0</v>
      </c>
      <c r="FA60" s="15">
        <v>0</v>
      </c>
      <c r="FB60" s="15">
        <v>0</v>
      </c>
      <c r="FC60" s="17">
        <v>0</v>
      </c>
      <c r="FD60" s="55" t="s">
        <v>310</v>
      </c>
      <c r="FE60" s="64" t="s">
        <v>311</v>
      </c>
    </row>
    <row r="61" spans="1:161" ht="12.75">
      <c r="A61" s="93">
        <v>43892</v>
      </c>
      <c r="B61" s="84">
        <f t="shared" ref="B61:D61" si="112">SUM(J61,P61,S61,V61,Y61,AB61,AK61,AN61,AQ61,AT61,AW61,AZ61,BC61,BF61,BL61,BO61,BR61,BU61,BX61,CG61,CJ61,CM61,CP61,CS61,CV61,DH61,CY61,DB61,DK61,DN61,DQ61,DT61,DW61,DZ61,EC61,EF61,EI61,EL61,EO61,ER61,EU61,EX61,FA61,)</f>
        <v>2720</v>
      </c>
      <c r="C61" s="124">
        <f t="shared" si="112"/>
        <v>55</v>
      </c>
      <c r="D61" s="125">
        <f t="shared" si="112"/>
        <v>181</v>
      </c>
      <c r="E61" s="85">
        <f t="shared" si="1"/>
        <v>2484</v>
      </c>
      <c r="F61" s="152">
        <f t="shared" ref="F61:H61" si="113">SUM(P61,S61,V61,AE61,AH61,AK61,AN61,AQ61,AT61,AW61,AZ61,BF61,BL61,BR61,BX61,CG61,CM61,CP61,CV61,DK61,DN61,DQ61,DT61,DZ61,EL61,EO61,ER61)</f>
        <v>2598</v>
      </c>
      <c r="G61" s="148">
        <f t="shared" si="113"/>
        <v>55</v>
      </c>
      <c r="H61" s="149">
        <f t="shared" si="113"/>
        <v>170</v>
      </c>
      <c r="I61" s="153">
        <f t="shared" si="3"/>
        <v>2373</v>
      </c>
      <c r="J61" s="105">
        <v>1</v>
      </c>
      <c r="K61" s="15">
        <v>0</v>
      </c>
      <c r="L61" s="17">
        <v>0</v>
      </c>
      <c r="M61" s="15">
        <v>0</v>
      </c>
      <c r="N61" s="15">
        <v>0</v>
      </c>
      <c r="O61" s="17">
        <v>0</v>
      </c>
      <c r="P61" s="105">
        <v>159</v>
      </c>
      <c r="Q61" s="18">
        <v>0</v>
      </c>
      <c r="R61" s="150">
        <v>16</v>
      </c>
      <c r="S61" s="105">
        <v>14</v>
      </c>
      <c r="T61" s="15">
        <v>0</v>
      </c>
      <c r="U61" s="17">
        <v>0</v>
      </c>
      <c r="V61" s="105">
        <v>8</v>
      </c>
      <c r="W61" s="15">
        <v>0</v>
      </c>
      <c r="X61" s="150">
        <v>1</v>
      </c>
      <c r="Y61" s="105">
        <v>1</v>
      </c>
      <c r="Z61" s="15">
        <v>0</v>
      </c>
      <c r="AA61" s="17">
        <v>0</v>
      </c>
      <c r="AB61" s="15">
        <v>0</v>
      </c>
      <c r="AC61" s="15">
        <v>0</v>
      </c>
      <c r="AD61" s="17">
        <v>0</v>
      </c>
      <c r="AE61" s="15">
        <v>0</v>
      </c>
      <c r="AF61" s="15">
        <v>0</v>
      </c>
      <c r="AG61" s="17">
        <v>0</v>
      </c>
      <c r="AH61" s="15">
        <v>0</v>
      </c>
      <c r="AI61" s="15">
        <v>0</v>
      </c>
      <c r="AJ61" s="17">
        <v>0</v>
      </c>
      <c r="AK61" s="105">
        <v>7</v>
      </c>
      <c r="AL61" s="15">
        <v>0</v>
      </c>
      <c r="AM61" s="17">
        <v>0</v>
      </c>
      <c r="AN61" s="105">
        <v>4</v>
      </c>
      <c r="AO61" s="15">
        <v>0</v>
      </c>
      <c r="AP61" s="17">
        <v>0</v>
      </c>
      <c r="AQ61" s="105">
        <v>120</v>
      </c>
      <c r="AR61" s="15">
        <v>0</v>
      </c>
      <c r="AS61" s="150">
        <v>2</v>
      </c>
      <c r="AT61" s="105">
        <v>1</v>
      </c>
      <c r="AU61" s="15">
        <v>0</v>
      </c>
      <c r="AV61" s="17">
        <v>0</v>
      </c>
      <c r="AW61" s="105">
        <v>6</v>
      </c>
      <c r="AX61" s="15">
        <v>0</v>
      </c>
      <c r="AY61" s="150">
        <v>1</v>
      </c>
      <c r="AZ61" s="105">
        <v>191</v>
      </c>
      <c r="BA61" s="139">
        <v>3</v>
      </c>
      <c r="BB61" s="17">
        <v>0</v>
      </c>
      <c r="BC61" s="15">
        <v>0</v>
      </c>
      <c r="BD61" s="15">
        <v>0</v>
      </c>
      <c r="BE61" s="17">
        <v>0</v>
      </c>
      <c r="BF61" s="105">
        <v>7</v>
      </c>
      <c r="BG61" s="15">
        <v>0</v>
      </c>
      <c r="BH61" s="17">
        <v>0</v>
      </c>
      <c r="BI61" s="15">
        <v>0</v>
      </c>
      <c r="BJ61" s="15">
        <v>0</v>
      </c>
      <c r="BK61" s="17">
        <v>0</v>
      </c>
      <c r="BL61" s="15">
        <v>0</v>
      </c>
      <c r="BM61" s="15">
        <v>0</v>
      </c>
      <c r="BN61" s="17">
        <v>0</v>
      </c>
      <c r="BO61" s="15">
        <v>0</v>
      </c>
      <c r="BP61" s="15">
        <v>0</v>
      </c>
      <c r="BQ61" s="17">
        <v>0</v>
      </c>
      <c r="BR61" s="105">
        <v>1</v>
      </c>
      <c r="BS61" s="15">
        <v>0</v>
      </c>
      <c r="BT61" s="17">
        <v>0</v>
      </c>
      <c r="BU61" s="105">
        <v>3</v>
      </c>
      <c r="BV61" s="15">
        <v>0</v>
      </c>
      <c r="BW61" s="17">
        <v>0</v>
      </c>
      <c r="BX61" s="105">
        <v>2036</v>
      </c>
      <c r="BY61" s="139">
        <v>52</v>
      </c>
      <c r="BZ61" s="150">
        <v>149</v>
      </c>
      <c r="CA61" s="15">
        <v>0</v>
      </c>
      <c r="CB61" s="15">
        <v>0</v>
      </c>
      <c r="CC61" s="17">
        <v>0</v>
      </c>
      <c r="CD61" s="15">
        <v>0</v>
      </c>
      <c r="CE61" s="15">
        <v>0</v>
      </c>
      <c r="CF61" s="17">
        <v>0</v>
      </c>
      <c r="CG61" s="105">
        <v>1</v>
      </c>
      <c r="CH61" s="15">
        <v>0</v>
      </c>
      <c r="CI61" s="17">
        <v>0</v>
      </c>
      <c r="CJ61" s="15">
        <v>0</v>
      </c>
      <c r="CK61" s="15">
        <v>0</v>
      </c>
      <c r="CL61" s="17">
        <v>0</v>
      </c>
      <c r="CM61" s="105">
        <v>1</v>
      </c>
      <c r="CN61" s="15">
        <v>0</v>
      </c>
      <c r="CO61" s="17">
        <v>0</v>
      </c>
      <c r="CP61" s="105">
        <v>1</v>
      </c>
      <c r="CQ61" s="15">
        <v>0</v>
      </c>
      <c r="CR61" s="17">
        <v>0</v>
      </c>
      <c r="CS61" s="105">
        <v>1</v>
      </c>
      <c r="CT61" s="15">
        <v>0</v>
      </c>
      <c r="CU61" s="17">
        <v>0</v>
      </c>
      <c r="CV61" s="15">
        <v>0</v>
      </c>
      <c r="CW61" s="15">
        <v>0</v>
      </c>
      <c r="CX61" s="17">
        <v>0</v>
      </c>
      <c r="CY61" s="15">
        <v>0</v>
      </c>
      <c r="CZ61" s="15">
        <v>0</v>
      </c>
      <c r="DA61" s="17">
        <v>0</v>
      </c>
      <c r="DB61" s="105">
        <v>1</v>
      </c>
      <c r="DC61" s="15">
        <v>0</v>
      </c>
      <c r="DD61" s="17">
        <v>0</v>
      </c>
      <c r="DE61" s="15">
        <v>0</v>
      </c>
      <c r="DF61" s="15">
        <v>0</v>
      </c>
      <c r="DG61" s="17">
        <v>0</v>
      </c>
      <c r="DH61" s="105">
        <v>25</v>
      </c>
      <c r="DI61" s="15">
        <v>0</v>
      </c>
      <c r="DJ61" s="17">
        <v>0</v>
      </c>
      <c r="DK61" s="105">
        <v>18</v>
      </c>
      <c r="DL61" s="15">
        <v>0</v>
      </c>
      <c r="DM61" s="17">
        <v>0</v>
      </c>
      <c r="DN61" s="15">
        <v>0</v>
      </c>
      <c r="DO61" s="15">
        <v>0</v>
      </c>
      <c r="DP61" s="17">
        <v>0</v>
      </c>
      <c r="DQ61" s="105">
        <v>2</v>
      </c>
      <c r="DR61" s="15">
        <v>0</v>
      </c>
      <c r="DS61" s="17">
        <v>0</v>
      </c>
      <c r="DT61" s="105">
        <v>3</v>
      </c>
      <c r="DU61" s="15">
        <v>0</v>
      </c>
      <c r="DV61" s="17">
        <v>0</v>
      </c>
      <c r="DW61" s="105">
        <v>40</v>
      </c>
      <c r="DX61" s="15">
        <v>0</v>
      </c>
      <c r="DY61" s="150">
        <v>8</v>
      </c>
      <c r="DZ61" s="105">
        <v>3</v>
      </c>
      <c r="EA61" s="15">
        <v>0</v>
      </c>
      <c r="EB61" s="138">
        <v>1</v>
      </c>
      <c r="EC61" s="105">
        <v>2</v>
      </c>
      <c r="ED61" s="15">
        <v>0</v>
      </c>
      <c r="EE61" s="150">
        <v>2</v>
      </c>
      <c r="EF61" s="105">
        <v>8</v>
      </c>
      <c r="EG61" s="15">
        <v>0</v>
      </c>
      <c r="EH61" s="17">
        <v>0</v>
      </c>
      <c r="EI61" s="15">
        <v>0</v>
      </c>
      <c r="EJ61" s="15">
        <v>0</v>
      </c>
      <c r="EK61" s="17">
        <v>0</v>
      </c>
      <c r="EL61" s="15">
        <v>0</v>
      </c>
      <c r="EM61" s="15">
        <v>0</v>
      </c>
      <c r="EN61" s="17">
        <v>0</v>
      </c>
      <c r="EO61" s="15">
        <v>0</v>
      </c>
      <c r="EP61" s="15">
        <v>0</v>
      </c>
      <c r="EQ61" s="17">
        <v>0</v>
      </c>
      <c r="ER61" s="105">
        <v>15</v>
      </c>
      <c r="ES61" s="15">
        <v>0</v>
      </c>
      <c r="ET61" s="17">
        <v>0</v>
      </c>
      <c r="EU61" s="87">
        <f>SuisseSwitzerland!B61</f>
        <v>40</v>
      </c>
      <c r="EV61" s="101">
        <f>SuisseSwitzerland!C61</f>
        <v>0</v>
      </c>
      <c r="EW61" s="138">
        <f>SuisseSwitzerland!D61</f>
        <v>1</v>
      </c>
      <c r="EX61" s="15">
        <v>0</v>
      </c>
      <c r="EY61" s="15">
        <v>0</v>
      </c>
      <c r="EZ61" s="17">
        <v>0</v>
      </c>
      <c r="FA61" s="15">
        <v>0</v>
      </c>
      <c r="FB61" s="15">
        <v>0</v>
      </c>
      <c r="FC61" s="17">
        <v>0</v>
      </c>
      <c r="FD61" s="55" t="s">
        <v>314</v>
      </c>
      <c r="FE61" s="64" t="s">
        <v>315</v>
      </c>
    </row>
    <row r="62" spans="1:161" ht="12.75">
      <c r="A62" s="93">
        <v>43893</v>
      </c>
      <c r="B62" s="84">
        <f t="shared" ref="B62:D62" si="114">SUM(J62,P62,S62,V62,Y62,AB62,AK62,AN62,AQ62,AT62,AW62,AZ62,BC62,BF62,BL62,BO62,BR62,BU62,BX62,CG62,CJ62,CM62,CP62,CS62,CV62,DH62,CY62,DB62,DK62,DN62,DQ62,DT62,DW62,DZ62,EC62,EF62,EI62,EL62,EO62,ER62,EU62,EX62,FA62,)</f>
        <v>3355</v>
      </c>
      <c r="C62" s="124">
        <f t="shared" si="114"/>
        <v>84</v>
      </c>
      <c r="D62" s="125">
        <f t="shared" si="114"/>
        <v>193</v>
      </c>
      <c r="E62" s="85">
        <f t="shared" si="1"/>
        <v>3078</v>
      </c>
      <c r="F62" s="152">
        <f t="shared" ref="F62:H62" si="115">SUM(P62,S62,V62,AE62,AH62,AK62,AN62,AQ62,AT62,AW62,AZ62,BF62,BL62,BR62,BX62,CG62,CM62,CP62,CV62,DK62,DN62,DQ62,DT62,DZ62,EL62,EO62,ER62)</f>
        <v>3186</v>
      </c>
      <c r="G62" s="148">
        <f t="shared" si="115"/>
        <v>83</v>
      </c>
      <c r="H62" s="149">
        <f t="shared" si="115"/>
        <v>181</v>
      </c>
      <c r="I62" s="153">
        <f t="shared" si="3"/>
        <v>2922</v>
      </c>
      <c r="J62" s="105">
        <v>1</v>
      </c>
      <c r="K62" s="15">
        <v>0</v>
      </c>
      <c r="L62" s="17">
        <v>0</v>
      </c>
      <c r="M62" s="15">
        <v>0</v>
      </c>
      <c r="N62" s="15">
        <v>0</v>
      </c>
      <c r="O62" s="17">
        <v>0</v>
      </c>
      <c r="P62" s="105">
        <v>196</v>
      </c>
      <c r="Q62" s="18">
        <v>0</v>
      </c>
      <c r="R62" s="150">
        <v>16</v>
      </c>
      <c r="S62" s="105">
        <v>21</v>
      </c>
      <c r="T62" s="15">
        <v>0</v>
      </c>
      <c r="U62" s="17">
        <v>0</v>
      </c>
      <c r="V62" s="105">
        <v>13</v>
      </c>
      <c r="W62" s="15">
        <v>0</v>
      </c>
      <c r="X62" s="150">
        <v>1</v>
      </c>
      <c r="Y62" s="105">
        <v>1</v>
      </c>
      <c r="Z62" s="15">
        <v>0</v>
      </c>
      <c r="AA62" s="17">
        <v>0</v>
      </c>
      <c r="AB62" s="15">
        <v>0</v>
      </c>
      <c r="AC62" s="15">
        <v>0</v>
      </c>
      <c r="AD62" s="17">
        <v>0</v>
      </c>
      <c r="AE62" s="15">
        <v>0</v>
      </c>
      <c r="AF62" s="15">
        <v>0</v>
      </c>
      <c r="AG62" s="17">
        <v>0</v>
      </c>
      <c r="AH62" s="15">
        <v>0</v>
      </c>
      <c r="AI62" s="15">
        <v>0</v>
      </c>
      <c r="AJ62" s="17">
        <v>0</v>
      </c>
      <c r="AK62" s="105">
        <v>9</v>
      </c>
      <c r="AL62" s="15">
        <v>0</v>
      </c>
      <c r="AM62" s="17">
        <v>0</v>
      </c>
      <c r="AN62" s="105">
        <v>7</v>
      </c>
      <c r="AO62" s="15">
        <v>0</v>
      </c>
      <c r="AP62" s="17">
        <v>0</v>
      </c>
      <c r="AQ62" s="105">
        <v>153</v>
      </c>
      <c r="AR62" s="15">
        <v>0</v>
      </c>
      <c r="AS62" s="150">
        <v>2</v>
      </c>
      <c r="AT62" s="105">
        <v>1</v>
      </c>
      <c r="AU62" s="15">
        <v>0</v>
      </c>
      <c r="AV62" s="17">
        <v>0</v>
      </c>
      <c r="AW62" s="105">
        <v>6</v>
      </c>
      <c r="AX62" s="15">
        <v>0</v>
      </c>
      <c r="AY62" s="150">
        <v>1</v>
      </c>
      <c r="AZ62" s="105">
        <v>212</v>
      </c>
      <c r="BA62" s="139">
        <v>4</v>
      </c>
      <c r="BB62" s="17">
        <v>0</v>
      </c>
      <c r="BC62" s="15">
        <v>0</v>
      </c>
      <c r="BD62" s="15">
        <v>0</v>
      </c>
      <c r="BE62" s="17">
        <v>0</v>
      </c>
      <c r="BF62" s="105">
        <v>7</v>
      </c>
      <c r="BG62" s="15">
        <v>0</v>
      </c>
      <c r="BH62" s="17">
        <v>0</v>
      </c>
      <c r="BI62" s="15">
        <v>0</v>
      </c>
      <c r="BJ62" s="15">
        <v>0</v>
      </c>
      <c r="BK62" s="17">
        <v>0</v>
      </c>
      <c r="BL62" s="15">
        <v>0</v>
      </c>
      <c r="BM62" s="15">
        <v>0</v>
      </c>
      <c r="BN62" s="17">
        <v>0</v>
      </c>
      <c r="BO62" s="15">
        <v>0</v>
      </c>
      <c r="BP62" s="15">
        <v>0</v>
      </c>
      <c r="BQ62" s="17">
        <v>0</v>
      </c>
      <c r="BR62" s="105">
        <v>1</v>
      </c>
      <c r="BS62" s="15">
        <v>0</v>
      </c>
      <c r="BT62" s="17">
        <v>0</v>
      </c>
      <c r="BU62" s="105">
        <v>11</v>
      </c>
      <c r="BV62" s="15">
        <v>0</v>
      </c>
      <c r="BW62" s="17">
        <v>0</v>
      </c>
      <c r="BX62" s="105">
        <v>2502</v>
      </c>
      <c r="BY62" s="139">
        <v>79</v>
      </c>
      <c r="BZ62" s="150">
        <v>160</v>
      </c>
      <c r="CA62" s="15">
        <v>0</v>
      </c>
      <c r="CB62" s="15">
        <v>0</v>
      </c>
      <c r="CC62" s="17">
        <v>0</v>
      </c>
      <c r="CD62" s="15">
        <v>0</v>
      </c>
      <c r="CE62" s="15">
        <v>0</v>
      </c>
      <c r="CF62" s="17">
        <v>0</v>
      </c>
      <c r="CG62" s="105">
        <v>1</v>
      </c>
      <c r="CH62" s="15">
        <v>0</v>
      </c>
      <c r="CI62" s="17">
        <v>0</v>
      </c>
      <c r="CJ62" s="105">
        <v>1</v>
      </c>
      <c r="CK62" s="15">
        <v>0</v>
      </c>
      <c r="CL62" s="17">
        <v>0</v>
      </c>
      <c r="CM62" s="105">
        <v>1</v>
      </c>
      <c r="CN62" s="15">
        <v>0</v>
      </c>
      <c r="CO62" s="17">
        <v>0</v>
      </c>
      <c r="CP62" s="105">
        <v>1</v>
      </c>
      <c r="CQ62" s="15">
        <v>0</v>
      </c>
      <c r="CR62" s="17">
        <v>0</v>
      </c>
      <c r="CS62" s="105">
        <v>1</v>
      </c>
      <c r="CT62" s="15">
        <v>0</v>
      </c>
      <c r="CU62" s="17">
        <v>0</v>
      </c>
      <c r="CV62" s="15">
        <v>0</v>
      </c>
      <c r="CW62" s="15">
        <v>0</v>
      </c>
      <c r="CX62" s="17">
        <v>0</v>
      </c>
      <c r="CY62" s="15">
        <v>0</v>
      </c>
      <c r="CZ62" s="15">
        <v>0</v>
      </c>
      <c r="DA62" s="17">
        <v>0</v>
      </c>
      <c r="DB62" s="105">
        <v>1</v>
      </c>
      <c r="DC62" s="15">
        <v>0</v>
      </c>
      <c r="DD62" s="17">
        <v>0</v>
      </c>
      <c r="DE62" s="15">
        <v>0</v>
      </c>
      <c r="DF62" s="15">
        <v>0</v>
      </c>
      <c r="DG62" s="17">
        <v>0</v>
      </c>
      <c r="DH62" s="105">
        <v>32</v>
      </c>
      <c r="DI62" s="15">
        <v>0</v>
      </c>
      <c r="DJ62" s="17">
        <v>0</v>
      </c>
      <c r="DK62" s="105">
        <v>24</v>
      </c>
      <c r="DL62" s="15">
        <v>0</v>
      </c>
      <c r="DM62" s="17">
        <v>0</v>
      </c>
      <c r="DN62" s="15">
        <v>0</v>
      </c>
      <c r="DO62" s="15">
        <v>0</v>
      </c>
      <c r="DP62" s="17">
        <v>0</v>
      </c>
      <c r="DQ62" s="105">
        <v>2</v>
      </c>
      <c r="DR62" s="15">
        <v>0</v>
      </c>
      <c r="DS62" s="17">
        <v>0</v>
      </c>
      <c r="DT62" s="105">
        <v>5</v>
      </c>
      <c r="DU62" s="15">
        <v>0</v>
      </c>
      <c r="DV62" s="17">
        <v>0</v>
      </c>
      <c r="DW62" s="105">
        <v>51</v>
      </c>
      <c r="DX62" s="15">
        <v>0</v>
      </c>
      <c r="DY62" s="150">
        <v>8</v>
      </c>
      <c r="DZ62" s="105">
        <v>3</v>
      </c>
      <c r="EA62" s="15">
        <v>0</v>
      </c>
      <c r="EB62" s="138">
        <v>1</v>
      </c>
      <c r="EC62" s="105">
        <v>3</v>
      </c>
      <c r="ED62" s="15">
        <v>0</v>
      </c>
      <c r="EE62" s="150">
        <v>2</v>
      </c>
      <c r="EF62" s="105">
        <v>10</v>
      </c>
      <c r="EG62" s="128">
        <v>1</v>
      </c>
      <c r="EH62" s="17">
        <v>0</v>
      </c>
      <c r="EI62" s="15">
        <v>0</v>
      </c>
      <c r="EJ62" s="15">
        <v>0</v>
      </c>
      <c r="EK62" s="17">
        <v>0</v>
      </c>
      <c r="EL62" s="15">
        <v>0</v>
      </c>
      <c r="EM62" s="15">
        <v>0</v>
      </c>
      <c r="EN62" s="17">
        <v>0</v>
      </c>
      <c r="EO62" s="15">
        <v>0</v>
      </c>
      <c r="EP62" s="15">
        <v>0</v>
      </c>
      <c r="EQ62" s="17">
        <v>0</v>
      </c>
      <c r="ER62" s="105">
        <v>21</v>
      </c>
      <c r="ES62" s="15">
        <v>0</v>
      </c>
      <c r="ET62" s="17">
        <v>0</v>
      </c>
      <c r="EU62" s="87">
        <f>SuisseSwitzerland!B62</f>
        <v>56</v>
      </c>
      <c r="EV62" s="101">
        <f>SuisseSwitzerland!C62</f>
        <v>0</v>
      </c>
      <c r="EW62" s="138">
        <f>SuisseSwitzerland!D62</f>
        <v>2</v>
      </c>
      <c r="EX62" s="105">
        <v>1</v>
      </c>
      <c r="EY62" s="15">
        <v>0</v>
      </c>
      <c r="EZ62" s="17">
        <v>0</v>
      </c>
      <c r="FA62" s="15">
        <v>0</v>
      </c>
      <c r="FB62" s="15">
        <v>0</v>
      </c>
      <c r="FC62" s="17">
        <v>0</v>
      </c>
      <c r="FD62" s="55" t="s">
        <v>321</v>
      </c>
      <c r="FE62" s="57" t="s">
        <v>322</v>
      </c>
    </row>
    <row r="63" spans="1:161" ht="12.75">
      <c r="A63" s="93">
        <v>43894</v>
      </c>
      <c r="B63" s="84">
        <f t="shared" ref="B63:D63" si="116">SUM(J63,P63,S63,V63,Y63,AB63,AK63,AN63,AQ63,AT63,AW63,AZ63,BC63,BF63,BL63,BO63,BR63,BU63,BX63,CG63,CJ63,CM63,CP63,CS63,CV63,DH63,CY63,DB63,DK63,DN63,DQ63,DT63,DW63,DZ63,EC63,EF63,EI63,EL63,EO63,ER63,EU63,EX63,FA63,)</f>
        <v>4340</v>
      </c>
      <c r="C63" s="124">
        <f t="shared" si="116"/>
        <v>113</v>
      </c>
      <c r="D63" s="125">
        <f t="shared" si="116"/>
        <v>310</v>
      </c>
      <c r="E63" s="85">
        <f t="shared" si="1"/>
        <v>3917</v>
      </c>
      <c r="F63" s="152">
        <f t="shared" ref="F63:H63" si="117">SUM(P63,S63,V63,AE63,AH63,AK63,AN63,AQ63,AT63,AW63,AZ63,BF63,BL63,BR63,BX63,CG63,CM63,CP63,CV63,DK63,DN63,DQ63,DT63,DZ63,EL63,EO63,ER63)</f>
        <v>4048</v>
      </c>
      <c r="G63" s="148">
        <f t="shared" si="117"/>
        <v>112</v>
      </c>
      <c r="H63" s="149">
        <f t="shared" si="117"/>
        <v>297</v>
      </c>
      <c r="I63" s="153">
        <f t="shared" si="3"/>
        <v>3639</v>
      </c>
      <c r="J63" s="105">
        <v>1</v>
      </c>
      <c r="K63" s="15">
        <v>0</v>
      </c>
      <c r="L63" s="17">
        <v>0</v>
      </c>
      <c r="M63" s="15">
        <v>0</v>
      </c>
      <c r="N63" s="15">
        <v>0</v>
      </c>
      <c r="O63" s="17">
        <v>0</v>
      </c>
      <c r="P63" s="105">
        <v>262</v>
      </c>
      <c r="Q63" s="18">
        <v>0</v>
      </c>
      <c r="R63" s="150">
        <v>16</v>
      </c>
      <c r="S63" s="105">
        <v>29</v>
      </c>
      <c r="T63" s="15">
        <v>0</v>
      </c>
      <c r="U63" s="17">
        <v>0</v>
      </c>
      <c r="V63" s="105">
        <v>23</v>
      </c>
      <c r="W63" s="15">
        <v>0</v>
      </c>
      <c r="X63" s="150">
        <v>1</v>
      </c>
      <c r="Y63" s="105">
        <v>6</v>
      </c>
      <c r="Z63" s="15">
        <v>0</v>
      </c>
      <c r="AA63" s="17">
        <v>0</v>
      </c>
      <c r="AB63" s="15">
        <v>0</v>
      </c>
      <c r="AC63" s="15">
        <v>0</v>
      </c>
      <c r="AD63" s="17">
        <v>0</v>
      </c>
      <c r="AE63" s="15">
        <v>0</v>
      </c>
      <c r="AF63" s="15">
        <v>0</v>
      </c>
      <c r="AG63" s="17">
        <v>0</v>
      </c>
      <c r="AH63" s="15">
        <v>0</v>
      </c>
      <c r="AI63" s="15">
        <v>0</v>
      </c>
      <c r="AJ63" s="17">
        <v>0</v>
      </c>
      <c r="AK63" s="105">
        <v>10</v>
      </c>
      <c r="AL63" s="15">
        <v>0</v>
      </c>
      <c r="AM63" s="17">
        <v>0</v>
      </c>
      <c r="AN63" s="105">
        <v>10</v>
      </c>
      <c r="AO63" s="15">
        <v>0</v>
      </c>
      <c r="AP63" s="17">
        <v>0</v>
      </c>
      <c r="AQ63" s="105">
        <v>222</v>
      </c>
      <c r="AR63" s="128">
        <v>1</v>
      </c>
      <c r="AS63" s="150">
        <v>2</v>
      </c>
      <c r="AT63" s="105">
        <v>2</v>
      </c>
      <c r="AU63" s="15">
        <v>0</v>
      </c>
      <c r="AV63" s="17">
        <v>0</v>
      </c>
      <c r="AW63" s="105">
        <v>6</v>
      </c>
      <c r="AX63" s="15">
        <v>0</v>
      </c>
      <c r="AY63" s="150">
        <v>1</v>
      </c>
      <c r="AZ63" s="105">
        <v>285</v>
      </c>
      <c r="BA63" s="139">
        <v>4</v>
      </c>
      <c r="BB63" s="17">
        <v>0</v>
      </c>
      <c r="BC63" s="105">
        <v>1</v>
      </c>
      <c r="BD63" s="15">
        <v>0</v>
      </c>
      <c r="BE63" s="17">
        <v>0</v>
      </c>
      <c r="BF63" s="105">
        <v>9</v>
      </c>
      <c r="BG63" s="15">
        <v>0</v>
      </c>
      <c r="BH63" s="17">
        <v>0</v>
      </c>
      <c r="BI63" s="15">
        <v>0</v>
      </c>
      <c r="BJ63" s="15">
        <v>0</v>
      </c>
      <c r="BK63" s="17">
        <v>0</v>
      </c>
      <c r="BL63" s="105">
        <v>1</v>
      </c>
      <c r="BM63" s="15">
        <v>0</v>
      </c>
      <c r="BN63" s="17">
        <v>0</v>
      </c>
      <c r="BO63" s="105">
        <v>1</v>
      </c>
      <c r="BP63" s="15">
        <v>0</v>
      </c>
      <c r="BQ63" s="17">
        <v>0</v>
      </c>
      <c r="BR63" s="105">
        <v>6</v>
      </c>
      <c r="BS63" s="15">
        <v>0</v>
      </c>
      <c r="BT63" s="17">
        <v>0</v>
      </c>
      <c r="BU63" s="105">
        <v>26</v>
      </c>
      <c r="BV63" s="15">
        <v>0</v>
      </c>
      <c r="BW63" s="17">
        <v>0</v>
      </c>
      <c r="BX63" s="105">
        <v>3089</v>
      </c>
      <c r="BY63" s="139">
        <v>107</v>
      </c>
      <c r="BZ63" s="150">
        <v>276</v>
      </c>
      <c r="CA63" s="15">
        <v>0</v>
      </c>
      <c r="CB63" s="15">
        <v>0</v>
      </c>
      <c r="CC63" s="17">
        <v>0</v>
      </c>
      <c r="CD63" s="15">
        <v>0</v>
      </c>
      <c r="CE63" s="15">
        <v>0</v>
      </c>
      <c r="CF63" s="17">
        <v>0</v>
      </c>
      <c r="CG63" s="105">
        <v>1</v>
      </c>
      <c r="CH63" s="15">
        <v>0</v>
      </c>
      <c r="CI63" s="17">
        <v>0</v>
      </c>
      <c r="CJ63" s="105">
        <v>1</v>
      </c>
      <c r="CK63" s="15">
        <v>0</v>
      </c>
      <c r="CL63" s="17">
        <v>0</v>
      </c>
      <c r="CM63" s="105">
        <v>1</v>
      </c>
      <c r="CN63" s="15">
        <v>0</v>
      </c>
      <c r="CO63" s="17">
        <v>0</v>
      </c>
      <c r="CP63" s="105">
        <v>1</v>
      </c>
      <c r="CQ63" s="15">
        <v>0</v>
      </c>
      <c r="CR63" s="17">
        <v>0</v>
      </c>
      <c r="CS63" s="105">
        <v>1</v>
      </c>
      <c r="CT63" s="15">
        <v>0</v>
      </c>
      <c r="CU63" s="17">
        <v>0</v>
      </c>
      <c r="CV63" s="15">
        <v>0</v>
      </c>
      <c r="CW63" s="15">
        <v>0</v>
      </c>
      <c r="CX63" s="17">
        <v>0</v>
      </c>
      <c r="CY63" s="15">
        <v>0</v>
      </c>
      <c r="CZ63" s="15">
        <v>0</v>
      </c>
      <c r="DA63" s="17">
        <v>0</v>
      </c>
      <c r="DB63" s="105">
        <v>1</v>
      </c>
      <c r="DC63" s="15">
        <v>0</v>
      </c>
      <c r="DD63" s="17">
        <v>0</v>
      </c>
      <c r="DE63" s="15">
        <v>0</v>
      </c>
      <c r="DF63" s="15">
        <v>0</v>
      </c>
      <c r="DG63" s="17">
        <v>0</v>
      </c>
      <c r="DH63" s="105">
        <v>56</v>
      </c>
      <c r="DI63" s="15">
        <v>0</v>
      </c>
      <c r="DJ63" s="17">
        <v>0</v>
      </c>
      <c r="DK63" s="105">
        <v>38</v>
      </c>
      <c r="DL63" s="15">
        <v>0</v>
      </c>
      <c r="DM63" s="17">
        <v>0</v>
      </c>
      <c r="DN63" s="105">
        <v>1</v>
      </c>
      <c r="DO63" s="15">
        <v>0</v>
      </c>
      <c r="DP63" s="17">
        <v>0</v>
      </c>
      <c r="DQ63" s="105">
        <v>5</v>
      </c>
      <c r="DR63" s="15">
        <v>0</v>
      </c>
      <c r="DS63" s="17">
        <v>0</v>
      </c>
      <c r="DT63" s="105">
        <v>8</v>
      </c>
      <c r="DU63" s="15">
        <v>0</v>
      </c>
      <c r="DV63" s="17">
        <v>0</v>
      </c>
      <c r="DW63" s="105">
        <v>85</v>
      </c>
      <c r="DX63" s="15">
        <v>0</v>
      </c>
      <c r="DY63" s="150">
        <v>8</v>
      </c>
      <c r="DZ63" s="105">
        <v>4</v>
      </c>
      <c r="EA63" s="15">
        <v>0</v>
      </c>
      <c r="EB63" s="138">
        <v>1</v>
      </c>
      <c r="EC63" s="105">
        <v>3</v>
      </c>
      <c r="ED63" s="15">
        <v>0</v>
      </c>
      <c r="EE63" s="150">
        <v>2</v>
      </c>
      <c r="EF63" s="105">
        <v>16</v>
      </c>
      <c r="EG63" s="128">
        <v>1</v>
      </c>
      <c r="EH63" s="17">
        <v>0</v>
      </c>
      <c r="EI63" s="15">
        <v>0</v>
      </c>
      <c r="EJ63" s="15">
        <v>0</v>
      </c>
      <c r="EK63" s="17">
        <v>0</v>
      </c>
      <c r="EL63" s="15">
        <v>0</v>
      </c>
      <c r="EM63" s="15">
        <v>0</v>
      </c>
      <c r="EN63" s="17">
        <v>0</v>
      </c>
      <c r="EO63" s="15">
        <v>0</v>
      </c>
      <c r="EP63" s="15">
        <v>0</v>
      </c>
      <c r="EQ63" s="17">
        <v>0</v>
      </c>
      <c r="ER63" s="105">
        <v>35</v>
      </c>
      <c r="ES63" s="15">
        <v>0</v>
      </c>
      <c r="ET63" s="17">
        <v>0</v>
      </c>
      <c r="EU63" s="87">
        <f>SuisseSwitzerland!B63</f>
        <v>93</v>
      </c>
      <c r="EV63" s="101">
        <f>SuisseSwitzerland!C63</f>
        <v>0</v>
      </c>
      <c r="EW63" s="138">
        <f>SuisseSwitzerland!D63</f>
        <v>3</v>
      </c>
      <c r="EX63" s="105">
        <v>1</v>
      </c>
      <c r="EY63" s="15">
        <v>0</v>
      </c>
      <c r="EZ63" s="17">
        <v>0</v>
      </c>
      <c r="FA63" s="15">
        <v>0</v>
      </c>
      <c r="FB63" s="15">
        <v>0</v>
      </c>
      <c r="FC63" s="17">
        <v>0</v>
      </c>
      <c r="FD63" s="55" t="s">
        <v>328</v>
      </c>
      <c r="FE63" s="77" t="s">
        <v>329</v>
      </c>
    </row>
    <row r="64" spans="1:161" ht="12.75">
      <c r="A64" s="93">
        <v>43895</v>
      </c>
      <c r="B64" s="84">
        <f t="shared" ref="B64:D64" si="118">SUM(J64,P64,S64,V64,Y64,AB64,AK64,AN64,AQ64,AT64,AW64,AZ64,BC64,BF64,BL64,BO64,BR64,BU64,BX64,CG64,CJ64,CM64,CP64,CS64,CV64,DH64,CY64,DB64,DK64,DN64,DQ64,DT64,DW64,DZ64,EC64,EF64,EI64,EL64,EO64,ER64,EU64,EX64,FA64,)</f>
        <v>5785</v>
      </c>
      <c r="C64" s="124">
        <f t="shared" si="118"/>
        <v>161</v>
      </c>
      <c r="D64" s="125">
        <f t="shared" si="118"/>
        <v>448</v>
      </c>
      <c r="E64" s="85">
        <f t="shared" si="1"/>
        <v>5176</v>
      </c>
      <c r="F64" s="152">
        <f t="shared" ref="F64:H64" si="119">SUM(P64,S64,V64,AE64,AH64,AK64,AN64,AQ64,AT64,AW64,AZ64,BF64,BL64,BR64,BX64,CG64,CM64,CP64,CV64,DK64,DN64,DQ64,DT64,DZ64,EL64,EO64,ER64)</f>
        <v>5395</v>
      </c>
      <c r="G64" s="148">
        <f t="shared" si="119"/>
        <v>158</v>
      </c>
      <c r="H64" s="149">
        <f t="shared" si="119"/>
        <v>435</v>
      </c>
      <c r="I64" s="153">
        <f t="shared" si="3"/>
        <v>4802</v>
      </c>
      <c r="J64" s="105">
        <v>1</v>
      </c>
      <c r="K64" s="15">
        <v>0</v>
      </c>
      <c r="L64" s="17">
        <v>0</v>
      </c>
      <c r="M64" s="15">
        <v>0</v>
      </c>
      <c r="N64" s="15">
        <v>0</v>
      </c>
      <c r="O64" s="17">
        <v>0</v>
      </c>
      <c r="P64" s="105">
        <v>482</v>
      </c>
      <c r="Q64" s="18">
        <v>0</v>
      </c>
      <c r="R64" s="150">
        <v>16</v>
      </c>
      <c r="S64" s="105">
        <v>41</v>
      </c>
      <c r="T64" s="15">
        <v>0</v>
      </c>
      <c r="U64" s="17">
        <v>0</v>
      </c>
      <c r="V64" s="105">
        <v>50</v>
      </c>
      <c r="W64" s="15">
        <v>0</v>
      </c>
      <c r="X64" s="150">
        <v>1</v>
      </c>
      <c r="Y64" s="105">
        <v>6</v>
      </c>
      <c r="Z64" s="15">
        <v>0</v>
      </c>
      <c r="AA64" s="17">
        <v>0</v>
      </c>
      <c r="AB64" s="105">
        <v>2</v>
      </c>
      <c r="AC64" s="15">
        <v>0</v>
      </c>
      <c r="AD64" s="17">
        <v>0</v>
      </c>
      <c r="AE64" s="15">
        <v>0</v>
      </c>
      <c r="AF64" s="15">
        <v>0</v>
      </c>
      <c r="AG64" s="17">
        <v>0</v>
      </c>
      <c r="AH64" s="15">
        <v>0</v>
      </c>
      <c r="AI64" s="15">
        <v>0</v>
      </c>
      <c r="AJ64" s="17">
        <v>0</v>
      </c>
      <c r="AK64" s="105">
        <v>10</v>
      </c>
      <c r="AL64" s="15">
        <v>0</v>
      </c>
      <c r="AM64" s="17">
        <v>0</v>
      </c>
      <c r="AN64" s="105">
        <v>10</v>
      </c>
      <c r="AO64" s="15">
        <v>0</v>
      </c>
      <c r="AP64" s="17">
        <v>0</v>
      </c>
      <c r="AQ64" s="105">
        <v>259</v>
      </c>
      <c r="AR64" s="128">
        <v>3</v>
      </c>
      <c r="AS64" s="150">
        <v>2</v>
      </c>
      <c r="AT64" s="105">
        <v>3</v>
      </c>
      <c r="AU64" s="15">
        <v>0</v>
      </c>
      <c r="AV64" s="17">
        <v>0</v>
      </c>
      <c r="AW64" s="105">
        <v>12</v>
      </c>
      <c r="AX64" s="15">
        <v>0</v>
      </c>
      <c r="AY64" s="150">
        <v>1</v>
      </c>
      <c r="AZ64" s="105">
        <v>423</v>
      </c>
      <c r="BA64" s="139">
        <v>7</v>
      </c>
      <c r="BB64" s="17">
        <v>0</v>
      </c>
      <c r="BC64" s="105">
        <v>1</v>
      </c>
      <c r="BD64" s="15">
        <v>0</v>
      </c>
      <c r="BE64" s="17">
        <v>0</v>
      </c>
      <c r="BF64" s="105">
        <v>31</v>
      </c>
      <c r="BG64" s="15">
        <v>0</v>
      </c>
      <c r="BH64" s="17">
        <v>0</v>
      </c>
      <c r="BI64" s="15">
        <v>0</v>
      </c>
      <c r="BJ64" s="15">
        <v>0</v>
      </c>
      <c r="BK64" s="17">
        <v>0</v>
      </c>
      <c r="BL64" s="105">
        <v>2</v>
      </c>
      <c r="BM64" s="15">
        <v>0</v>
      </c>
      <c r="BN64" s="17">
        <v>0</v>
      </c>
      <c r="BO64" s="105">
        <v>1</v>
      </c>
      <c r="BP64" s="15">
        <v>0</v>
      </c>
      <c r="BQ64" s="17">
        <v>0</v>
      </c>
      <c r="BR64" s="105">
        <v>6</v>
      </c>
      <c r="BS64" s="15">
        <v>0</v>
      </c>
      <c r="BT64" s="17">
        <v>0</v>
      </c>
      <c r="BU64" s="105">
        <v>34</v>
      </c>
      <c r="BV64" s="15">
        <v>0</v>
      </c>
      <c r="BW64" s="17">
        <v>0</v>
      </c>
      <c r="BX64" s="105">
        <v>3858</v>
      </c>
      <c r="BY64" s="139">
        <v>148</v>
      </c>
      <c r="BZ64" s="150">
        <v>414</v>
      </c>
      <c r="CA64" s="15">
        <v>0</v>
      </c>
      <c r="CB64" s="15">
        <v>0</v>
      </c>
      <c r="CC64" s="17">
        <v>0</v>
      </c>
      <c r="CD64" s="15">
        <v>0</v>
      </c>
      <c r="CE64" s="15">
        <v>0</v>
      </c>
      <c r="CF64" s="17">
        <v>0</v>
      </c>
      <c r="CG64" s="105">
        <v>1</v>
      </c>
      <c r="CH64" s="15">
        <v>0</v>
      </c>
      <c r="CI64" s="17">
        <v>0</v>
      </c>
      <c r="CJ64" s="105">
        <v>1</v>
      </c>
      <c r="CK64" s="15">
        <v>0</v>
      </c>
      <c r="CL64" s="17">
        <v>0</v>
      </c>
      <c r="CM64" s="105">
        <v>1</v>
      </c>
      <c r="CN64" s="15">
        <v>0</v>
      </c>
      <c r="CO64" s="17">
        <v>0</v>
      </c>
      <c r="CP64" s="105">
        <v>1</v>
      </c>
      <c r="CQ64" s="15">
        <v>0</v>
      </c>
      <c r="CR64" s="17">
        <v>0</v>
      </c>
      <c r="CS64" s="105">
        <v>1</v>
      </c>
      <c r="CT64" s="15">
        <v>0</v>
      </c>
      <c r="CU64" s="17">
        <v>0</v>
      </c>
      <c r="CV64" s="15">
        <v>0</v>
      </c>
      <c r="CW64" s="15">
        <v>0</v>
      </c>
      <c r="CX64" s="17">
        <v>0</v>
      </c>
      <c r="CY64" s="15">
        <v>0</v>
      </c>
      <c r="CZ64" s="15">
        <v>0</v>
      </c>
      <c r="DA64" s="17">
        <v>0</v>
      </c>
      <c r="DB64" s="105">
        <v>1</v>
      </c>
      <c r="DC64" s="15">
        <v>0</v>
      </c>
      <c r="DD64" s="17">
        <v>0</v>
      </c>
      <c r="DE64" s="15">
        <v>0</v>
      </c>
      <c r="DF64" s="15">
        <v>0</v>
      </c>
      <c r="DG64" s="17">
        <v>0</v>
      </c>
      <c r="DH64" s="105">
        <v>87</v>
      </c>
      <c r="DI64" s="15">
        <v>0</v>
      </c>
      <c r="DJ64" s="17">
        <v>0</v>
      </c>
      <c r="DK64" s="105">
        <v>82</v>
      </c>
      <c r="DL64" s="15">
        <v>0</v>
      </c>
      <c r="DM64" s="17">
        <v>0</v>
      </c>
      <c r="DN64" s="105">
        <v>1</v>
      </c>
      <c r="DO64" s="15">
        <v>0</v>
      </c>
      <c r="DP64" s="17">
        <v>0</v>
      </c>
      <c r="DQ64" s="105">
        <v>8</v>
      </c>
      <c r="DR64" s="15">
        <v>0</v>
      </c>
      <c r="DS64" s="17">
        <v>0</v>
      </c>
      <c r="DT64" s="105">
        <v>12</v>
      </c>
      <c r="DU64" s="15">
        <v>0</v>
      </c>
      <c r="DV64" s="17">
        <v>0</v>
      </c>
      <c r="DW64" s="105">
        <v>115</v>
      </c>
      <c r="DX64" s="128">
        <v>1</v>
      </c>
      <c r="DY64" s="150">
        <v>8</v>
      </c>
      <c r="DZ64" s="105">
        <v>6</v>
      </c>
      <c r="EA64" s="15">
        <v>0</v>
      </c>
      <c r="EB64" s="138">
        <v>1</v>
      </c>
      <c r="EC64" s="105">
        <v>4</v>
      </c>
      <c r="ED64" s="15">
        <v>0</v>
      </c>
      <c r="EE64" s="150">
        <v>2</v>
      </c>
      <c r="EF64" s="105">
        <v>21</v>
      </c>
      <c r="EG64" s="128">
        <v>1</v>
      </c>
      <c r="EH64" s="17">
        <v>0</v>
      </c>
      <c r="EI64" s="15">
        <v>0</v>
      </c>
      <c r="EJ64" s="15">
        <v>0</v>
      </c>
      <c r="EK64" s="17">
        <v>0</v>
      </c>
      <c r="EL64" s="87"/>
      <c r="EM64" s="15">
        <v>0</v>
      </c>
      <c r="EN64" s="17">
        <v>0</v>
      </c>
      <c r="EO64" s="87">
        <v>2</v>
      </c>
      <c r="EP64" s="15">
        <v>0</v>
      </c>
      <c r="EQ64" s="17">
        <v>0</v>
      </c>
      <c r="ER64" s="105">
        <v>94</v>
      </c>
      <c r="ES64" s="15">
        <v>0</v>
      </c>
      <c r="ET64" s="17">
        <v>0</v>
      </c>
      <c r="EU64" s="87">
        <f>SuisseSwitzerland!B64</f>
        <v>114</v>
      </c>
      <c r="EV64" s="128">
        <f>SuisseSwitzerland!C64</f>
        <v>1</v>
      </c>
      <c r="EW64" s="138">
        <f>SuisseSwitzerland!D64</f>
        <v>3</v>
      </c>
      <c r="EX64" s="105">
        <v>1</v>
      </c>
      <c r="EY64" s="15">
        <v>0</v>
      </c>
      <c r="EZ64" s="17">
        <v>0</v>
      </c>
      <c r="FA64" s="15">
        <v>0</v>
      </c>
      <c r="FB64" s="15">
        <v>0</v>
      </c>
      <c r="FC64" s="17">
        <v>0</v>
      </c>
      <c r="FD64" s="55" t="s">
        <v>334</v>
      </c>
      <c r="FE64" s="77" t="s">
        <v>335</v>
      </c>
    </row>
    <row r="65" spans="1:161" ht="12.75">
      <c r="A65" s="93">
        <v>43896</v>
      </c>
      <c r="B65" s="84">
        <f t="shared" ref="B65:D65" si="120">SUM(J65,P65,S65,V65,Y65,AB65,AK65,AN65,AQ65,AT65,AW65,AZ65,BC65,BF65,BL65,BO65,BR65,BU65,BX65,CG65,CJ65,CM65,CP65,CS65,CV65,DH65,CY65,DB65,DK65,DN65,DQ65,DT65,DW65,DZ65,EC65,EF65,EI65,EL65,EO65,ER65,EU65,EX65,FA65,)</f>
        <v>7469</v>
      </c>
      <c r="C65" s="124">
        <f t="shared" si="120"/>
        <v>216</v>
      </c>
      <c r="D65" s="125">
        <f t="shared" si="120"/>
        <v>560</v>
      </c>
      <c r="E65" s="85">
        <f t="shared" si="1"/>
        <v>6693</v>
      </c>
      <c r="F65" s="152">
        <f t="shared" ref="F65:H65" si="121">SUM(P65,S65,V65,AE65,AH65,AK65,AN65,AQ65,AT65,AW65,AZ65,BF65,BL65,BR65,BX65,CG65,CM65,CP65,CV65,DK65,DN65,DQ65,DT65,DZ65,EL65,EO65,ER65)</f>
        <v>6893</v>
      </c>
      <c r="G65" s="148">
        <f t="shared" si="121"/>
        <v>212</v>
      </c>
      <c r="H65" s="149">
        <f t="shared" si="121"/>
        <v>546</v>
      </c>
      <c r="I65" s="153">
        <f t="shared" si="3"/>
        <v>6135</v>
      </c>
      <c r="J65" s="105">
        <v>1</v>
      </c>
      <c r="K65" s="15">
        <v>0</v>
      </c>
      <c r="L65" s="17">
        <v>0</v>
      </c>
      <c r="M65" s="15">
        <v>0</v>
      </c>
      <c r="N65" s="15">
        <v>0</v>
      </c>
      <c r="O65" s="17">
        <v>0</v>
      </c>
      <c r="P65" s="105">
        <v>670</v>
      </c>
      <c r="Q65" s="18">
        <v>0</v>
      </c>
      <c r="R65" s="150">
        <v>17</v>
      </c>
      <c r="S65" s="105">
        <v>55</v>
      </c>
      <c r="T65" s="15">
        <v>0</v>
      </c>
      <c r="U65" s="17">
        <v>0</v>
      </c>
      <c r="V65" s="105">
        <v>109</v>
      </c>
      <c r="W65" s="15">
        <v>0</v>
      </c>
      <c r="X65" s="150">
        <v>1</v>
      </c>
      <c r="Y65" s="105">
        <v>6</v>
      </c>
      <c r="Z65" s="15">
        <v>0</v>
      </c>
      <c r="AA65" s="17">
        <v>0</v>
      </c>
      <c r="AB65" s="105">
        <v>2</v>
      </c>
      <c r="AC65" s="15">
        <v>0</v>
      </c>
      <c r="AD65" s="17">
        <v>0</v>
      </c>
      <c r="AE65" s="15">
        <v>0</v>
      </c>
      <c r="AF65" s="15">
        <v>0</v>
      </c>
      <c r="AG65" s="17">
        <v>0</v>
      </c>
      <c r="AH65" s="15">
        <v>0</v>
      </c>
      <c r="AI65" s="15">
        <v>0</v>
      </c>
      <c r="AJ65" s="17">
        <v>0</v>
      </c>
      <c r="AK65" s="105">
        <v>11</v>
      </c>
      <c r="AL65" s="15">
        <v>0</v>
      </c>
      <c r="AM65" s="17">
        <v>0</v>
      </c>
      <c r="AN65" s="105">
        <v>23</v>
      </c>
      <c r="AO65" s="15">
        <v>0</v>
      </c>
      <c r="AP65" s="138">
        <v>1</v>
      </c>
      <c r="AQ65" s="105">
        <v>400</v>
      </c>
      <c r="AR65" s="128">
        <v>5</v>
      </c>
      <c r="AS65" s="150">
        <v>2</v>
      </c>
      <c r="AT65" s="105">
        <v>10</v>
      </c>
      <c r="AU65" s="15">
        <v>0</v>
      </c>
      <c r="AV65" s="17">
        <v>0</v>
      </c>
      <c r="AW65" s="105">
        <v>15</v>
      </c>
      <c r="AX65" s="15">
        <v>0</v>
      </c>
      <c r="AY65" s="150">
        <v>1</v>
      </c>
      <c r="AZ65" s="105">
        <v>613</v>
      </c>
      <c r="BA65" s="139">
        <v>9</v>
      </c>
      <c r="BB65" s="17">
        <v>0</v>
      </c>
      <c r="BC65" s="105">
        <v>1</v>
      </c>
      <c r="BD65" s="15">
        <v>0</v>
      </c>
      <c r="BE65" s="17">
        <v>0</v>
      </c>
      <c r="BF65" s="105">
        <v>45</v>
      </c>
      <c r="BG65" s="15">
        <v>0</v>
      </c>
      <c r="BH65" s="17">
        <v>0</v>
      </c>
      <c r="BI65" s="15">
        <v>0</v>
      </c>
      <c r="BJ65" s="15">
        <v>0</v>
      </c>
      <c r="BK65" s="17">
        <v>0</v>
      </c>
      <c r="BL65" s="105">
        <v>2</v>
      </c>
      <c r="BM65" s="15">
        <v>0</v>
      </c>
      <c r="BN65" s="17">
        <v>0</v>
      </c>
      <c r="BO65" s="105">
        <v>1</v>
      </c>
      <c r="BP65" s="15">
        <v>0</v>
      </c>
      <c r="BQ65" s="17">
        <v>0</v>
      </c>
      <c r="BR65" s="105">
        <v>18</v>
      </c>
      <c r="BS65" s="15">
        <v>0</v>
      </c>
      <c r="BT65" s="17">
        <v>0</v>
      </c>
      <c r="BU65" s="105">
        <v>43</v>
      </c>
      <c r="BV65" s="15">
        <v>0</v>
      </c>
      <c r="BW65" s="17">
        <v>0</v>
      </c>
      <c r="BX65" s="105">
        <v>4636</v>
      </c>
      <c r="BY65" s="139">
        <v>197</v>
      </c>
      <c r="BZ65" s="150">
        <v>523</v>
      </c>
      <c r="CA65" s="15">
        <v>0</v>
      </c>
      <c r="CB65" s="15">
        <v>0</v>
      </c>
      <c r="CC65" s="17">
        <v>0</v>
      </c>
      <c r="CD65" s="15">
        <v>0</v>
      </c>
      <c r="CE65" s="15">
        <v>0</v>
      </c>
      <c r="CF65" s="17">
        <v>0</v>
      </c>
      <c r="CG65" s="105">
        <v>1</v>
      </c>
      <c r="CH65" s="15">
        <v>0</v>
      </c>
      <c r="CI65" s="17">
        <v>0</v>
      </c>
      <c r="CJ65" s="105">
        <v>1</v>
      </c>
      <c r="CK65" s="15">
        <v>0</v>
      </c>
      <c r="CL65" s="17">
        <v>0</v>
      </c>
      <c r="CM65" s="105">
        <v>1</v>
      </c>
      <c r="CN65" s="15">
        <v>0</v>
      </c>
      <c r="CO65" s="17">
        <v>0</v>
      </c>
      <c r="CP65" s="105">
        <v>2</v>
      </c>
      <c r="CQ65" s="15">
        <v>0</v>
      </c>
      <c r="CR65" s="17">
        <v>0</v>
      </c>
      <c r="CS65" s="105">
        <v>1</v>
      </c>
      <c r="CT65" s="15">
        <v>0</v>
      </c>
      <c r="CU65" s="17">
        <v>0</v>
      </c>
      <c r="CV65" s="15">
        <v>0</v>
      </c>
      <c r="CW65" s="15">
        <v>0</v>
      </c>
      <c r="CX65" s="17">
        <v>0</v>
      </c>
      <c r="CY65" s="15">
        <v>0</v>
      </c>
      <c r="CZ65" s="15">
        <v>0</v>
      </c>
      <c r="DA65" s="17">
        <v>0</v>
      </c>
      <c r="DB65" s="105">
        <v>1</v>
      </c>
      <c r="DC65" s="15">
        <v>0</v>
      </c>
      <c r="DD65" s="17">
        <v>0</v>
      </c>
      <c r="DE65" s="15">
        <v>0</v>
      </c>
      <c r="DF65" s="15">
        <v>0</v>
      </c>
      <c r="DG65" s="17">
        <v>0</v>
      </c>
      <c r="DH65" s="105">
        <v>108</v>
      </c>
      <c r="DI65" s="15">
        <v>0</v>
      </c>
      <c r="DJ65" s="17">
        <v>0</v>
      </c>
      <c r="DK65" s="105">
        <v>128</v>
      </c>
      <c r="DL65" s="128">
        <v>1</v>
      </c>
      <c r="DM65" s="17">
        <v>0</v>
      </c>
      <c r="DN65" s="105">
        <v>5</v>
      </c>
      <c r="DO65" s="15">
        <v>0</v>
      </c>
      <c r="DP65" s="17">
        <v>0</v>
      </c>
      <c r="DQ65" s="105">
        <v>13</v>
      </c>
      <c r="DR65" s="15">
        <v>0</v>
      </c>
      <c r="DS65" s="17">
        <v>0</v>
      </c>
      <c r="DT65" s="105">
        <v>18</v>
      </c>
      <c r="DU65" s="15">
        <v>0</v>
      </c>
      <c r="DV65" s="17">
        <v>0</v>
      </c>
      <c r="DW65" s="105">
        <v>163</v>
      </c>
      <c r="DX65" s="128">
        <v>2</v>
      </c>
      <c r="DY65" s="150">
        <v>8</v>
      </c>
      <c r="DZ65" s="105">
        <v>9</v>
      </c>
      <c r="EA65" s="15">
        <v>0</v>
      </c>
      <c r="EB65" s="138">
        <v>1</v>
      </c>
      <c r="EC65" s="105">
        <v>10</v>
      </c>
      <c r="ED65" s="15">
        <v>0</v>
      </c>
      <c r="EE65" s="150">
        <v>2</v>
      </c>
      <c r="EF65" s="105">
        <v>21</v>
      </c>
      <c r="EG65" s="128">
        <v>1</v>
      </c>
      <c r="EH65" s="17">
        <v>0</v>
      </c>
      <c r="EI65" s="87">
        <v>1</v>
      </c>
      <c r="EJ65" s="15">
        <v>0</v>
      </c>
      <c r="EK65" s="17">
        <v>0</v>
      </c>
      <c r="EL65" s="87">
        <v>1</v>
      </c>
      <c r="EM65" s="15">
        <v>0</v>
      </c>
      <c r="EN65" s="17">
        <v>0</v>
      </c>
      <c r="EO65" s="87">
        <v>7</v>
      </c>
      <c r="EP65" s="15">
        <v>0</v>
      </c>
      <c r="EQ65" s="17">
        <v>0</v>
      </c>
      <c r="ER65" s="105">
        <v>101</v>
      </c>
      <c r="ES65" s="15">
        <v>0</v>
      </c>
      <c r="ET65" s="17">
        <v>0</v>
      </c>
      <c r="EU65" s="87">
        <f>SuisseSwitzerland!B65</f>
        <v>214</v>
      </c>
      <c r="EV65" s="128">
        <f>SuisseSwitzerland!C65</f>
        <v>1</v>
      </c>
      <c r="EW65" s="138">
        <f>SuisseSwitzerland!D65</f>
        <v>4</v>
      </c>
      <c r="EX65" s="105">
        <v>1</v>
      </c>
      <c r="EY65" s="15">
        <v>0</v>
      </c>
      <c r="EZ65" s="17">
        <v>0</v>
      </c>
      <c r="FA65" s="105">
        <v>1</v>
      </c>
      <c r="FB65" s="15">
        <v>0</v>
      </c>
      <c r="FC65" s="17">
        <v>0</v>
      </c>
      <c r="FD65" s="55" t="s">
        <v>338</v>
      </c>
      <c r="FE65" s="77" t="s">
        <v>240</v>
      </c>
    </row>
    <row r="66" spans="1:161" ht="12.75">
      <c r="A66" s="93">
        <v>43897</v>
      </c>
      <c r="B66" s="14">
        <f t="shared" ref="B66:D66" si="122">SUM(J66,P66,S66,V66,Y66,AB66,AK66,AN66,AQ66,AT66,AW66,AZ66,BC66,BF66,BL66,BO66,BR66,BU66,BX66,CG66,CJ66,CM66,CP66,CS66,CV66,DH66,CY66,DB66,DK66,DN66,DQ66,DT66,DW66,DZ66,EC66,EF66,EI66,EL66,EO66,ER66,EU66,EX66,FA66,)</f>
        <v>9646</v>
      </c>
      <c r="C66" s="34">
        <f t="shared" si="122"/>
        <v>264</v>
      </c>
      <c r="D66" s="73">
        <f t="shared" si="122"/>
        <v>667</v>
      </c>
      <c r="E66" s="176">
        <f t="shared" si="1"/>
        <v>8715</v>
      </c>
      <c r="F66" s="152">
        <f t="shared" ref="F66:H66" si="123">SUM(P66,S66,V66,AE66,AH66,AK66,AN66,AQ66,AT66,AW66,AZ66,BF66,BL66,BR66,BX66,CG66,CM66,CP66,CV66,DK66,DN66,DQ66,DT66,DZ66,EL66,EO66,ER66)</f>
        <v>8921</v>
      </c>
      <c r="G66" s="148">
        <f t="shared" si="123"/>
        <v>260</v>
      </c>
      <c r="H66" s="149">
        <f t="shared" si="123"/>
        <v>643</v>
      </c>
      <c r="I66" s="153">
        <f t="shared" si="3"/>
        <v>8018</v>
      </c>
      <c r="J66" s="105">
        <v>1</v>
      </c>
      <c r="K66" s="15">
        <v>0</v>
      </c>
      <c r="L66" s="17">
        <v>0</v>
      </c>
      <c r="M66" s="15">
        <v>0</v>
      </c>
      <c r="N66" s="15">
        <v>0</v>
      </c>
      <c r="O66" s="17">
        <v>0</v>
      </c>
      <c r="P66" s="105">
        <v>799</v>
      </c>
      <c r="Q66" s="18">
        <v>0</v>
      </c>
      <c r="R66" s="150">
        <v>18</v>
      </c>
      <c r="S66" s="105">
        <v>79</v>
      </c>
      <c r="T66" s="15">
        <v>0</v>
      </c>
      <c r="U66" s="17">
        <v>0</v>
      </c>
      <c r="V66" s="105">
        <v>169</v>
      </c>
      <c r="W66" s="15">
        <v>0</v>
      </c>
      <c r="X66" s="150">
        <v>1</v>
      </c>
      <c r="Y66" s="105">
        <v>6</v>
      </c>
      <c r="Z66" s="15">
        <v>0</v>
      </c>
      <c r="AA66" s="17">
        <v>0</v>
      </c>
      <c r="AB66" s="105">
        <v>3</v>
      </c>
      <c r="AC66" s="15">
        <v>0</v>
      </c>
      <c r="AD66" s="17">
        <v>0</v>
      </c>
      <c r="AE66" s="15">
        <v>0</v>
      </c>
      <c r="AF66" s="15">
        <v>0</v>
      </c>
      <c r="AG66" s="17">
        <v>0</v>
      </c>
      <c r="AH66" s="15">
        <v>0</v>
      </c>
      <c r="AI66" s="15">
        <v>0</v>
      </c>
      <c r="AJ66" s="17">
        <v>0</v>
      </c>
      <c r="AK66" s="105">
        <v>12</v>
      </c>
      <c r="AL66" s="15">
        <v>0</v>
      </c>
      <c r="AM66" s="17">
        <v>0</v>
      </c>
      <c r="AN66" s="105">
        <v>23</v>
      </c>
      <c r="AO66" s="15">
        <v>0</v>
      </c>
      <c r="AP66" s="138">
        <v>1</v>
      </c>
      <c r="AQ66" s="105">
        <v>500</v>
      </c>
      <c r="AR66" s="128">
        <v>10</v>
      </c>
      <c r="AS66" s="150">
        <v>30</v>
      </c>
      <c r="AT66" s="105">
        <v>10</v>
      </c>
      <c r="AU66" s="15">
        <v>0</v>
      </c>
      <c r="AV66" s="17">
        <v>0</v>
      </c>
      <c r="AW66" s="105">
        <v>15</v>
      </c>
      <c r="AX66" s="15">
        <v>0</v>
      </c>
      <c r="AY66" s="150">
        <v>1</v>
      </c>
      <c r="AZ66" s="105">
        <v>949</v>
      </c>
      <c r="BA66" s="139">
        <v>16</v>
      </c>
      <c r="BB66" s="17">
        <v>0</v>
      </c>
      <c r="BC66" s="105">
        <v>1</v>
      </c>
      <c r="BD66" s="15">
        <v>0</v>
      </c>
      <c r="BE66" s="17">
        <v>0</v>
      </c>
      <c r="BF66" s="105">
        <v>46</v>
      </c>
      <c r="BG66" s="15">
        <v>0</v>
      </c>
      <c r="BH66" s="17">
        <v>0</v>
      </c>
      <c r="BI66" s="15">
        <v>0</v>
      </c>
      <c r="BJ66" s="15">
        <v>0</v>
      </c>
      <c r="BK66" s="17">
        <v>0</v>
      </c>
      <c r="BL66" s="105">
        <v>4</v>
      </c>
      <c r="BM66" s="15">
        <v>0</v>
      </c>
      <c r="BN66" s="17">
        <v>0</v>
      </c>
      <c r="BO66" s="105">
        <v>1</v>
      </c>
      <c r="BP66" s="15">
        <v>0</v>
      </c>
      <c r="BQ66" s="17">
        <v>0</v>
      </c>
      <c r="BR66" s="105">
        <v>18</v>
      </c>
      <c r="BS66" s="15">
        <v>0</v>
      </c>
      <c r="BT66" s="17">
        <v>0</v>
      </c>
      <c r="BU66" s="105">
        <v>50</v>
      </c>
      <c r="BV66" s="15">
        <v>0</v>
      </c>
      <c r="BW66" s="17">
        <v>0</v>
      </c>
      <c r="BX66" s="105">
        <v>5883</v>
      </c>
      <c r="BY66" s="139">
        <v>233</v>
      </c>
      <c r="BZ66" s="150">
        <v>589</v>
      </c>
      <c r="CA66" s="15">
        <v>0</v>
      </c>
      <c r="CB66" s="15">
        <v>0</v>
      </c>
      <c r="CC66" s="17">
        <v>0</v>
      </c>
      <c r="CD66" s="15">
        <v>0</v>
      </c>
      <c r="CE66" s="15">
        <v>0</v>
      </c>
      <c r="CF66" s="17">
        <v>0</v>
      </c>
      <c r="CG66" s="105">
        <v>1</v>
      </c>
      <c r="CH66" s="15">
        <v>0</v>
      </c>
      <c r="CI66" s="17">
        <v>0</v>
      </c>
      <c r="CJ66" s="105">
        <v>1</v>
      </c>
      <c r="CK66" s="15">
        <v>0</v>
      </c>
      <c r="CL66" s="17">
        <v>0</v>
      </c>
      <c r="CM66" s="105">
        <v>1</v>
      </c>
      <c r="CN66" s="15">
        <v>0</v>
      </c>
      <c r="CO66" s="17">
        <v>0</v>
      </c>
      <c r="CP66" s="105">
        <v>2</v>
      </c>
      <c r="CQ66" s="15">
        <v>0</v>
      </c>
      <c r="CR66" s="17">
        <v>0</v>
      </c>
      <c r="CS66" s="105">
        <v>3</v>
      </c>
      <c r="CT66" s="15">
        <v>0</v>
      </c>
      <c r="CU66" s="17">
        <v>0</v>
      </c>
      <c r="CV66" s="15">
        <v>0</v>
      </c>
      <c r="CW66" s="15">
        <v>0</v>
      </c>
      <c r="CX66" s="17">
        <v>0</v>
      </c>
      <c r="CY66" s="105">
        <v>1</v>
      </c>
      <c r="CZ66" s="15">
        <v>0</v>
      </c>
      <c r="DA66" s="17">
        <v>0</v>
      </c>
      <c r="DB66" s="105">
        <v>1</v>
      </c>
      <c r="DC66" s="15">
        <v>0</v>
      </c>
      <c r="DD66" s="17">
        <v>0</v>
      </c>
      <c r="DE66" s="15">
        <v>0</v>
      </c>
      <c r="DF66" s="15">
        <v>0</v>
      </c>
      <c r="DG66" s="17">
        <v>0</v>
      </c>
      <c r="DH66" s="105">
        <v>147</v>
      </c>
      <c r="DI66" s="15">
        <v>0</v>
      </c>
      <c r="DJ66" s="17">
        <v>0</v>
      </c>
      <c r="DK66" s="105">
        <v>188</v>
      </c>
      <c r="DL66" s="128">
        <v>1</v>
      </c>
      <c r="DM66" s="17">
        <v>0</v>
      </c>
      <c r="DN66" s="105">
        <v>5</v>
      </c>
      <c r="DO66" s="15">
        <v>0</v>
      </c>
      <c r="DP66" s="17">
        <v>0</v>
      </c>
      <c r="DQ66" s="105">
        <v>20</v>
      </c>
      <c r="DR66" s="15">
        <v>0</v>
      </c>
      <c r="DS66" s="17">
        <v>0</v>
      </c>
      <c r="DT66" s="105">
        <v>19</v>
      </c>
      <c r="DU66" s="15">
        <v>0</v>
      </c>
      <c r="DV66" s="17">
        <v>0</v>
      </c>
      <c r="DW66" s="105">
        <v>206</v>
      </c>
      <c r="DX66" s="128">
        <v>2</v>
      </c>
      <c r="DY66" s="150">
        <v>18</v>
      </c>
      <c r="DZ66" s="105">
        <v>9</v>
      </c>
      <c r="EA66" s="15">
        <v>0</v>
      </c>
      <c r="EB66" s="138">
        <v>3</v>
      </c>
      <c r="EC66" s="105">
        <v>10</v>
      </c>
      <c r="ED66" s="15">
        <v>0</v>
      </c>
      <c r="EE66" s="150">
        <v>2</v>
      </c>
      <c r="EF66" s="105">
        <v>23</v>
      </c>
      <c r="EG66" s="128">
        <v>1</v>
      </c>
      <c r="EH66" s="17">
        <v>0</v>
      </c>
      <c r="EI66" s="87">
        <v>1</v>
      </c>
      <c r="EJ66" s="15">
        <v>0</v>
      </c>
      <c r="EK66" s="17">
        <v>0</v>
      </c>
      <c r="EL66" s="87">
        <v>1</v>
      </c>
      <c r="EM66" s="15">
        <v>0</v>
      </c>
      <c r="EN66" s="17">
        <v>0</v>
      </c>
      <c r="EO66" s="87">
        <v>7</v>
      </c>
      <c r="EP66" s="15">
        <v>0</v>
      </c>
      <c r="EQ66" s="17">
        <v>0</v>
      </c>
      <c r="ER66" s="105">
        <v>161</v>
      </c>
      <c r="ES66" s="15">
        <v>0</v>
      </c>
      <c r="ET66" s="17">
        <v>0</v>
      </c>
      <c r="EU66" s="87">
        <f>SuisseSwitzerland!B66</f>
        <v>268</v>
      </c>
      <c r="EV66" s="128">
        <f>SuisseSwitzerland!C66</f>
        <v>1</v>
      </c>
      <c r="EW66" s="138">
        <f>SuisseSwitzerland!D66</f>
        <v>4</v>
      </c>
      <c r="EX66" s="105">
        <v>1</v>
      </c>
      <c r="EY66" s="15">
        <v>0</v>
      </c>
      <c r="EZ66" s="17">
        <v>0</v>
      </c>
      <c r="FA66" s="105">
        <v>1</v>
      </c>
      <c r="FB66" s="15">
        <v>0</v>
      </c>
      <c r="FC66" s="17">
        <v>0</v>
      </c>
      <c r="FD66" s="55" t="s">
        <v>344</v>
      </c>
      <c r="FE66" s="77" t="s">
        <v>345</v>
      </c>
    </row>
    <row r="67" spans="1:161" ht="12.75">
      <c r="A67" s="93">
        <v>43898</v>
      </c>
      <c r="B67" s="14">
        <f t="shared" ref="B67:D67" si="124">SUM(J67,M67,P67,S67,V67,Y67,AB67,AE67,AK67,AN67,AQ67,AT67,AW67,AZ67,BC67,BF67,BL67,BO67,BR67,BU67,BX67,CG67,CJ67,CM67,CP67,CS67,CV67,DH67,CY67,DB67,DK67,DN67,DQ67,DT67,DW67,DZ67,EC67,EF67,EI67,EL67,EO67,ER67,EU67,EX67,FA67)</f>
        <v>12183</v>
      </c>
      <c r="C67" s="34">
        <f t="shared" si="124"/>
        <v>410</v>
      </c>
      <c r="D67" s="73">
        <f t="shared" si="124"/>
        <v>701</v>
      </c>
      <c r="E67" s="176">
        <f t="shared" si="1"/>
        <v>11072</v>
      </c>
      <c r="F67" s="152">
        <f t="shared" ref="F67:H67" si="125">SUM(P67,S67,V67,AE67,AH67,AK67,AN67,AQ67,AT67,AW67,AZ67,BF67,BL67,BR67,BX67,CG67,CM67,CP67,CV67,DK67,DN67,DQ67,DT67,DZ67,EL67,EO67,ER67)</f>
        <v>11284</v>
      </c>
      <c r="G67" s="148">
        <f t="shared" si="125"/>
        <v>405</v>
      </c>
      <c r="H67" s="149">
        <f t="shared" si="125"/>
        <v>676</v>
      </c>
      <c r="I67" s="153">
        <f t="shared" si="3"/>
        <v>10203</v>
      </c>
      <c r="J67" s="105">
        <v>1</v>
      </c>
      <c r="K67" s="15">
        <v>0</v>
      </c>
      <c r="L67" s="17">
        <v>0</v>
      </c>
      <c r="M67" s="15">
        <v>0</v>
      </c>
      <c r="N67" s="15">
        <v>0</v>
      </c>
      <c r="O67" s="17">
        <v>0</v>
      </c>
      <c r="P67" s="105">
        <v>1040</v>
      </c>
      <c r="Q67" s="18">
        <v>0</v>
      </c>
      <c r="R67" s="150">
        <v>18</v>
      </c>
      <c r="S67" s="105">
        <v>104</v>
      </c>
      <c r="T67" s="15">
        <v>0</v>
      </c>
      <c r="U67" s="17">
        <v>0</v>
      </c>
      <c r="V67" s="105">
        <v>200</v>
      </c>
      <c r="W67" s="15">
        <v>0</v>
      </c>
      <c r="X67" s="150">
        <v>1</v>
      </c>
      <c r="Y67" s="105">
        <v>6</v>
      </c>
      <c r="Z67" s="15">
        <v>0</v>
      </c>
      <c r="AA67" s="17">
        <v>0</v>
      </c>
      <c r="AB67" s="105">
        <v>3</v>
      </c>
      <c r="AC67" s="15">
        <v>0</v>
      </c>
      <c r="AD67" s="17">
        <v>0</v>
      </c>
      <c r="AE67" s="105">
        <v>4</v>
      </c>
      <c r="AF67" s="15">
        <v>0</v>
      </c>
      <c r="AG67" s="17">
        <v>0</v>
      </c>
      <c r="AH67" s="15">
        <v>0</v>
      </c>
      <c r="AI67" s="15">
        <v>0</v>
      </c>
      <c r="AJ67" s="17">
        <v>0</v>
      </c>
      <c r="AK67" s="105">
        <v>12</v>
      </c>
      <c r="AL67" s="15">
        <v>0</v>
      </c>
      <c r="AM67" s="17">
        <v>0</v>
      </c>
      <c r="AN67" s="105">
        <v>35</v>
      </c>
      <c r="AO67" s="15">
        <v>0</v>
      </c>
      <c r="AP67" s="138">
        <v>1</v>
      </c>
      <c r="AQ67" s="105">
        <v>673</v>
      </c>
      <c r="AR67" s="128">
        <v>17</v>
      </c>
      <c r="AS67" s="150">
        <v>30</v>
      </c>
      <c r="AT67" s="105">
        <v>10</v>
      </c>
      <c r="AU67" s="15">
        <v>0</v>
      </c>
      <c r="AV67" s="17">
        <v>0</v>
      </c>
      <c r="AW67" s="105">
        <v>23</v>
      </c>
      <c r="AX67" s="15">
        <v>0</v>
      </c>
      <c r="AY67" s="150">
        <v>1</v>
      </c>
      <c r="AZ67" s="105">
        <v>1126</v>
      </c>
      <c r="BA67" s="139">
        <v>19</v>
      </c>
      <c r="BB67" s="17">
        <v>0</v>
      </c>
      <c r="BC67" s="105">
        <v>1</v>
      </c>
      <c r="BD67" s="15">
        <v>0</v>
      </c>
      <c r="BE67" s="17">
        <v>0</v>
      </c>
      <c r="BF67" s="105">
        <v>73</v>
      </c>
      <c r="BG67" s="15">
        <v>0</v>
      </c>
      <c r="BH67" s="17">
        <v>0</v>
      </c>
      <c r="BI67" s="15">
        <v>0</v>
      </c>
      <c r="BJ67" s="15">
        <v>0</v>
      </c>
      <c r="BK67" s="17">
        <v>0</v>
      </c>
      <c r="BL67" s="105">
        <v>7</v>
      </c>
      <c r="BM67" s="15">
        <v>0</v>
      </c>
      <c r="BN67" s="17">
        <v>0</v>
      </c>
      <c r="BO67" s="105">
        <v>2</v>
      </c>
      <c r="BP67" s="15">
        <v>0</v>
      </c>
      <c r="BQ67" s="17">
        <v>0</v>
      </c>
      <c r="BR67" s="105">
        <v>19</v>
      </c>
      <c r="BS67" s="15">
        <v>0</v>
      </c>
      <c r="BT67" s="17">
        <v>0</v>
      </c>
      <c r="BU67" s="105">
        <v>50</v>
      </c>
      <c r="BV67" s="15">
        <v>0</v>
      </c>
      <c r="BW67" s="17">
        <v>0</v>
      </c>
      <c r="BX67" s="105">
        <v>7375</v>
      </c>
      <c r="BY67" s="139">
        <v>366</v>
      </c>
      <c r="BZ67" s="150">
        <v>622</v>
      </c>
      <c r="CA67" s="15">
        <v>0</v>
      </c>
      <c r="CB67" s="15">
        <v>0</v>
      </c>
      <c r="CC67" s="17">
        <v>0</v>
      </c>
      <c r="CD67" s="15">
        <v>0</v>
      </c>
      <c r="CE67" s="15">
        <v>0</v>
      </c>
      <c r="CF67" s="17">
        <v>0</v>
      </c>
      <c r="CG67" s="105">
        <v>2</v>
      </c>
      <c r="CH67" s="15">
        <v>0</v>
      </c>
      <c r="CI67" s="17">
        <v>0</v>
      </c>
      <c r="CJ67" s="105">
        <v>1</v>
      </c>
      <c r="CK67" s="15">
        <v>0</v>
      </c>
      <c r="CL67" s="17">
        <v>0</v>
      </c>
      <c r="CM67" s="105">
        <v>1</v>
      </c>
      <c r="CN67" s="15">
        <v>0</v>
      </c>
      <c r="CO67" s="17">
        <v>0</v>
      </c>
      <c r="CP67" s="105">
        <v>3</v>
      </c>
      <c r="CQ67" s="15">
        <v>0</v>
      </c>
      <c r="CR67" s="17">
        <v>0</v>
      </c>
      <c r="CS67" s="105">
        <v>3</v>
      </c>
      <c r="CT67" s="15">
        <v>0</v>
      </c>
      <c r="CU67" s="17">
        <v>0</v>
      </c>
      <c r="CV67" s="105">
        <v>3</v>
      </c>
      <c r="CW67" s="15">
        <v>0</v>
      </c>
      <c r="CX67" s="17">
        <v>0</v>
      </c>
      <c r="CY67" s="105">
        <v>1</v>
      </c>
      <c r="CZ67" s="15">
        <v>0</v>
      </c>
      <c r="DA67" s="17">
        <v>0</v>
      </c>
      <c r="DB67" s="105">
        <v>1</v>
      </c>
      <c r="DC67" s="15">
        <v>0</v>
      </c>
      <c r="DD67" s="17">
        <v>0</v>
      </c>
      <c r="DE67" s="15">
        <v>0</v>
      </c>
      <c r="DF67" s="15">
        <v>0</v>
      </c>
      <c r="DG67" s="17">
        <v>0</v>
      </c>
      <c r="DH67" s="105">
        <v>176</v>
      </c>
      <c r="DI67" s="15">
        <v>0</v>
      </c>
      <c r="DJ67" s="17">
        <v>0</v>
      </c>
      <c r="DK67" s="105">
        <v>265</v>
      </c>
      <c r="DL67" s="128">
        <v>3</v>
      </c>
      <c r="DM67" s="17">
        <v>0</v>
      </c>
      <c r="DN67" s="105">
        <v>11</v>
      </c>
      <c r="DO67" s="15">
        <v>0</v>
      </c>
      <c r="DP67" s="17">
        <v>0</v>
      </c>
      <c r="DQ67" s="105">
        <v>30</v>
      </c>
      <c r="DR67" s="15">
        <v>0</v>
      </c>
      <c r="DS67" s="17">
        <v>0</v>
      </c>
      <c r="DT67" s="105">
        <v>31</v>
      </c>
      <c r="DU67" s="15">
        <v>0</v>
      </c>
      <c r="DV67" s="17">
        <v>0</v>
      </c>
      <c r="DW67" s="105">
        <v>273</v>
      </c>
      <c r="DX67" s="128">
        <v>2</v>
      </c>
      <c r="DY67" s="150">
        <v>18</v>
      </c>
      <c r="DZ67" s="105">
        <v>15</v>
      </c>
      <c r="EA67" s="15">
        <v>0</v>
      </c>
      <c r="EB67" s="138">
        <v>3</v>
      </c>
      <c r="EC67" s="105">
        <v>10</v>
      </c>
      <c r="ED67" s="15">
        <v>0</v>
      </c>
      <c r="EE67" s="150">
        <v>3</v>
      </c>
      <c r="EF67" s="105">
        <v>36</v>
      </c>
      <c r="EG67" s="128">
        <v>1</v>
      </c>
      <c r="EH67" s="17">
        <v>0</v>
      </c>
      <c r="EI67" s="87">
        <v>1</v>
      </c>
      <c r="EJ67" s="15">
        <v>0</v>
      </c>
      <c r="EK67" s="17">
        <v>0</v>
      </c>
      <c r="EL67" s="87">
        <v>3</v>
      </c>
      <c r="EM67" s="15">
        <v>0</v>
      </c>
      <c r="EN67" s="17">
        <v>0</v>
      </c>
      <c r="EO67" s="87">
        <v>16</v>
      </c>
      <c r="EP67" s="15">
        <v>0</v>
      </c>
      <c r="EQ67" s="17">
        <v>0</v>
      </c>
      <c r="ER67" s="105">
        <v>203</v>
      </c>
      <c r="ES67" s="15">
        <v>0</v>
      </c>
      <c r="ET67" s="17">
        <v>0</v>
      </c>
      <c r="EU67" s="87">
        <f>SuisseSwitzerland!B67</f>
        <v>332</v>
      </c>
      <c r="EV67" s="128">
        <f>SuisseSwitzerland!C67</f>
        <v>2</v>
      </c>
      <c r="EW67" s="138">
        <f>SuisseSwitzerland!D67</f>
        <v>4</v>
      </c>
      <c r="EX67" s="105">
        <v>1</v>
      </c>
      <c r="EY67" s="15">
        <v>0</v>
      </c>
      <c r="EZ67" s="17">
        <v>0</v>
      </c>
      <c r="FA67" s="105">
        <v>1</v>
      </c>
      <c r="FB67" s="15">
        <v>0</v>
      </c>
      <c r="FC67" s="17">
        <v>0</v>
      </c>
      <c r="FD67" s="55" t="s">
        <v>348</v>
      </c>
      <c r="FE67" s="127"/>
    </row>
    <row r="68" spans="1:161" ht="12.75">
      <c r="A68" s="93">
        <v>43899</v>
      </c>
      <c r="B68" s="14">
        <f t="shared" ref="B68:D68" si="126">SUM(J68,M68,P68,S68,V68,Y68,AB68,AE68,AH68,AK68,AN68,AQ68,AT68,AW68,AZ68,BC68,BF68,BL68,BO68,BR68,BU68,BX68,CG68,CJ68,CM68,CP68,CS68,CV68,DH68,CY68,DB68,DK68,DN68,DQ68,DT68,DW68,DZ68,EC68,EF68,EI68,EL68,EO68,ER68,EU68,EX68,FA68)</f>
        <v>15175</v>
      </c>
      <c r="C68" s="34">
        <f t="shared" si="126"/>
        <v>528</v>
      </c>
      <c r="D68" s="73">
        <f t="shared" si="126"/>
        <v>809</v>
      </c>
      <c r="E68" s="176">
        <f t="shared" si="1"/>
        <v>13838</v>
      </c>
      <c r="F68" s="152">
        <f t="shared" ref="F68:H68" si="127">SUM(P68,S68,V68,AE68,AH68,AK68,AN68,AQ68,AT68,AW68,AZ68,BF68,BL68,BR68,BX68,CG68,CM68,CP68,CV68,DK68,DN68,DQ68,DT68,DZ68,EL68,EO68,ER68)</f>
        <v>14147</v>
      </c>
      <c r="G68" s="148">
        <f t="shared" si="127"/>
        <v>521</v>
      </c>
      <c r="H68" s="149">
        <f t="shared" si="127"/>
        <v>782</v>
      </c>
      <c r="I68" s="153">
        <f t="shared" si="3"/>
        <v>12844</v>
      </c>
      <c r="J68" s="105">
        <v>1</v>
      </c>
      <c r="K68" s="15">
        <v>0</v>
      </c>
      <c r="L68" s="17">
        <v>0</v>
      </c>
      <c r="M68" s="105">
        <v>2</v>
      </c>
      <c r="N68" s="15">
        <v>0</v>
      </c>
      <c r="O68" s="17">
        <v>0</v>
      </c>
      <c r="P68" s="105">
        <v>1176</v>
      </c>
      <c r="Q68" s="139">
        <v>2</v>
      </c>
      <c r="R68" s="150">
        <v>18</v>
      </c>
      <c r="S68" s="105">
        <v>131</v>
      </c>
      <c r="T68" s="15">
        <v>0</v>
      </c>
      <c r="U68" s="138">
        <v>2</v>
      </c>
      <c r="V68" s="105">
        <v>239</v>
      </c>
      <c r="W68" s="15">
        <v>0</v>
      </c>
      <c r="X68" s="150">
        <v>1</v>
      </c>
      <c r="Y68" s="105">
        <v>6</v>
      </c>
      <c r="Z68" s="15">
        <v>0</v>
      </c>
      <c r="AA68" s="17">
        <v>0</v>
      </c>
      <c r="AB68" s="105">
        <v>3</v>
      </c>
      <c r="AC68" s="15">
        <v>0</v>
      </c>
      <c r="AD68" s="17">
        <v>0</v>
      </c>
      <c r="AE68" s="105">
        <v>4</v>
      </c>
      <c r="AF68" s="15">
        <v>0</v>
      </c>
      <c r="AG68" s="17">
        <v>0</v>
      </c>
      <c r="AH68" s="105">
        <v>2</v>
      </c>
      <c r="AI68" s="15">
        <v>0</v>
      </c>
      <c r="AJ68" s="17">
        <v>0</v>
      </c>
      <c r="AK68" s="105">
        <v>12</v>
      </c>
      <c r="AL68" s="15">
        <v>0</v>
      </c>
      <c r="AM68" s="17">
        <v>0</v>
      </c>
      <c r="AN68" s="105">
        <v>90</v>
      </c>
      <c r="AO68" s="15">
        <v>0</v>
      </c>
      <c r="AP68" s="138">
        <v>1</v>
      </c>
      <c r="AQ68" s="105">
        <v>1073</v>
      </c>
      <c r="AR68" s="128">
        <v>28</v>
      </c>
      <c r="AS68" s="150">
        <v>32</v>
      </c>
      <c r="AT68" s="105">
        <v>10</v>
      </c>
      <c r="AU68" s="15">
        <v>0</v>
      </c>
      <c r="AV68" s="17">
        <v>0</v>
      </c>
      <c r="AW68" s="105">
        <v>30</v>
      </c>
      <c r="AX68" s="15">
        <v>0</v>
      </c>
      <c r="AY68" s="150">
        <v>1</v>
      </c>
      <c r="AZ68" s="105">
        <v>1412</v>
      </c>
      <c r="BA68" s="139">
        <v>25</v>
      </c>
      <c r="BB68" s="17">
        <v>0</v>
      </c>
      <c r="BC68" s="105">
        <v>1</v>
      </c>
      <c r="BD68" s="15">
        <v>0</v>
      </c>
      <c r="BE68" s="17">
        <v>0</v>
      </c>
      <c r="BF68" s="105">
        <v>73</v>
      </c>
      <c r="BG68" s="15">
        <v>0</v>
      </c>
      <c r="BH68" s="17">
        <v>0</v>
      </c>
      <c r="BI68" s="105">
        <v>1</v>
      </c>
      <c r="BJ68" s="15">
        <v>0</v>
      </c>
      <c r="BK68" s="17">
        <v>0</v>
      </c>
      <c r="BL68" s="105">
        <v>9</v>
      </c>
      <c r="BM68" s="15">
        <v>0</v>
      </c>
      <c r="BN68" s="17">
        <v>0</v>
      </c>
      <c r="BO68" s="105">
        <v>2</v>
      </c>
      <c r="BP68" s="15">
        <v>0</v>
      </c>
      <c r="BQ68" s="17">
        <v>0</v>
      </c>
      <c r="BR68" s="105">
        <v>21</v>
      </c>
      <c r="BS68" s="15">
        <v>0</v>
      </c>
      <c r="BT68" s="17">
        <v>0</v>
      </c>
      <c r="BU68" s="105">
        <v>58</v>
      </c>
      <c r="BV68" s="15">
        <v>0</v>
      </c>
      <c r="BW68" s="17">
        <v>0</v>
      </c>
      <c r="BX68" s="105">
        <v>9172</v>
      </c>
      <c r="BY68" s="139">
        <v>463</v>
      </c>
      <c r="BZ68" s="150">
        <v>724</v>
      </c>
      <c r="CA68" s="15">
        <v>0</v>
      </c>
      <c r="CB68" s="15">
        <v>0</v>
      </c>
      <c r="CC68" s="17">
        <v>0</v>
      </c>
      <c r="CD68" s="15">
        <v>0</v>
      </c>
      <c r="CE68" s="15">
        <v>0</v>
      </c>
      <c r="CF68" s="17">
        <v>0</v>
      </c>
      <c r="CG68" s="105">
        <v>6</v>
      </c>
      <c r="CH68" s="15">
        <v>0</v>
      </c>
      <c r="CI68" s="17">
        <v>0</v>
      </c>
      <c r="CJ68" s="105">
        <v>1</v>
      </c>
      <c r="CK68" s="15">
        <v>0</v>
      </c>
      <c r="CL68" s="17">
        <v>0</v>
      </c>
      <c r="CM68" s="105">
        <v>1</v>
      </c>
      <c r="CN68" s="15">
        <v>0</v>
      </c>
      <c r="CO68" s="17">
        <v>0</v>
      </c>
      <c r="CP68" s="105">
        <v>3</v>
      </c>
      <c r="CQ68" s="15">
        <v>0</v>
      </c>
      <c r="CR68" s="17">
        <v>0</v>
      </c>
      <c r="CS68" s="105">
        <v>3</v>
      </c>
      <c r="CT68" s="15">
        <v>0</v>
      </c>
      <c r="CU68" s="17">
        <v>0</v>
      </c>
      <c r="CV68" s="105">
        <v>3</v>
      </c>
      <c r="CW68" s="15">
        <v>0</v>
      </c>
      <c r="CX68" s="17">
        <v>0</v>
      </c>
      <c r="CY68" s="105">
        <v>1</v>
      </c>
      <c r="CZ68" s="15">
        <v>0</v>
      </c>
      <c r="DA68" s="17">
        <v>0</v>
      </c>
      <c r="DB68" s="105">
        <v>1</v>
      </c>
      <c r="DC68" s="15">
        <v>0</v>
      </c>
      <c r="DD68" s="17">
        <v>0</v>
      </c>
      <c r="DE68" s="15">
        <v>0</v>
      </c>
      <c r="DF68" s="15">
        <v>0</v>
      </c>
      <c r="DG68" s="17">
        <v>0</v>
      </c>
      <c r="DH68" s="105">
        <v>205</v>
      </c>
      <c r="DI68" s="15">
        <v>0</v>
      </c>
      <c r="DJ68" s="17">
        <v>0</v>
      </c>
      <c r="DK68" s="105">
        <v>321</v>
      </c>
      <c r="DL68" s="128">
        <v>3</v>
      </c>
      <c r="DM68" s="17">
        <v>0</v>
      </c>
      <c r="DN68" s="105">
        <v>16</v>
      </c>
      <c r="DO68" s="15">
        <v>0</v>
      </c>
      <c r="DP68" s="17">
        <v>0</v>
      </c>
      <c r="DQ68" s="105">
        <v>30</v>
      </c>
      <c r="DR68" s="15">
        <v>0</v>
      </c>
      <c r="DS68" s="17">
        <v>0</v>
      </c>
      <c r="DT68" s="105">
        <v>31</v>
      </c>
      <c r="DU68" s="15">
        <v>0</v>
      </c>
      <c r="DV68" s="17">
        <v>0</v>
      </c>
      <c r="DW68" s="105">
        <v>321</v>
      </c>
      <c r="DX68" s="128">
        <v>4</v>
      </c>
      <c r="DY68" s="150">
        <v>18</v>
      </c>
      <c r="DZ68" s="105">
        <v>15</v>
      </c>
      <c r="EA68" s="15">
        <v>0</v>
      </c>
      <c r="EB68" s="138">
        <v>3</v>
      </c>
      <c r="EC68" s="105">
        <v>10</v>
      </c>
      <c r="ED68" s="15">
        <v>0</v>
      </c>
      <c r="EE68" s="150">
        <v>3</v>
      </c>
      <c r="EF68" s="105">
        <v>36</v>
      </c>
      <c r="EG68" s="128">
        <v>1</v>
      </c>
      <c r="EH68" s="17">
        <v>0</v>
      </c>
      <c r="EI68" s="87">
        <v>1</v>
      </c>
      <c r="EJ68" s="15">
        <v>0</v>
      </c>
      <c r="EK68" s="17">
        <v>0</v>
      </c>
      <c r="EL68" s="87">
        <v>3</v>
      </c>
      <c r="EM68" s="15">
        <v>0</v>
      </c>
      <c r="EN68" s="17">
        <v>0</v>
      </c>
      <c r="EO68" s="87">
        <v>16</v>
      </c>
      <c r="EP68" s="15">
        <v>0</v>
      </c>
      <c r="EQ68" s="17">
        <v>0</v>
      </c>
      <c r="ER68" s="105">
        <v>248</v>
      </c>
      <c r="ES68" s="15">
        <v>0</v>
      </c>
      <c r="ET68" s="17">
        <v>0</v>
      </c>
      <c r="EU68" s="87">
        <f>SuisseSwitzerland!B68</f>
        <v>374</v>
      </c>
      <c r="EV68" s="128">
        <f>SuisseSwitzerland!C68</f>
        <v>2</v>
      </c>
      <c r="EW68" s="138">
        <f>SuisseSwitzerland!D68</f>
        <v>6</v>
      </c>
      <c r="EX68" s="105">
        <v>1</v>
      </c>
      <c r="EY68" s="15">
        <v>0</v>
      </c>
      <c r="EZ68" s="17">
        <v>0</v>
      </c>
      <c r="FA68" s="105">
        <v>1</v>
      </c>
      <c r="FB68" s="15">
        <v>0</v>
      </c>
      <c r="FC68" s="17">
        <v>0</v>
      </c>
      <c r="FD68" s="55" t="s">
        <v>354</v>
      </c>
      <c r="FE68" s="77" t="s">
        <v>355</v>
      </c>
    </row>
    <row r="69" spans="1:161" ht="12.75">
      <c r="A69" s="93">
        <v>43900</v>
      </c>
      <c r="B69" s="14">
        <f t="shared" ref="B69:D69" si="128">SUM(J69,M69,P69,S69,V69,Y69,AB69,AE69,AH69,AK69,AN69,AQ69,AT69,AW69,AZ69,BC69,BF69,BL69,CA69,BO69,BR69,BU69,BX69,CG69,CJ69,CM69,CP69,CS69,CV69,DH69,CY69,DB69,DK69,DN69,DQ69,DT69,DW69,DZ69,EC69,EF69,EI69,EL69,EO69,ER69,EU69,EX69,FA69)</f>
        <v>18321</v>
      </c>
      <c r="C69" s="34">
        <f t="shared" si="128"/>
        <v>716</v>
      </c>
      <c r="D69" s="73">
        <f t="shared" si="128"/>
        <v>821</v>
      </c>
      <c r="E69" s="176">
        <f t="shared" si="1"/>
        <v>16784</v>
      </c>
      <c r="F69" s="152">
        <f t="shared" ref="F69:H69" si="129">SUM(P69,S69,V69,AE69,AH69,AK69,AN69,AQ69,AT69,AW69,AZ69,BF69,BL69,BR69,BX69,CG69,CM69,CP69,CV69,DK69,DN69,DQ69,DT69,DZ69,EL69,EO69,ER69)</f>
        <v>16894</v>
      </c>
      <c r="G69" s="148">
        <f t="shared" si="129"/>
        <v>705</v>
      </c>
      <c r="H69" s="149">
        <f t="shared" si="129"/>
        <v>786</v>
      </c>
      <c r="I69" s="153">
        <f t="shared" si="3"/>
        <v>15403</v>
      </c>
      <c r="J69" s="105">
        <v>1</v>
      </c>
      <c r="K69" s="15">
        <v>0</v>
      </c>
      <c r="L69" s="17">
        <v>0</v>
      </c>
      <c r="M69" s="105">
        <v>10</v>
      </c>
      <c r="N69" s="15">
        <v>0</v>
      </c>
      <c r="O69" s="17">
        <v>0</v>
      </c>
      <c r="P69" s="105">
        <v>1457</v>
      </c>
      <c r="Q69" s="139">
        <v>2</v>
      </c>
      <c r="R69" s="150">
        <v>18</v>
      </c>
      <c r="S69" s="105">
        <v>182</v>
      </c>
      <c r="T69" s="15">
        <v>0</v>
      </c>
      <c r="U69" s="138">
        <v>4</v>
      </c>
      <c r="V69" s="105">
        <v>267</v>
      </c>
      <c r="W69" s="15">
        <v>0</v>
      </c>
      <c r="X69" s="150">
        <v>1</v>
      </c>
      <c r="Y69" s="105">
        <v>9</v>
      </c>
      <c r="Z69" s="15">
        <v>0</v>
      </c>
      <c r="AA69" s="138">
        <v>3</v>
      </c>
      <c r="AB69" s="105">
        <v>5</v>
      </c>
      <c r="AC69" s="15">
        <v>0</v>
      </c>
      <c r="AD69" s="17">
        <v>0</v>
      </c>
      <c r="AE69" s="105">
        <v>4</v>
      </c>
      <c r="AF69" s="15">
        <v>0</v>
      </c>
      <c r="AG69" s="17">
        <v>0</v>
      </c>
      <c r="AH69" s="105">
        <v>3</v>
      </c>
      <c r="AI69" s="15">
        <v>0</v>
      </c>
      <c r="AJ69" s="17">
        <v>0</v>
      </c>
      <c r="AK69" s="105">
        <v>14</v>
      </c>
      <c r="AL69" s="15">
        <v>0</v>
      </c>
      <c r="AM69" s="17">
        <v>0</v>
      </c>
      <c r="AN69" s="105">
        <v>262</v>
      </c>
      <c r="AO69" s="15">
        <v>0</v>
      </c>
      <c r="AP69" s="138">
        <v>1</v>
      </c>
      <c r="AQ69" s="105">
        <v>1695</v>
      </c>
      <c r="AR69" s="128">
        <v>35</v>
      </c>
      <c r="AS69" s="150">
        <v>32</v>
      </c>
      <c r="AT69" s="105">
        <v>12</v>
      </c>
      <c r="AU69" s="15">
        <v>0</v>
      </c>
      <c r="AV69" s="17">
        <v>0</v>
      </c>
      <c r="AW69" s="105">
        <v>40</v>
      </c>
      <c r="AX69" s="15">
        <v>0</v>
      </c>
      <c r="AY69" s="150">
        <v>1</v>
      </c>
      <c r="AZ69" s="105">
        <v>1784</v>
      </c>
      <c r="BA69" s="139">
        <v>33</v>
      </c>
      <c r="BB69" s="17">
        <v>0</v>
      </c>
      <c r="BC69" s="105">
        <v>1</v>
      </c>
      <c r="BD69" s="15">
        <v>0</v>
      </c>
      <c r="BE69" s="17">
        <v>0</v>
      </c>
      <c r="BF69" s="105">
        <v>89</v>
      </c>
      <c r="BG69" s="15">
        <v>0</v>
      </c>
      <c r="BH69" s="17">
        <v>0</v>
      </c>
      <c r="BI69" s="105">
        <v>1</v>
      </c>
      <c r="BJ69" s="15">
        <v>0</v>
      </c>
      <c r="BK69" s="17">
        <v>0</v>
      </c>
      <c r="BL69" s="105">
        <v>9</v>
      </c>
      <c r="BM69" s="15">
        <v>0</v>
      </c>
      <c r="BN69" s="17">
        <v>0</v>
      </c>
      <c r="BO69" s="105">
        <v>2</v>
      </c>
      <c r="BP69" s="15">
        <v>0</v>
      </c>
      <c r="BQ69" s="17">
        <v>0</v>
      </c>
      <c r="BR69" s="105">
        <v>34</v>
      </c>
      <c r="BS69" s="15">
        <v>0</v>
      </c>
      <c r="BT69" s="17">
        <v>0</v>
      </c>
      <c r="BU69" s="105">
        <v>69</v>
      </c>
      <c r="BV69" s="15">
        <v>0</v>
      </c>
      <c r="BW69" s="17">
        <v>0</v>
      </c>
      <c r="BX69" s="105">
        <v>10149</v>
      </c>
      <c r="BY69" s="139">
        <v>631</v>
      </c>
      <c r="BZ69" s="150">
        <v>724</v>
      </c>
      <c r="CA69" s="105">
        <v>1</v>
      </c>
      <c r="CB69" s="15">
        <v>0</v>
      </c>
      <c r="CC69" s="17">
        <v>0</v>
      </c>
      <c r="CD69" s="15">
        <v>0</v>
      </c>
      <c r="CE69" s="15">
        <v>0</v>
      </c>
      <c r="CF69" s="17">
        <v>0</v>
      </c>
      <c r="CG69" s="105">
        <v>8</v>
      </c>
      <c r="CH69" s="15">
        <v>0</v>
      </c>
      <c r="CI69" s="138">
        <v>1</v>
      </c>
      <c r="CJ69" s="105">
        <v>1</v>
      </c>
      <c r="CK69" s="15">
        <v>0</v>
      </c>
      <c r="CL69" s="17">
        <v>0</v>
      </c>
      <c r="CM69" s="105">
        <v>1</v>
      </c>
      <c r="CN69" s="15">
        <v>0</v>
      </c>
      <c r="CO69" s="17">
        <v>0</v>
      </c>
      <c r="CP69" s="105">
        <v>5</v>
      </c>
      <c r="CQ69" s="15">
        <v>0</v>
      </c>
      <c r="CR69" s="17">
        <v>0</v>
      </c>
      <c r="CS69" s="105">
        <v>7</v>
      </c>
      <c r="CT69" s="15">
        <v>0</v>
      </c>
      <c r="CU69" s="17">
        <v>0</v>
      </c>
      <c r="CV69" s="105">
        <v>5</v>
      </c>
      <c r="CW69" s="15">
        <v>0</v>
      </c>
      <c r="CX69" s="17">
        <v>0</v>
      </c>
      <c r="CY69" s="105">
        <v>3</v>
      </c>
      <c r="CZ69" s="15">
        <v>0</v>
      </c>
      <c r="DA69" s="17">
        <v>0</v>
      </c>
      <c r="DB69" s="105">
        <v>1</v>
      </c>
      <c r="DC69" s="15">
        <v>0</v>
      </c>
      <c r="DD69" s="17">
        <v>0</v>
      </c>
      <c r="DE69" s="15">
        <v>0</v>
      </c>
      <c r="DF69" s="15">
        <v>0</v>
      </c>
      <c r="DG69" s="17">
        <v>0</v>
      </c>
      <c r="DH69" s="105">
        <v>400</v>
      </c>
      <c r="DI69" s="15">
        <v>0</v>
      </c>
      <c r="DJ69" s="138">
        <v>1</v>
      </c>
      <c r="DK69" s="105">
        <v>382</v>
      </c>
      <c r="DL69" s="128">
        <v>4</v>
      </c>
      <c r="DM69" s="17">
        <v>0</v>
      </c>
      <c r="DN69" s="105">
        <v>22</v>
      </c>
      <c r="DO69" s="15">
        <v>0</v>
      </c>
      <c r="DP69" s="17">
        <v>0</v>
      </c>
      <c r="DQ69" s="105">
        <v>41</v>
      </c>
      <c r="DR69" s="15">
        <v>0</v>
      </c>
      <c r="DS69" s="17">
        <v>0</v>
      </c>
      <c r="DT69" s="105">
        <v>41</v>
      </c>
      <c r="DU69" s="15">
        <v>0</v>
      </c>
      <c r="DV69" s="17">
        <v>0</v>
      </c>
      <c r="DW69" s="105">
        <v>373</v>
      </c>
      <c r="DX69" s="128">
        <v>6</v>
      </c>
      <c r="DY69" s="150">
        <v>18</v>
      </c>
      <c r="DZ69" s="105">
        <v>25</v>
      </c>
      <c r="EA69" s="15">
        <v>0</v>
      </c>
      <c r="EB69" s="138">
        <v>3</v>
      </c>
      <c r="EC69" s="105">
        <v>10</v>
      </c>
      <c r="ED69" s="15">
        <v>0</v>
      </c>
      <c r="EE69" s="150">
        <v>3</v>
      </c>
      <c r="EF69" s="105">
        <v>51</v>
      </c>
      <c r="EG69" s="128">
        <v>2</v>
      </c>
      <c r="EH69" s="17">
        <v>0</v>
      </c>
      <c r="EI69" s="87">
        <v>5</v>
      </c>
      <c r="EJ69" s="15">
        <v>0</v>
      </c>
      <c r="EK69" s="17">
        <v>0</v>
      </c>
      <c r="EL69" s="87">
        <v>7</v>
      </c>
      <c r="EM69" s="15">
        <v>0</v>
      </c>
      <c r="EN69" s="17">
        <v>0</v>
      </c>
      <c r="EO69" s="87">
        <v>31</v>
      </c>
      <c r="EP69" s="15">
        <v>0</v>
      </c>
      <c r="EQ69" s="17">
        <v>0</v>
      </c>
      <c r="ER69" s="105">
        <v>325</v>
      </c>
      <c r="ES69" s="15">
        <v>0</v>
      </c>
      <c r="ET69" s="138">
        <v>1</v>
      </c>
      <c r="EU69" s="87">
        <f>SuisseSwitzerland!B69</f>
        <v>476</v>
      </c>
      <c r="EV69" s="128">
        <f>SuisseSwitzerland!C69</f>
        <v>3</v>
      </c>
      <c r="EW69" s="138">
        <f>SuisseSwitzerland!D69</f>
        <v>10</v>
      </c>
      <c r="EX69" s="105">
        <v>1</v>
      </c>
      <c r="EY69" s="15">
        <v>0</v>
      </c>
      <c r="EZ69" s="17">
        <v>0</v>
      </c>
      <c r="FA69" s="105">
        <v>1</v>
      </c>
      <c r="FB69" s="15">
        <v>0</v>
      </c>
      <c r="FC69" s="17">
        <v>0</v>
      </c>
      <c r="FD69" s="55" t="s">
        <v>361</v>
      </c>
      <c r="FE69" s="127"/>
    </row>
    <row r="70" spans="1:161" ht="12.75">
      <c r="A70" s="93">
        <v>43901</v>
      </c>
      <c r="B70" s="14">
        <f t="shared" ref="B70:D70" si="130">SUM(J70,M70,P70,S70,V70,Y70,AB70,AE70,AH70,AK70,AN70,AQ70,AT70,AW70,AZ70,BC70,BF70,BL70,CA70,BO70,BR70,BU70,BX70,CG70,CJ70,CM70,CP70,CS70,CV70,DH70,CY70,DB70,DK70,DN70,DQ70,DT70,DW70,DZ70,EC70,EF70,EI70,EL70,EO70,ER70,EU70,EX70,FA70)</f>
        <v>23375</v>
      </c>
      <c r="C70" s="34">
        <f t="shared" si="130"/>
        <v>961</v>
      </c>
      <c r="D70" s="73">
        <f t="shared" si="130"/>
        <v>1305</v>
      </c>
      <c r="E70" s="176">
        <f t="shared" si="1"/>
        <v>21109</v>
      </c>
      <c r="F70" s="152">
        <f t="shared" ref="F70:H70" si="131">SUM(P70,S70,V70,AE70,AH70,AK70,AN70,AQ70,AT70,AW70,AZ70,BF70,BL70,BR70,BX70,CG70,CM70,CP70,CV70,DK70,DN70,DQ70,DT70,DZ70,EL70,EO70,ER70)</f>
        <v>21482</v>
      </c>
      <c r="G70" s="148">
        <f t="shared" si="131"/>
        <v>943</v>
      </c>
      <c r="H70" s="149">
        <f t="shared" si="131"/>
        <v>1268</v>
      </c>
      <c r="I70" s="153">
        <f t="shared" si="3"/>
        <v>19271</v>
      </c>
      <c r="J70" s="105">
        <v>1</v>
      </c>
      <c r="K70" s="15">
        <v>0</v>
      </c>
      <c r="L70" s="17">
        <v>0</v>
      </c>
      <c r="M70" s="105">
        <v>12</v>
      </c>
      <c r="N70" s="128">
        <v>1</v>
      </c>
      <c r="O70" s="17">
        <v>0</v>
      </c>
      <c r="P70" s="105">
        <v>1908</v>
      </c>
      <c r="Q70" s="139">
        <v>3</v>
      </c>
      <c r="R70" s="150">
        <v>25</v>
      </c>
      <c r="S70" s="105">
        <v>246</v>
      </c>
      <c r="T70" s="15">
        <v>0</v>
      </c>
      <c r="U70" s="138">
        <v>4</v>
      </c>
      <c r="V70" s="105">
        <v>314</v>
      </c>
      <c r="W70" s="128">
        <v>3</v>
      </c>
      <c r="X70" s="150">
        <v>1</v>
      </c>
      <c r="Y70" s="105">
        <v>9</v>
      </c>
      <c r="Z70" s="15">
        <v>0</v>
      </c>
      <c r="AA70" s="138">
        <v>3</v>
      </c>
      <c r="AB70" s="105">
        <v>5</v>
      </c>
      <c r="AC70" s="15">
        <v>0</v>
      </c>
      <c r="AD70" s="17">
        <v>0</v>
      </c>
      <c r="AE70" s="105">
        <v>6</v>
      </c>
      <c r="AF70" s="128">
        <v>1</v>
      </c>
      <c r="AG70" s="17">
        <v>0</v>
      </c>
      <c r="AH70" s="105">
        <v>6</v>
      </c>
      <c r="AI70" s="15">
        <v>0</v>
      </c>
      <c r="AJ70" s="17">
        <v>0</v>
      </c>
      <c r="AK70" s="105">
        <v>16</v>
      </c>
      <c r="AL70" s="15">
        <v>0</v>
      </c>
      <c r="AM70" s="17">
        <v>0</v>
      </c>
      <c r="AN70" s="105">
        <v>444</v>
      </c>
      <c r="AO70" s="15">
        <v>0</v>
      </c>
      <c r="AP70" s="138">
        <v>1</v>
      </c>
      <c r="AQ70" s="105">
        <v>2277</v>
      </c>
      <c r="AR70" s="128">
        <v>54</v>
      </c>
      <c r="AS70" s="150">
        <v>183</v>
      </c>
      <c r="AT70" s="105">
        <v>13</v>
      </c>
      <c r="AU70" s="15">
        <v>0</v>
      </c>
      <c r="AV70" s="17">
        <v>0</v>
      </c>
      <c r="AW70" s="105">
        <v>59</v>
      </c>
      <c r="AX70" s="15">
        <v>0</v>
      </c>
      <c r="AY70" s="150">
        <v>1</v>
      </c>
      <c r="AZ70" s="105">
        <v>2281</v>
      </c>
      <c r="BA70" s="139">
        <v>48</v>
      </c>
      <c r="BB70" s="17">
        <v>0</v>
      </c>
      <c r="BC70" s="105">
        <v>1</v>
      </c>
      <c r="BD70" s="15">
        <v>0</v>
      </c>
      <c r="BE70" s="17">
        <v>0</v>
      </c>
      <c r="BF70" s="105">
        <v>99</v>
      </c>
      <c r="BG70" s="15">
        <v>0</v>
      </c>
      <c r="BH70" s="17">
        <v>0</v>
      </c>
      <c r="BI70" s="105">
        <v>1</v>
      </c>
      <c r="BJ70" s="15">
        <v>0</v>
      </c>
      <c r="BK70" s="17">
        <v>0</v>
      </c>
      <c r="BL70" s="105">
        <v>12</v>
      </c>
      <c r="BM70" s="15">
        <v>0</v>
      </c>
      <c r="BN70" s="17">
        <v>0</v>
      </c>
      <c r="BO70" s="105">
        <v>2</v>
      </c>
      <c r="BP70" s="15">
        <v>0</v>
      </c>
      <c r="BQ70" s="17">
        <v>0</v>
      </c>
      <c r="BR70" s="105">
        <v>34</v>
      </c>
      <c r="BS70" s="128">
        <v>1</v>
      </c>
      <c r="BT70" s="17">
        <v>0</v>
      </c>
      <c r="BU70" s="105">
        <v>85</v>
      </c>
      <c r="BV70" s="15">
        <v>0</v>
      </c>
      <c r="BW70" s="17">
        <v>0</v>
      </c>
      <c r="BX70" s="105">
        <v>12462</v>
      </c>
      <c r="BY70" s="139">
        <v>827</v>
      </c>
      <c r="BZ70" s="150">
        <v>1045</v>
      </c>
      <c r="CA70" s="105">
        <v>1</v>
      </c>
      <c r="CB70" s="15">
        <v>0</v>
      </c>
      <c r="CC70" s="17">
        <v>0</v>
      </c>
      <c r="CD70" s="15">
        <v>0</v>
      </c>
      <c r="CE70" s="15">
        <v>0</v>
      </c>
      <c r="CF70" s="17">
        <v>0</v>
      </c>
      <c r="CG70" s="105">
        <v>10</v>
      </c>
      <c r="CH70" s="15">
        <v>0</v>
      </c>
      <c r="CI70" s="138">
        <v>1</v>
      </c>
      <c r="CJ70" s="105">
        <v>1</v>
      </c>
      <c r="CK70" s="15">
        <v>0</v>
      </c>
      <c r="CL70" s="17">
        <v>0</v>
      </c>
      <c r="CM70" s="105">
        <v>3</v>
      </c>
      <c r="CN70" s="15">
        <v>0</v>
      </c>
      <c r="CO70" s="17">
        <v>0</v>
      </c>
      <c r="CP70" s="105">
        <v>7</v>
      </c>
      <c r="CQ70" s="15">
        <v>0</v>
      </c>
      <c r="CR70" s="17">
        <v>0</v>
      </c>
      <c r="CS70" s="105">
        <v>7</v>
      </c>
      <c r="CT70" s="15">
        <v>0</v>
      </c>
      <c r="CU70" s="17">
        <v>0</v>
      </c>
      <c r="CV70" s="105">
        <v>6</v>
      </c>
      <c r="CW70" s="15">
        <v>0</v>
      </c>
      <c r="CX70" s="17">
        <v>0</v>
      </c>
      <c r="CY70" s="105">
        <v>4</v>
      </c>
      <c r="CZ70" s="15">
        <v>0</v>
      </c>
      <c r="DA70" s="17">
        <v>0</v>
      </c>
      <c r="DB70" s="105">
        <v>1</v>
      </c>
      <c r="DC70" s="15">
        <v>0</v>
      </c>
      <c r="DD70" s="17">
        <v>0</v>
      </c>
      <c r="DE70" s="15">
        <v>0</v>
      </c>
      <c r="DF70" s="15">
        <v>0</v>
      </c>
      <c r="DG70" s="17">
        <v>0</v>
      </c>
      <c r="DH70" s="105">
        <v>598</v>
      </c>
      <c r="DI70" s="15">
        <v>0</v>
      </c>
      <c r="DJ70" s="138">
        <v>1</v>
      </c>
      <c r="DK70" s="105">
        <v>503</v>
      </c>
      <c r="DL70" s="128">
        <v>5</v>
      </c>
      <c r="DM70" s="17">
        <v>0</v>
      </c>
      <c r="DN70" s="105">
        <v>27</v>
      </c>
      <c r="DO70" s="15">
        <v>0</v>
      </c>
      <c r="DP70" s="17">
        <v>0</v>
      </c>
      <c r="DQ70" s="105">
        <v>59</v>
      </c>
      <c r="DR70" s="15">
        <v>0</v>
      </c>
      <c r="DS70" s="17">
        <v>0</v>
      </c>
      <c r="DT70" s="105">
        <v>91</v>
      </c>
      <c r="DU70" s="15">
        <v>0</v>
      </c>
      <c r="DV70" s="17">
        <v>0</v>
      </c>
      <c r="DW70" s="105">
        <v>459</v>
      </c>
      <c r="DX70" s="128">
        <v>8</v>
      </c>
      <c r="DY70" s="150">
        <v>19</v>
      </c>
      <c r="DZ70" s="105">
        <v>32</v>
      </c>
      <c r="EA70" s="15">
        <v>0</v>
      </c>
      <c r="EB70" s="138">
        <v>6</v>
      </c>
      <c r="EC70" s="105">
        <v>20</v>
      </c>
      <c r="ED70" s="15">
        <v>0</v>
      </c>
      <c r="EE70" s="150">
        <v>3</v>
      </c>
      <c r="EF70" s="105">
        <v>60</v>
      </c>
      <c r="EG70" s="128">
        <v>2</v>
      </c>
      <c r="EH70" s="17">
        <v>0</v>
      </c>
      <c r="EI70" s="87">
        <v>12</v>
      </c>
      <c r="EJ70" s="15">
        <v>0</v>
      </c>
      <c r="EK70" s="17">
        <v>0</v>
      </c>
      <c r="EL70" s="87">
        <v>10</v>
      </c>
      <c r="EM70" s="15">
        <v>0</v>
      </c>
      <c r="EN70" s="17">
        <v>0</v>
      </c>
      <c r="EO70" s="87">
        <v>57</v>
      </c>
      <c r="EP70" s="15">
        <v>0</v>
      </c>
      <c r="EQ70" s="17">
        <v>0</v>
      </c>
      <c r="ER70" s="105">
        <v>500</v>
      </c>
      <c r="ES70" s="128">
        <v>1</v>
      </c>
      <c r="ET70" s="138">
        <v>1</v>
      </c>
      <c r="EU70" s="87">
        <f>SuisseSwitzerland!B70</f>
        <v>613</v>
      </c>
      <c r="EV70" s="128">
        <f>SuisseSwitzerland!C70</f>
        <v>7</v>
      </c>
      <c r="EW70" s="138">
        <f>SuisseSwitzerland!D70</f>
        <v>11</v>
      </c>
      <c r="EX70" s="105">
        <v>1</v>
      </c>
      <c r="EY70" s="15">
        <v>0</v>
      </c>
      <c r="EZ70" s="17">
        <v>0</v>
      </c>
      <c r="FA70" s="105">
        <v>1</v>
      </c>
      <c r="FB70" s="15">
        <v>0</v>
      </c>
      <c r="FC70" s="17">
        <v>0</v>
      </c>
      <c r="FD70" s="55" t="s">
        <v>366</v>
      </c>
      <c r="FE70" s="199" t="s">
        <v>367</v>
      </c>
    </row>
    <row r="71" spans="1:161" ht="12.75">
      <c r="A71" s="93">
        <v>43902</v>
      </c>
      <c r="B71" s="14">
        <f t="shared" ref="B71:D71" si="132">SUM(J71,M71,P71,S71,V71,Y71,AB71,AE71,AH71,AK71,AN71,AQ71,AT71,AW71,AZ71,BC71,BF71,BL71,CA71,BO71,BR71,BU71,BX71,CG71,CJ71,CM71,CP71,CS71,CV71,DH71,CY71,DB71,DK71,DN71,DQ71,DT71,DW71,DZ71,EC71,EF71,EI71,EL71,EO71,ER71,EU71,EX71,FA71)</f>
        <v>28754</v>
      </c>
      <c r="C71" s="34">
        <f t="shared" si="132"/>
        <v>1199</v>
      </c>
      <c r="D71" s="73">
        <f t="shared" si="132"/>
        <v>1306</v>
      </c>
      <c r="E71" s="176">
        <f t="shared" si="1"/>
        <v>26249</v>
      </c>
      <c r="F71" s="152">
        <f t="shared" ref="F71:H71" si="133">SUM(P71,S71,V71,AE71,AH71,AK71,AN71,AQ71,AT71,AW71,AZ71,BF71,BL71,BR71,BX71,CG71,CM71,CP71,CV71,DK71,DN71,DQ71,DT71,DZ71,EL71,EO71,ER71)</f>
        <v>26100</v>
      </c>
      <c r="G71" s="148">
        <f t="shared" si="133"/>
        <v>1178</v>
      </c>
      <c r="H71" s="149">
        <f t="shared" si="133"/>
        <v>1268</v>
      </c>
      <c r="I71" s="153">
        <f t="shared" si="3"/>
        <v>23654</v>
      </c>
      <c r="J71" s="105">
        <v>1</v>
      </c>
      <c r="K71" s="15">
        <v>0</v>
      </c>
      <c r="L71" s="17">
        <v>0</v>
      </c>
      <c r="M71" s="105">
        <v>23</v>
      </c>
      <c r="N71" s="128">
        <v>1</v>
      </c>
      <c r="O71" s="17">
        <v>0</v>
      </c>
      <c r="P71" s="105">
        <v>2078</v>
      </c>
      <c r="Q71" s="139">
        <v>3</v>
      </c>
      <c r="R71" s="150">
        <v>25</v>
      </c>
      <c r="S71" s="105">
        <v>302</v>
      </c>
      <c r="T71" s="128">
        <v>1</v>
      </c>
      <c r="U71" s="138">
        <v>4</v>
      </c>
      <c r="V71" s="105">
        <v>369</v>
      </c>
      <c r="W71" s="128">
        <v>3</v>
      </c>
      <c r="X71" s="150">
        <v>1</v>
      </c>
      <c r="Y71" s="105">
        <v>12</v>
      </c>
      <c r="Z71" s="15">
        <v>0</v>
      </c>
      <c r="AA71" s="138">
        <v>3</v>
      </c>
      <c r="AB71" s="105">
        <v>11</v>
      </c>
      <c r="AC71" s="15">
        <v>0</v>
      </c>
      <c r="AD71" s="17">
        <v>0</v>
      </c>
      <c r="AE71" s="105">
        <v>7</v>
      </c>
      <c r="AF71" s="128">
        <v>1</v>
      </c>
      <c r="AG71" s="17">
        <v>0</v>
      </c>
      <c r="AH71" s="105">
        <v>6</v>
      </c>
      <c r="AI71" s="15">
        <v>0</v>
      </c>
      <c r="AJ71" s="17">
        <v>0</v>
      </c>
      <c r="AK71" s="105">
        <v>19</v>
      </c>
      <c r="AL71" s="15">
        <v>0</v>
      </c>
      <c r="AM71" s="17">
        <v>0</v>
      </c>
      <c r="AN71" s="105">
        <v>617</v>
      </c>
      <c r="AO71" s="15">
        <v>0</v>
      </c>
      <c r="AP71" s="138">
        <v>1</v>
      </c>
      <c r="AQ71" s="105">
        <v>2968</v>
      </c>
      <c r="AR71" s="128">
        <v>84</v>
      </c>
      <c r="AS71" s="150">
        <v>183</v>
      </c>
      <c r="AT71" s="105">
        <v>16</v>
      </c>
      <c r="AU71" s="15">
        <v>0</v>
      </c>
      <c r="AV71" s="17">
        <v>0</v>
      </c>
      <c r="AW71" s="105">
        <v>59</v>
      </c>
      <c r="AX71" s="15">
        <v>0</v>
      </c>
      <c r="AY71" s="150">
        <v>1</v>
      </c>
      <c r="AZ71" s="105">
        <v>2876</v>
      </c>
      <c r="BA71" s="139">
        <v>61</v>
      </c>
      <c r="BB71" s="17">
        <v>0</v>
      </c>
      <c r="BC71" s="105">
        <v>1</v>
      </c>
      <c r="BD71" s="15">
        <v>0</v>
      </c>
      <c r="BE71" s="17">
        <v>0</v>
      </c>
      <c r="BF71" s="105">
        <v>99</v>
      </c>
      <c r="BG71" s="128">
        <v>1</v>
      </c>
      <c r="BH71" s="17">
        <v>0</v>
      </c>
      <c r="BI71" s="105">
        <v>1</v>
      </c>
      <c r="BJ71" s="15">
        <v>0</v>
      </c>
      <c r="BK71" s="17">
        <v>0</v>
      </c>
      <c r="BL71" s="105">
        <v>13</v>
      </c>
      <c r="BM71" s="15">
        <v>0</v>
      </c>
      <c r="BN71" s="17">
        <v>0</v>
      </c>
      <c r="BO71" s="105">
        <v>2</v>
      </c>
      <c r="BP71" s="15">
        <v>0</v>
      </c>
      <c r="BQ71" s="17">
        <v>0</v>
      </c>
      <c r="BR71" s="105">
        <v>43</v>
      </c>
      <c r="BS71" s="128">
        <v>1</v>
      </c>
      <c r="BT71" s="17">
        <v>0</v>
      </c>
      <c r="BU71" s="105">
        <v>103</v>
      </c>
      <c r="BV71" s="15">
        <v>0</v>
      </c>
      <c r="BW71" s="17">
        <v>0</v>
      </c>
      <c r="BX71" s="105">
        <v>15113</v>
      </c>
      <c r="BY71" s="139">
        <v>1016</v>
      </c>
      <c r="BZ71" s="150">
        <v>1045</v>
      </c>
      <c r="CA71" s="105">
        <v>1</v>
      </c>
      <c r="CB71" s="15">
        <v>0</v>
      </c>
      <c r="CC71" s="17">
        <v>0</v>
      </c>
      <c r="CD71" s="15">
        <v>0</v>
      </c>
      <c r="CE71" s="15">
        <v>0</v>
      </c>
      <c r="CF71" s="17">
        <v>0</v>
      </c>
      <c r="CG71" s="105">
        <v>10</v>
      </c>
      <c r="CH71" s="15">
        <v>0</v>
      </c>
      <c r="CI71" s="138">
        <v>1</v>
      </c>
      <c r="CJ71" s="105">
        <v>1</v>
      </c>
      <c r="CK71" s="15">
        <v>0</v>
      </c>
      <c r="CL71" s="17">
        <v>0</v>
      </c>
      <c r="CM71" s="105">
        <v>3</v>
      </c>
      <c r="CN71" s="15">
        <v>0</v>
      </c>
      <c r="CO71" s="17">
        <v>0</v>
      </c>
      <c r="CP71" s="105">
        <v>19</v>
      </c>
      <c r="CQ71" s="15">
        <v>0</v>
      </c>
      <c r="CR71" s="17">
        <v>0</v>
      </c>
      <c r="CS71" s="105">
        <v>7</v>
      </c>
      <c r="CT71" s="15">
        <v>0</v>
      </c>
      <c r="CU71" s="17">
        <v>0</v>
      </c>
      <c r="CV71" s="105">
        <v>6</v>
      </c>
      <c r="CW71" s="15">
        <v>0</v>
      </c>
      <c r="CX71" s="17">
        <v>0</v>
      </c>
      <c r="CY71" s="105">
        <v>4</v>
      </c>
      <c r="CZ71" s="15">
        <v>0</v>
      </c>
      <c r="DA71" s="17">
        <v>0</v>
      </c>
      <c r="DB71" s="105">
        <v>2</v>
      </c>
      <c r="DC71" s="15">
        <v>0</v>
      </c>
      <c r="DD71" s="17">
        <v>0</v>
      </c>
      <c r="DE71" s="15">
        <v>0</v>
      </c>
      <c r="DF71" s="15">
        <v>0</v>
      </c>
      <c r="DG71" s="17">
        <v>0</v>
      </c>
      <c r="DH71" s="105">
        <v>702</v>
      </c>
      <c r="DI71" s="15">
        <v>0</v>
      </c>
      <c r="DJ71" s="138">
        <v>1</v>
      </c>
      <c r="DK71" s="105">
        <v>503</v>
      </c>
      <c r="DL71" s="128">
        <v>5</v>
      </c>
      <c r="DM71" s="17">
        <v>0</v>
      </c>
      <c r="DN71" s="105">
        <v>49</v>
      </c>
      <c r="DO71" s="128">
        <v>1</v>
      </c>
      <c r="DP71" s="17">
        <v>0</v>
      </c>
      <c r="DQ71" s="105">
        <v>78</v>
      </c>
      <c r="DR71" s="15">
        <v>0</v>
      </c>
      <c r="DS71" s="17">
        <v>0</v>
      </c>
      <c r="DT71" s="105">
        <v>94</v>
      </c>
      <c r="DU71" s="15">
        <v>0</v>
      </c>
      <c r="DV71" s="17">
        <v>0</v>
      </c>
      <c r="DW71" s="105">
        <v>593</v>
      </c>
      <c r="DX71" s="128">
        <v>8</v>
      </c>
      <c r="DY71" s="150">
        <v>19</v>
      </c>
      <c r="DZ71" s="105">
        <v>49</v>
      </c>
      <c r="EA71" s="15">
        <v>0</v>
      </c>
      <c r="EB71" s="138">
        <v>6</v>
      </c>
      <c r="EC71" s="105">
        <v>28</v>
      </c>
      <c r="ED71" s="15">
        <v>0</v>
      </c>
      <c r="EE71" s="150">
        <v>3</v>
      </c>
      <c r="EF71" s="105">
        <v>69</v>
      </c>
      <c r="EG71" s="128">
        <v>3</v>
      </c>
      <c r="EH71" s="17">
        <v>0</v>
      </c>
      <c r="EI71" s="87">
        <v>19</v>
      </c>
      <c r="EJ71" s="15">
        <v>0</v>
      </c>
      <c r="EK71" s="17">
        <v>0</v>
      </c>
      <c r="EL71" s="87">
        <v>16</v>
      </c>
      <c r="EM71" s="15">
        <v>0</v>
      </c>
      <c r="EN71" s="17">
        <v>0</v>
      </c>
      <c r="EO71" s="87">
        <v>89</v>
      </c>
      <c r="EP71" s="15">
        <v>0</v>
      </c>
      <c r="EQ71" s="17">
        <v>0</v>
      </c>
      <c r="ER71" s="105">
        <v>599</v>
      </c>
      <c r="ES71" s="128">
        <v>1</v>
      </c>
      <c r="ET71" s="138">
        <v>1</v>
      </c>
      <c r="EU71" s="87">
        <f>SuisseSwitzerland!B71</f>
        <v>1073</v>
      </c>
      <c r="EV71" s="128">
        <f>SuisseSwitzerland!C71</f>
        <v>9</v>
      </c>
      <c r="EW71" s="138">
        <f>SuisseSwitzerland!D71</f>
        <v>12</v>
      </c>
      <c r="EX71" s="105">
        <v>1</v>
      </c>
      <c r="EY71" s="15">
        <v>0</v>
      </c>
      <c r="EZ71" s="17">
        <v>0</v>
      </c>
      <c r="FA71" s="105">
        <v>1</v>
      </c>
      <c r="FB71" s="15">
        <v>0</v>
      </c>
      <c r="FC71" s="17">
        <v>0</v>
      </c>
      <c r="FD71" s="55" t="s">
        <v>372</v>
      </c>
      <c r="FE71" s="127" t="s">
        <v>373</v>
      </c>
    </row>
    <row r="72" spans="1:161" ht="12.75">
      <c r="A72" s="93">
        <v>43903</v>
      </c>
      <c r="B72" s="14">
        <f t="shared" ref="B72:D72" si="134">SUM(J72,M72,P72,S72,V72,Y72,AB72,AE72,AH72,AK72,AN72,AQ72,AT72,AW72,AZ72,BC72,BF72,BL72,CA72,BO72,BR72,BU72,BX72,CG72,CJ72,CM72,CP72,CS72,CV72,DH72,CY72,DB72,DK72,DN72,DQ72,DT72,DW72,DZ72,EC72,EF72,EI72,EL72,EO72,ER72,EU72,EX72,FA72)</f>
        <v>36226</v>
      </c>
      <c r="C72" s="34">
        <f t="shared" si="134"/>
        <v>1521</v>
      </c>
      <c r="D72" s="73">
        <f t="shared" si="134"/>
        <v>1732</v>
      </c>
      <c r="E72" s="176">
        <f t="shared" si="1"/>
        <v>32973</v>
      </c>
      <c r="F72" s="152">
        <f t="shared" ref="F72:H72" si="135">SUM(P72,S72,V72,AE72,AH72,AK72,AN72,AQ72,AT72,AW72,AZ72,BF72,BL72,BR72,BX72,CG72,CM72,CP72,CV72,DK72,DN72,DQ72,DT72,DZ72,EL72,EO72,ER72)</f>
        <v>33171</v>
      </c>
      <c r="G72" s="148">
        <f t="shared" si="135"/>
        <v>1494</v>
      </c>
      <c r="H72" s="149">
        <f t="shared" si="135"/>
        <v>1694</v>
      </c>
      <c r="I72" s="153">
        <f t="shared" si="3"/>
        <v>29983</v>
      </c>
      <c r="J72" s="105">
        <v>1</v>
      </c>
      <c r="K72" s="15">
        <v>0</v>
      </c>
      <c r="L72" s="17">
        <v>0</v>
      </c>
      <c r="M72" s="105">
        <v>23</v>
      </c>
      <c r="N72" s="128">
        <v>1</v>
      </c>
      <c r="O72" s="17">
        <v>0</v>
      </c>
      <c r="P72" s="105">
        <v>3156</v>
      </c>
      <c r="Q72" s="139">
        <v>7</v>
      </c>
      <c r="R72" s="150">
        <v>46</v>
      </c>
      <c r="S72" s="105">
        <v>302</v>
      </c>
      <c r="T72" s="128">
        <v>1</v>
      </c>
      <c r="U72" s="138">
        <v>4</v>
      </c>
      <c r="V72" s="105">
        <v>559</v>
      </c>
      <c r="W72" s="128">
        <v>3</v>
      </c>
      <c r="X72" s="150">
        <v>1</v>
      </c>
      <c r="Y72" s="105">
        <v>27</v>
      </c>
      <c r="Z72" s="15">
        <v>0</v>
      </c>
      <c r="AA72" s="138">
        <v>3</v>
      </c>
      <c r="AB72" s="105">
        <v>13</v>
      </c>
      <c r="AC72" s="15">
        <v>0</v>
      </c>
      <c r="AD72" s="17">
        <v>0</v>
      </c>
      <c r="AE72" s="105">
        <v>23</v>
      </c>
      <c r="AF72" s="128">
        <v>1</v>
      </c>
      <c r="AG72" s="17">
        <v>0</v>
      </c>
      <c r="AH72" s="105">
        <v>19</v>
      </c>
      <c r="AI72" s="15">
        <v>0</v>
      </c>
      <c r="AJ72" s="17">
        <v>0</v>
      </c>
      <c r="AK72" s="105">
        <v>31</v>
      </c>
      <c r="AL72" s="15">
        <v>0</v>
      </c>
      <c r="AM72" s="17">
        <v>0</v>
      </c>
      <c r="AN72" s="105">
        <v>788</v>
      </c>
      <c r="AO72" s="15">
        <v>0</v>
      </c>
      <c r="AP72" s="138">
        <v>1</v>
      </c>
      <c r="AQ72" s="105">
        <v>4334</v>
      </c>
      <c r="AR72" s="128">
        <v>122</v>
      </c>
      <c r="AS72" s="150">
        <v>193</v>
      </c>
      <c r="AT72" s="105">
        <v>41</v>
      </c>
      <c r="AU72" s="15">
        <v>0</v>
      </c>
      <c r="AV72" s="17">
        <v>0</v>
      </c>
      <c r="AW72" s="105">
        <v>155</v>
      </c>
      <c r="AX72" s="15">
        <v>0</v>
      </c>
      <c r="AY72" s="150">
        <v>1</v>
      </c>
      <c r="AZ72" s="105">
        <v>3661</v>
      </c>
      <c r="BA72" s="139">
        <v>79</v>
      </c>
      <c r="BB72" s="17">
        <v>0</v>
      </c>
      <c r="BC72" s="105">
        <v>1</v>
      </c>
      <c r="BD72" s="15">
        <v>0</v>
      </c>
      <c r="BE72" s="17">
        <v>0</v>
      </c>
      <c r="BF72" s="105">
        <v>190</v>
      </c>
      <c r="BG72" s="128">
        <v>1</v>
      </c>
      <c r="BH72" s="17">
        <v>0</v>
      </c>
      <c r="BI72" s="105">
        <v>1</v>
      </c>
      <c r="BJ72" s="15">
        <v>0</v>
      </c>
      <c r="BK72" s="17">
        <v>0</v>
      </c>
      <c r="BL72" s="105">
        <v>19</v>
      </c>
      <c r="BM72" s="15">
        <v>0</v>
      </c>
      <c r="BN72" s="138">
        <v>1</v>
      </c>
      <c r="BO72" s="105">
        <v>3</v>
      </c>
      <c r="BP72" s="15">
        <v>0</v>
      </c>
      <c r="BQ72" s="17">
        <v>0</v>
      </c>
      <c r="BR72" s="105">
        <v>70</v>
      </c>
      <c r="BS72" s="128">
        <v>1</v>
      </c>
      <c r="BT72" s="17">
        <v>0</v>
      </c>
      <c r="BU72" s="105">
        <v>103</v>
      </c>
      <c r="BV72" s="15">
        <v>0</v>
      </c>
      <c r="BW72" s="17">
        <v>0</v>
      </c>
      <c r="BX72" s="105">
        <v>17660</v>
      </c>
      <c r="BY72" s="139">
        <v>1266</v>
      </c>
      <c r="BZ72" s="150">
        <v>1439</v>
      </c>
      <c r="CA72" s="105">
        <v>2</v>
      </c>
      <c r="CB72" s="15">
        <v>0</v>
      </c>
      <c r="CC72" s="17">
        <v>0</v>
      </c>
      <c r="CD72" s="105">
        <v>2</v>
      </c>
      <c r="CE72" s="15">
        <v>0</v>
      </c>
      <c r="CF72" s="17">
        <v>0</v>
      </c>
      <c r="CG72" s="105">
        <v>17</v>
      </c>
      <c r="CH72" s="15">
        <v>0</v>
      </c>
      <c r="CI72" s="138">
        <v>1</v>
      </c>
      <c r="CJ72" s="105">
        <v>1</v>
      </c>
      <c r="CK72" s="15">
        <v>0</v>
      </c>
      <c r="CL72" s="17">
        <v>0</v>
      </c>
      <c r="CM72" s="105">
        <v>6</v>
      </c>
      <c r="CN72" s="15">
        <v>0</v>
      </c>
      <c r="CO72" s="17">
        <v>0</v>
      </c>
      <c r="CP72" s="105">
        <v>34</v>
      </c>
      <c r="CQ72" s="128">
        <v>1</v>
      </c>
      <c r="CR72" s="17">
        <v>0</v>
      </c>
      <c r="CS72" s="105">
        <v>7</v>
      </c>
      <c r="CT72" s="15">
        <v>0</v>
      </c>
      <c r="CU72" s="17">
        <v>0</v>
      </c>
      <c r="CV72" s="105">
        <v>12</v>
      </c>
      <c r="CW72" s="15">
        <v>0</v>
      </c>
      <c r="CX72" s="17">
        <v>0</v>
      </c>
      <c r="CY72" s="105">
        <v>8</v>
      </c>
      <c r="CZ72" s="15">
        <v>0</v>
      </c>
      <c r="DA72" s="17">
        <v>0</v>
      </c>
      <c r="DB72" s="105">
        <v>3</v>
      </c>
      <c r="DC72" s="15">
        <v>0</v>
      </c>
      <c r="DD72" s="17">
        <v>0</v>
      </c>
      <c r="DE72" s="15">
        <v>0</v>
      </c>
      <c r="DF72" s="15">
        <v>0</v>
      </c>
      <c r="DG72" s="17">
        <v>0</v>
      </c>
      <c r="DH72" s="105">
        <v>996</v>
      </c>
      <c r="DI72" s="128">
        <v>1</v>
      </c>
      <c r="DJ72" s="138">
        <v>1</v>
      </c>
      <c r="DK72" s="105">
        <v>804</v>
      </c>
      <c r="DL72" s="128">
        <v>10</v>
      </c>
      <c r="DM72" s="17">
        <v>0</v>
      </c>
      <c r="DN72" s="105">
        <v>58</v>
      </c>
      <c r="DO72" s="128">
        <v>1</v>
      </c>
      <c r="DP72" s="17">
        <v>0</v>
      </c>
      <c r="DQ72" s="105">
        <v>112</v>
      </c>
      <c r="DR72" s="15">
        <v>0</v>
      </c>
      <c r="DS72" s="17">
        <v>0</v>
      </c>
      <c r="DT72" s="105">
        <v>117</v>
      </c>
      <c r="DU72" s="15">
        <v>0</v>
      </c>
      <c r="DV72" s="17">
        <v>0</v>
      </c>
      <c r="DW72" s="105">
        <v>593</v>
      </c>
      <c r="DX72" s="128">
        <v>8</v>
      </c>
      <c r="DY72" s="150">
        <v>19</v>
      </c>
      <c r="DZ72" s="105">
        <v>70</v>
      </c>
      <c r="EA72" s="15">
        <v>0</v>
      </c>
      <c r="EB72" s="138">
        <v>6</v>
      </c>
      <c r="EC72" s="105">
        <v>45</v>
      </c>
      <c r="ED72" s="15">
        <v>0</v>
      </c>
      <c r="EE72" s="150">
        <v>3</v>
      </c>
      <c r="EF72" s="105">
        <v>69</v>
      </c>
      <c r="EG72" s="128">
        <v>5</v>
      </c>
      <c r="EH72" s="17">
        <v>0</v>
      </c>
      <c r="EI72" s="87">
        <v>31</v>
      </c>
      <c r="EJ72" s="15">
        <v>0</v>
      </c>
      <c r="EK72" s="17">
        <v>0</v>
      </c>
      <c r="EL72" s="87">
        <v>30</v>
      </c>
      <c r="EM72" s="15">
        <v>0</v>
      </c>
      <c r="EN72" s="17">
        <v>0</v>
      </c>
      <c r="EO72" s="87">
        <v>89</v>
      </c>
      <c r="EP72" s="15">
        <v>0</v>
      </c>
      <c r="EQ72" s="17">
        <v>0</v>
      </c>
      <c r="ER72" s="105">
        <v>814</v>
      </c>
      <c r="ES72" s="128">
        <v>1</v>
      </c>
      <c r="ET72" s="138">
        <v>1</v>
      </c>
      <c r="EU72" s="87">
        <f>SuisseSwitzerland!B72</f>
        <v>1125</v>
      </c>
      <c r="EV72" s="128">
        <f>SuisseSwitzerland!C72</f>
        <v>11</v>
      </c>
      <c r="EW72" s="138">
        <f>SuisseSwitzerland!D72</f>
        <v>12</v>
      </c>
      <c r="EX72" s="105">
        <v>3</v>
      </c>
      <c r="EY72" s="128">
        <v>1</v>
      </c>
      <c r="EZ72" s="17">
        <v>0</v>
      </c>
      <c r="FA72" s="105">
        <v>1</v>
      </c>
      <c r="FB72" s="15">
        <v>0</v>
      </c>
      <c r="FC72" s="17">
        <v>0</v>
      </c>
      <c r="FD72" s="55" t="s">
        <v>376</v>
      </c>
      <c r="FE72" s="77" t="s">
        <v>377</v>
      </c>
    </row>
    <row r="73" spans="1:161" ht="12.75">
      <c r="A73" s="93">
        <v>43904</v>
      </c>
      <c r="B73" s="14">
        <f>SUM(J73,M73,P73,S73,V73,Y73,AB73,AE73,AH73,AK73,AN73,AQ73,AT73,AW73,AZ73,BC73,BF73,BI73,BL73,CA73,BO73,BR73,BU73,BX73,CG73,CJ73,CM73,CP73,CS73,CV73,DH73,CY73,DB73,DK73,DN73,DQ73,DT73,DW73,DZ73,EC73,EF73,EI73,EL73,EO73,ER73,EU73,EX73,FA73)</f>
        <v>46718</v>
      </c>
      <c r="C73" s="34">
        <f t="shared" ref="C73:D73" si="136">SUM(K73,N73,Q73,T73,W73,Z73,AC73,AF73,AI73,AL73,AO73,AR73,AU73,AX73,BA73,BD73,BG73,BM73,CB73,BP73,BS73,BV73,BY73,CH73,CK73,CN73,CQ73,CT73,CW73,DI73,CZ73,DC73,DL73,DO73,DR73,DU73,DX73,EA73,ED73,EG73,EJ73,EM73,EP73,ES73,EV73,EY73,FB73)</f>
        <v>1810</v>
      </c>
      <c r="D73" s="73">
        <f t="shared" si="136"/>
        <v>2597</v>
      </c>
      <c r="E73" s="176">
        <f t="shared" si="1"/>
        <v>42311</v>
      </c>
      <c r="F73" s="152">
        <f t="shared" ref="F73:H73" si="137">SUM(P73,S73,V73,AE73,AH73,AK73,AN73,AQ73,AT73,AW73,AZ73,BF73,BL73,BR73,BX73,CG73,CM73,CP73,CV73,DK73,DN73,DQ73,DT73,DZ73,EL73,EO73,ER73)</f>
        <v>42304</v>
      </c>
      <c r="G73" s="148">
        <f t="shared" si="137"/>
        <v>1765</v>
      </c>
      <c r="H73" s="149">
        <f t="shared" si="137"/>
        <v>2554</v>
      </c>
      <c r="I73" s="153">
        <f t="shared" si="3"/>
        <v>37985</v>
      </c>
      <c r="J73" s="105">
        <v>1</v>
      </c>
      <c r="K73" s="15">
        <v>0</v>
      </c>
      <c r="L73" s="17">
        <v>0</v>
      </c>
      <c r="M73" s="105">
        <v>38</v>
      </c>
      <c r="N73" s="128">
        <v>1</v>
      </c>
      <c r="O73" s="17">
        <v>0</v>
      </c>
      <c r="P73" s="105">
        <v>4585</v>
      </c>
      <c r="Q73" s="139">
        <v>8</v>
      </c>
      <c r="R73" s="150">
        <v>46</v>
      </c>
      <c r="S73" s="105">
        <v>655</v>
      </c>
      <c r="T73" s="128">
        <v>1</v>
      </c>
      <c r="U73" s="138">
        <v>6</v>
      </c>
      <c r="V73" s="105">
        <v>689</v>
      </c>
      <c r="W73" s="128">
        <v>4</v>
      </c>
      <c r="X73" s="150">
        <v>1</v>
      </c>
      <c r="Y73" s="105">
        <v>27</v>
      </c>
      <c r="Z73" s="15">
        <v>0</v>
      </c>
      <c r="AA73" s="138">
        <v>3</v>
      </c>
      <c r="AB73" s="105">
        <v>18</v>
      </c>
      <c r="AC73" s="15">
        <v>0</v>
      </c>
      <c r="AD73" s="17">
        <v>0</v>
      </c>
      <c r="AE73" s="105">
        <v>41</v>
      </c>
      <c r="AF73" s="128">
        <v>2</v>
      </c>
      <c r="AG73" s="17">
        <v>0</v>
      </c>
      <c r="AH73" s="105">
        <v>21</v>
      </c>
      <c r="AI73" s="15">
        <v>0</v>
      </c>
      <c r="AJ73" s="17">
        <v>0</v>
      </c>
      <c r="AK73" s="105">
        <v>38</v>
      </c>
      <c r="AL73" s="15">
        <v>0</v>
      </c>
      <c r="AM73" s="17">
        <v>0</v>
      </c>
      <c r="AN73" s="105">
        <v>836</v>
      </c>
      <c r="AO73" s="128">
        <v>1</v>
      </c>
      <c r="AP73" s="138">
        <v>1</v>
      </c>
      <c r="AQ73" s="105">
        <v>6315</v>
      </c>
      <c r="AR73" s="128">
        <v>195</v>
      </c>
      <c r="AS73" s="150">
        <v>517</v>
      </c>
      <c r="AT73" s="105">
        <v>115</v>
      </c>
      <c r="AU73" s="15">
        <v>0</v>
      </c>
      <c r="AV73" s="17">
        <v>0</v>
      </c>
      <c r="AW73" s="105">
        <v>155</v>
      </c>
      <c r="AX73" s="15">
        <v>0</v>
      </c>
      <c r="AY73" s="150">
        <v>1</v>
      </c>
      <c r="AZ73" s="105">
        <v>4500</v>
      </c>
      <c r="BA73" s="139">
        <v>91</v>
      </c>
      <c r="BB73" s="17">
        <v>0</v>
      </c>
      <c r="BC73" s="105">
        <v>1</v>
      </c>
      <c r="BD73" s="15">
        <v>0</v>
      </c>
      <c r="BE73" s="17">
        <v>0</v>
      </c>
      <c r="BF73" s="105">
        <v>228</v>
      </c>
      <c r="BG73" s="128">
        <v>3</v>
      </c>
      <c r="BH73" s="17">
        <v>0</v>
      </c>
      <c r="BI73" s="105">
        <v>1</v>
      </c>
      <c r="BJ73" s="15">
        <v>0</v>
      </c>
      <c r="BK73" s="17">
        <v>0</v>
      </c>
      <c r="BL73" s="105">
        <v>25</v>
      </c>
      <c r="BM73" s="15">
        <v>0</v>
      </c>
      <c r="BN73" s="138">
        <v>1</v>
      </c>
      <c r="BO73" s="105">
        <v>9</v>
      </c>
      <c r="BP73" s="15">
        <v>0</v>
      </c>
      <c r="BQ73" s="17">
        <v>0</v>
      </c>
      <c r="BR73" s="105">
        <v>129</v>
      </c>
      <c r="BS73" s="128">
        <v>2</v>
      </c>
      <c r="BT73" s="17">
        <v>0</v>
      </c>
      <c r="BU73" s="105">
        <v>156</v>
      </c>
      <c r="BV73" s="15">
        <v>0</v>
      </c>
      <c r="BW73" s="17">
        <v>0</v>
      </c>
      <c r="BX73" s="105">
        <v>21157</v>
      </c>
      <c r="BY73" s="139">
        <v>1441</v>
      </c>
      <c r="BZ73" s="150">
        <v>1966</v>
      </c>
      <c r="CA73" s="105">
        <v>2</v>
      </c>
      <c r="CB73" s="15">
        <v>0</v>
      </c>
      <c r="CC73" s="17">
        <v>0</v>
      </c>
      <c r="CD73" s="105">
        <v>5</v>
      </c>
      <c r="CE73" s="15">
        <v>0</v>
      </c>
      <c r="CF73" s="17">
        <v>0</v>
      </c>
      <c r="CG73" s="105">
        <v>26</v>
      </c>
      <c r="CH73" s="15">
        <v>0</v>
      </c>
      <c r="CI73" s="138">
        <v>1</v>
      </c>
      <c r="CJ73" s="105">
        <v>5</v>
      </c>
      <c r="CK73" s="15">
        <v>0</v>
      </c>
      <c r="CL73" s="17">
        <v>0</v>
      </c>
      <c r="CM73" s="105">
        <v>8</v>
      </c>
      <c r="CN73" s="15">
        <v>0</v>
      </c>
      <c r="CO73" s="17">
        <v>0</v>
      </c>
      <c r="CP73" s="105">
        <v>51</v>
      </c>
      <c r="CQ73" s="128">
        <v>1</v>
      </c>
      <c r="CR73" s="17">
        <v>0</v>
      </c>
      <c r="CS73" s="105">
        <v>14</v>
      </c>
      <c r="CT73" s="15">
        <v>0</v>
      </c>
      <c r="CU73" s="138">
        <v>1</v>
      </c>
      <c r="CV73" s="105">
        <v>18</v>
      </c>
      <c r="CW73" s="15">
        <v>0</v>
      </c>
      <c r="CX73" s="17">
        <v>0</v>
      </c>
      <c r="CY73" s="105">
        <v>12</v>
      </c>
      <c r="CZ73" s="15">
        <v>0</v>
      </c>
      <c r="DA73" s="17">
        <v>0</v>
      </c>
      <c r="DB73" s="105">
        <v>3</v>
      </c>
      <c r="DC73" s="15">
        <v>0</v>
      </c>
      <c r="DD73" s="17">
        <v>0</v>
      </c>
      <c r="DE73" s="15">
        <v>0</v>
      </c>
      <c r="DF73" s="15">
        <v>0</v>
      </c>
      <c r="DG73" s="17">
        <v>0</v>
      </c>
      <c r="DH73" s="105">
        <v>1090</v>
      </c>
      <c r="DI73" s="128">
        <v>3</v>
      </c>
      <c r="DJ73" s="138">
        <v>1</v>
      </c>
      <c r="DK73" s="105">
        <v>959</v>
      </c>
      <c r="DL73" s="128">
        <v>12</v>
      </c>
      <c r="DM73" s="138">
        <v>2</v>
      </c>
      <c r="DN73" s="105">
        <v>93</v>
      </c>
      <c r="DO73" s="128">
        <v>2</v>
      </c>
      <c r="DP73" s="17">
        <v>0</v>
      </c>
      <c r="DQ73" s="105">
        <v>169</v>
      </c>
      <c r="DR73" s="15">
        <v>0</v>
      </c>
      <c r="DS73" s="138">
        <v>2</v>
      </c>
      <c r="DT73" s="105">
        <v>189</v>
      </c>
      <c r="DU73" s="15">
        <v>0</v>
      </c>
      <c r="DV73" s="17">
        <v>0</v>
      </c>
      <c r="DW73" s="105">
        <v>1143</v>
      </c>
      <c r="DX73" s="128">
        <v>21</v>
      </c>
      <c r="DY73" s="150">
        <v>19</v>
      </c>
      <c r="DZ73" s="105">
        <v>116</v>
      </c>
      <c r="EA73" s="15">
        <v>0</v>
      </c>
      <c r="EB73" s="138">
        <v>9</v>
      </c>
      <c r="EC73" s="105">
        <v>59</v>
      </c>
      <c r="ED73" s="15">
        <v>0</v>
      </c>
      <c r="EE73" s="150">
        <v>3</v>
      </c>
      <c r="EF73" s="105">
        <v>80</v>
      </c>
      <c r="EG73" s="128">
        <v>5</v>
      </c>
      <c r="EH73" s="138">
        <v>2</v>
      </c>
      <c r="EI73" s="87">
        <v>41</v>
      </c>
      <c r="EJ73" s="15">
        <v>0</v>
      </c>
      <c r="EK73" s="17">
        <v>0</v>
      </c>
      <c r="EL73" s="87">
        <v>44</v>
      </c>
      <c r="EM73" s="15">
        <v>0</v>
      </c>
      <c r="EN73" s="17">
        <v>0</v>
      </c>
      <c r="EO73" s="87">
        <v>181</v>
      </c>
      <c r="EP73" s="15">
        <v>0</v>
      </c>
      <c r="EQ73" s="17">
        <v>0</v>
      </c>
      <c r="ER73" s="105">
        <v>961</v>
      </c>
      <c r="ES73" s="128">
        <v>2</v>
      </c>
      <c r="ET73" s="138">
        <v>1</v>
      </c>
      <c r="EU73" s="87">
        <f>SuisseSwitzerland!B73</f>
        <v>1710</v>
      </c>
      <c r="EV73" s="128">
        <f>SuisseSwitzerland!C73</f>
        <v>14</v>
      </c>
      <c r="EW73" s="138">
        <f>SuisseSwitzerland!D73</f>
        <v>14</v>
      </c>
      <c r="EX73" s="105">
        <v>3</v>
      </c>
      <c r="EY73" s="128">
        <v>1</v>
      </c>
      <c r="EZ73" s="17">
        <v>0</v>
      </c>
      <c r="FA73" s="105">
        <v>1</v>
      </c>
      <c r="FB73" s="15">
        <v>0</v>
      </c>
      <c r="FC73" s="17">
        <v>0</v>
      </c>
      <c r="FD73" s="55" t="s">
        <v>380</v>
      </c>
      <c r="FE73" s="77" t="s">
        <v>381</v>
      </c>
    </row>
    <row r="74" spans="1:161" ht="12.75">
      <c r="A74" s="93">
        <v>43905</v>
      </c>
      <c r="B74" s="14">
        <f t="shared" ref="B74:D74" si="138">SUM(J74,M74,P74,S74,V74,Y74,AB74,AE74,AH74,AK74,AN74,AQ74,AT74,AW74,AZ74,BC74,BF74,BI74,BL74,CA74,CD74,BO74,BR74,BU74,BX74,CG74,CJ74,CM74,CP74,CS74,CV74,DH74,CY74,DB74,DK74,DN74,DQ74,DT74,DW74,DZ74,EC74,EF74,EI74,EL74,EO74,ER74,EU74,EX74,FA74)</f>
        <v>55507</v>
      </c>
      <c r="C74" s="34">
        <f t="shared" si="138"/>
        <v>2344</v>
      </c>
      <c r="D74" s="73">
        <f t="shared" si="138"/>
        <v>2999</v>
      </c>
      <c r="E74" s="176">
        <f t="shared" si="1"/>
        <v>50164</v>
      </c>
      <c r="F74" s="152">
        <f t="shared" ref="F74:H74" si="139">SUM(P74,S74,V74,AE74,AH74,AK74,AN74,AQ74,AT74,AW74,AZ74,BF74,BL74,BR74,BX74,CG74,CM74,CP74,CV74,DK74,DN74,DQ74,DT74,DZ74,EL74,EO74,ER74)</f>
        <v>50130</v>
      </c>
      <c r="G74" s="148">
        <f t="shared" si="139"/>
        <v>2280</v>
      </c>
      <c r="H74" s="149">
        <f t="shared" si="139"/>
        <v>2944</v>
      </c>
      <c r="I74" s="153">
        <f t="shared" si="3"/>
        <v>44906</v>
      </c>
      <c r="J74" s="105">
        <v>1</v>
      </c>
      <c r="K74" s="15">
        <v>0</v>
      </c>
      <c r="L74" s="17">
        <v>0</v>
      </c>
      <c r="M74" s="105">
        <v>42</v>
      </c>
      <c r="N74" s="128">
        <v>1</v>
      </c>
      <c r="O74" s="17">
        <v>0</v>
      </c>
      <c r="P74" s="105">
        <v>5426</v>
      </c>
      <c r="Q74" s="139">
        <v>11</v>
      </c>
      <c r="R74" s="150">
        <v>46</v>
      </c>
      <c r="S74" s="105">
        <v>800</v>
      </c>
      <c r="T74" s="128">
        <v>1</v>
      </c>
      <c r="U74" s="138">
        <v>6</v>
      </c>
      <c r="V74" s="105">
        <v>886</v>
      </c>
      <c r="W74" s="128">
        <v>4</v>
      </c>
      <c r="X74" s="150">
        <v>1</v>
      </c>
      <c r="Y74" s="105">
        <v>27</v>
      </c>
      <c r="Z74" s="15">
        <v>0</v>
      </c>
      <c r="AA74" s="138">
        <v>3</v>
      </c>
      <c r="AB74" s="105">
        <v>21</v>
      </c>
      <c r="AC74" s="15">
        <v>0</v>
      </c>
      <c r="AD74" s="17">
        <v>0</v>
      </c>
      <c r="AE74" s="105">
        <v>43</v>
      </c>
      <c r="AF74" s="128">
        <v>2</v>
      </c>
      <c r="AG74" s="17">
        <v>0</v>
      </c>
      <c r="AH74" s="105">
        <v>26</v>
      </c>
      <c r="AI74" s="15">
        <v>0</v>
      </c>
      <c r="AJ74" s="17">
        <v>0</v>
      </c>
      <c r="AK74" s="105">
        <v>49</v>
      </c>
      <c r="AL74" s="15">
        <v>0</v>
      </c>
      <c r="AM74" s="138">
        <v>2</v>
      </c>
      <c r="AN74" s="105">
        <v>875</v>
      </c>
      <c r="AO74" s="128">
        <v>2</v>
      </c>
      <c r="AP74" s="138">
        <v>1</v>
      </c>
      <c r="AQ74" s="105">
        <v>7798</v>
      </c>
      <c r="AR74" s="128">
        <v>289</v>
      </c>
      <c r="AS74" s="150">
        <v>517</v>
      </c>
      <c r="AT74" s="105">
        <v>135</v>
      </c>
      <c r="AU74" s="15">
        <v>0</v>
      </c>
      <c r="AV74" s="17">
        <v>0</v>
      </c>
      <c r="AW74" s="105">
        <v>244</v>
      </c>
      <c r="AX74" s="15">
        <v>0</v>
      </c>
      <c r="AY74" s="150">
        <v>10</v>
      </c>
      <c r="AZ74" s="105">
        <v>5423</v>
      </c>
      <c r="BA74" s="139">
        <v>127</v>
      </c>
      <c r="BB74" s="17">
        <v>0</v>
      </c>
      <c r="BC74" s="105">
        <v>1</v>
      </c>
      <c r="BD74" s="15">
        <v>0</v>
      </c>
      <c r="BE74" s="17">
        <v>0</v>
      </c>
      <c r="BF74" s="105">
        <v>228</v>
      </c>
      <c r="BG74" s="128">
        <v>4</v>
      </c>
      <c r="BH74" s="138">
        <v>8</v>
      </c>
      <c r="BI74" s="105">
        <v>1</v>
      </c>
      <c r="BJ74" s="15">
        <v>0</v>
      </c>
      <c r="BK74" s="17">
        <v>0</v>
      </c>
      <c r="BL74" s="105">
        <v>32</v>
      </c>
      <c r="BM74" s="128">
        <v>1</v>
      </c>
      <c r="BN74" s="138">
        <v>1</v>
      </c>
      <c r="BO74" s="105">
        <v>11</v>
      </c>
      <c r="BP74" s="15">
        <v>0</v>
      </c>
      <c r="BQ74" s="17">
        <v>0</v>
      </c>
      <c r="BR74" s="105">
        <v>129</v>
      </c>
      <c r="BS74" s="128">
        <v>2</v>
      </c>
      <c r="BT74" s="17">
        <v>0</v>
      </c>
      <c r="BU74" s="105">
        <v>161</v>
      </c>
      <c r="BV74" s="15">
        <v>0</v>
      </c>
      <c r="BW74" s="17">
        <v>0</v>
      </c>
      <c r="BX74" s="105">
        <v>24747</v>
      </c>
      <c r="BY74" s="139">
        <v>1809</v>
      </c>
      <c r="BZ74" s="150">
        <v>2335</v>
      </c>
      <c r="CA74" s="105">
        <v>2</v>
      </c>
      <c r="CB74" s="15">
        <v>0</v>
      </c>
      <c r="CC74" s="17">
        <v>0</v>
      </c>
      <c r="CD74" s="105">
        <v>5</v>
      </c>
      <c r="CE74" s="15">
        <v>0</v>
      </c>
      <c r="CF74" s="17">
        <v>0</v>
      </c>
      <c r="CG74" s="105">
        <v>30</v>
      </c>
      <c r="CH74" s="15">
        <v>0</v>
      </c>
      <c r="CI74" s="138">
        <v>1</v>
      </c>
      <c r="CJ74" s="105">
        <v>5</v>
      </c>
      <c r="CK74" s="15">
        <v>0</v>
      </c>
      <c r="CL74" s="17">
        <v>0</v>
      </c>
      <c r="CM74" s="105">
        <v>12</v>
      </c>
      <c r="CN74" s="15">
        <v>0</v>
      </c>
      <c r="CO74" s="138">
        <v>1</v>
      </c>
      <c r="CP74" s="105">
        <v>59</v>
      </c>
      <c r="CQ74" s="128">
        <v>1</v>
      </c>
      <c r="CR74" s="17">
        <v>0</v>
      </c>
      <c r="CS74" s="105">
        <v>14</v>
      </c>
      <c r="CT74" s="15">
        <v>0</v>
      </c>
      <c r="CU74" s="138">
        <v>1</v>
      </c>
      <c r="CV74" s="105">
        <v>21</v>
      </c>
      <c r="CW74" s="15">
        <v>0</v>
      </c>
      <c r="CX74" s="138">
        <v>1</v>
      </c>
      <c r="CY74" s="105">
        <v>23</v>
      </c>
      <c r="CZ74" s="15">
        <v>0</v>
      </c>
      <c r="DA74" s="17">
        <v>0</v>
      </c>
      <c r="DB74" s="105">
        <v>7</v>
      </c>
      <c r="DC74" s="15">
        <v>0</v>
      </c>
      <c r="DD74" s="17">
        <v>0</v>
      </c>
      <c r="DE74" s="15">
        <v>0</v>
      </c>
      <c r="DF74" s="15">
        <v>0</v>
      </c>
      <c r="DG74" s="17">
        <v>0</v>
      </c>
      <c r="DH74" s="105">
        <v>1256</v>
      </c>
      <c r="DI74" s="128">
        <v>3</v>
      </c>
      <c r="DJ74" s="138">
        <v>1</v>
      </c>
      <c r="DK74" s="105">
        <v>1136</v>
      </c>
      <c r="DL74" s="128">
        <v>20</v>
      </c>
      <c r="DM74" s="138">
        <v>2</v>
      </c>
      <c r="DN74" s="105">
        <v>119</v>
      </c>
      <c r="DO74" s="128">
        <v>3</v>
      </c>
      <c r="DP74" s="17">
        <v>0</v>
      </c>
      <c r="DQ74" s="105">
        <v>245</v>
      </c>
      <c r="DR74" s="15">
        <v>0</v>
      </c>
      <c r="DS74" s="138">
        <v>2</v>
      </c>
      <c r="DT74" s="105">
        <v>231</v>
      </c>
      <c r="DU74" s="15">
        <v>0</v>
      </c>
      <c r="DV74" s="17">
        <v>0</v>
      </c>
      <c r="DW74" s="105">
        <v>1395</v>
      </c>
      <c r="DX74" s="128">
        <v>35</v>
      </c>
      <c r="DY74" s="150">
        <v>21</v>
      </c>
      <c r="DZ74" s="105">
        <v>131</v>
      </c>
      <c r="EA74" s="15">
        <v>0</v>
      </c>
      <c r="EB74" s="138">
        <v>9</v>
      </c>
      <c r="EC74" s="105">
        <v>63</v>
      </c>
      <c r="ED74" s="15">
        <v>0</v>
      </c>
      <c r="EE74" s="150">
        <v>8</v>
      </c>
      <c r="EF74" s="105">
        <v>92</v>
      </c>
      <c r="EG74" s="128">
        <v>5</v>
      </c>
      <c r="EH74" s="138">
        <v>4</v>
      </c>
      <c r="EI74" s="87">
        <v>46</v>
      </c>
      <c r="EJ74" s="15">
        <v>0</v>
      </c>
      <c r="EK74" s="17">
        <v>0</v>
      </c>
      <c r="EL74" s="87">
        <v>54</v>
      </c>
      <c r="EM74" s="15">
        <v>0</v>
      </c>
      <c r="EN74" s="17">
        <v>0</v>
      </c>
      <c r="EO74" s="87">
        <v>219</v>
      </c>
      <c r="EP74" s="128">
        <v>1</v>
      </c>
      <c r="EQ74" s="17">
        <v>0</v>
      </c>
      <c r="ER74" s="105">
        <v>1032</v>
      </c>
      <c r="ES74" s="128">
        <v>3</v>
      </c>
      <c r="ET74" s="138">
        <v>1</v>
      </c>
      <c r="EU74" s="87">
        <f>SuisseSwitzerland!B74</f>
        <v>2200</v>
      </c>
      <c r="EV74" s="128">
        <f>SuisseSwitzerland!C74</f>
        <v>19</v>
      </c>
      <c r="EW74" s="138">
        <f>SuisseSwitzerland!D74</f>
        <v>17</v>
      </c>
      <c r="EX74" s="105">
        <v>3</v>
      </c>
      <c r="EY74" s="128">
        <v>1</v>
      </c>
      <c r="EZ74" s="17">
        <v>0</v>
      </c>
      <c r="FA74" s="105">
        <v>1</v>
      </c>
      <c r="FB74" s="15">
        <v>0</v>
      </c>
      <c r="FC74" s="17">
        <v>0</v>
      </c>
      <c r="FD74" s="55" t="s">
        <v>386</v>
      </c>
      <c r="FE74" s="127" t="s">
        <v>387</v>
      </c>
    </row>
    <row r="75" spans="1:161" ht="12.75">
      <c r="A75" s="93">
        <v>43906</v>
      </c>
      <c r="B75" s="14">
        <f t="shared" ref="B75:D75" si="140">SUM(J75,M75,P75,S75,V75,Y75,AB75,AE75,AH75,AK75,AN75,AQ75,AT75,AW75,AZ75,BC75,BF75,BI75,BL75,CA75,CD75,BO75,BR75,BU75,BX75,CG75,CJ75,CM75,CP75,CS75,CV75,DH75,CY75,DB75,DK75,DN75,DQ75,DT75,DW75,DZ75,EC75,EF75,EI75,EL75,EO75,ER75,EU75,EX75,FA75)</f>
        <v>65721</v>
      </c>
      <c r="C75" s="34">
        <f t="shared" si="140"/>
        <v>2793</v>
      </c>
      <c r="D75" s="73">
        <f t="shared" si="140"/>
        <v>3452</v>
      </c>
      <c r="E75" s="176">
        <f t="shared" si="1"/>
        <v>59476</v>
      </c>
      <c r="F75" s="152">
        <f t="shared" ref="F75:H75" si="141">SUM(P75,S75,V75,AE75,AH75,AK75,AN75,AQ75,AT75,AW75,AZ75,BF75,BL75,BR75,BX75,CG75,CM75,CP75,CV75,DK75,DN75,DQ75,DT75,DZ75,EL75,EO75,ER75)</f>
        <v>59884</v>
      </c>
      <c r="G75" s="148">
        <f t="shared" si="141"/>
        <v>2720</v>
      </c>
      <c r="H75" s="149">
        <f t="shared" si="141"/>
        <v>3395</v>
      </c>
      <c r="I75" s="153">
        <f t="shared" si="3"/>
        <v>53769</v>
      </c>
      <c r="J75" s="105">
        <v>2</v>
      </c>
      <c r="K75" s="15">
        <v>0</v>
      </c>
      <c r="L75" s="138">
        <v>1</v>
      </c>
      <c r="M75" s="105">
        <v>42</v>
      </c>
      <c r="N75" s="128">
        <v>1</v>
      </c>
      <c r="O75" s="17">
        <v>0</v>
      </c>
      <c r="P75" s="105">
        <v>7272</v>
      </c>
      <c r="Q75" s="139">
        <v>17</v>
      </c>
      <c r="R75" s="150">
        <v>67</v>
      </c>
      <c r="S75" s="105">
        <v>1018</v>
      </c>
      <c r="T75" s="128">
        <v>3</v>
      </c>
      <c r="U75" s="138">
        <v>6</v>
      </c>
      <c r="V75" s="105">
        <v>1058</v>
      </c>
      <c r="W75" s="128">
        <v>5</v>
      </c>
      <c r="X75" s="150">
        <v>1</v>
      </c>
      <c r="Y75" s="105">
        <v>27</v>
      </c>
      <c r="Z75" s="15">
        <v>0</v>
      </c>
      <c r="AA75" s="138">
        <v>3</v>
      </c>
      <c r="AB75" s="105">
        <v>24</v>
      </c>
      <c r="AC75" s="15">
        <v>0</v>
      </c>
      <c r="AD75" s="17">
        <v>0</v>
      </c>
      <c r="AE75" s="105">
        <v>51</v>
      </c>
      <c r="AF75" s="128">
        <v>2</v>
      </c>
      <c r="AG75" s="17">
        <v>0</v>
      </c>
      <c r="AH75" s="105">
        <v>33</v>
      </c>
      <c r="AI75" s="15">
        <v>0</v>
      </c>
      <c r="AJ75" s="17">
        <v>0</v>
      </c>
      <c r="AK75" s="105">
        <v>57</v>
      </c>
      <c r="AL75" s="15">
        <v>0</v>
      </c>
      <c r="AM75" s="138">
        <v>2</v>
      </c>
      <c r="AN75" s="105">
        <v>916</v>
      </c>
      <c r="AO75" s="128">
        <v>3</v>
      </c>
      <c r="AP75" s="138">
        <v>1</v>
      </c>
      <c r="AQ75" s="105">
        <v>9942</v>
      </c>
      <c r="AR75" s="128">
        <v>342</v>
      </c>
      <c r="AS75" s="150">
        <v>530</v>
      </c>
      <c r="AT75" s="105">
        <v>205</v>
      </c>
      <c r="AU75" s="15">
        <v>0</v>
      </c>
      <c r="AV75" s="138">
        <v>1</v>
      </c>
      <c r="AW75" s="105">
        <v>277</v>
      </c>
      <c r="AX75" s="15">
        <v>0</v>
      </c>
      <c r="AY75" s="150">
        <v>10</v>
      </c>
      <c r="AZ75" s="105">
        <v>6633</v>
      </c>
      <c r="BA75" s="139">
        <v>148</v>
      </c>
      <c r="BB75" s="17">
        <v>0</v>
      </c>
      <c r="BC75" s="105">
        <v>1</v>
      </c>
      <c r="BD75" s="15">
        <v>0</v>
      </c>
      <c r="BE75" s="17">
        <v>0</v>
      </c>
      <c r="BF75" s="105">
        <v>331</v>
      </c>
      <c r="BG75" s="128">
        <v>4</v>
      </c>
      <c r="BH75" s="138">
        <v>8</v>
      </c>
      <c r="BI75" s="105">
        <v>1</v>
      </c>
      <c r="BJ75" s="15">
        <v>0</v>
      </c>
      <c r="BK75" s="17">
        <v>0</v>
      </c>
      <c r="BL75" s="105">
        <v>32</v>
      </c>
      <c r="BM75" s="128">
        <v>1</v>
      </c>
      <c r="BN75" s="138">
        <v>1</v>
      </c>
      <c r="BO75" s="105">
        <v>47</v>
      </c>
      <c r="BP75" s="15">
        <v>0</v>
      </c>
      <c r="BQ75" s="17">
        <v>0</v>
      </c>
      <c r="BR75" s="105">
        <v>169</v>
      </c>
      <c r="BS75" s="128">
        <v>2</v>
      </c>
      <c r="BT75" s="17">
        <v>0</v>
      </c>
      <c r="BU75" s="105">
        <v>180</v>
      </c>
      <c r="BV75" s="15">
        <v>0</v>
      </c>
      <c r="BW75" s="17">
        <v>0</v>
      </c>
      <c r="BX75" s="105">
        <v>27980</v>
      </c>
      <c r="BY75" s="139">
        <v>2158</v>
      </c>
      <c r="BZ75" s="150">
        <v>2749</v>
      </c>
      <c r="CA75" s="105">
        <v>2</v>
      </c>
      <c r="CB75" s="15">
        <v>0</v>
      </c>
      <c r="CC75" s="17">
        <v>0</v>
      </c>
      <c r="CD75" s="105">
        <v>13</v>
      </c>
      <c r="CE75" s="15">
        <v>0</v>
      </c>
      <c r="CF75" s="17">
        <v>0</v>
      </c>
      <c r="CG75" s="105">
        <v>30</v>
      </c>
      <c r="CH75" s="15">
        <v>0</v>
      </c>
      <c r="CI75" s="138">
        <v>1</v>
      </c>
      <c r="CJ75" s="105">
        <v>5</v>
      </c>
      <c r="CK75" s="15">
        <v>0</v>
      </c>
      <c r="CL75" s="17">
        <v>0</v>
      </c>
      <c r="CM75" s="105">
        <v>12</v>
      </c>
      <c r="CN75" s="15">
        <v>0</v>
      </c>
      <c r="CO75" s="138">
        <v>1</v>
      </c>
      <c r="CP75" s="105">
        <v>77</v>
      </c>
      <c r="CQ75" s="128">
        <v>1</v>
      </c>
      <c r="CR75" s="17">
        <v>0</v>
      </c>
      <c r="CS75" s="105">
        <v>14</v>
      </c>
      <c r="CT75" s="15">
        <v>0</v>
      </c>
      <c r="CU75" s="138">
        <v>1</v>
      </c>
      <c r="CV75" s="105">
        <v>21</v>
      </c>
      <c r="CW75" s="15">
        <v>0</v>
      </c>
      <c r="CX75" s="138">
        <v>2</v>
      </c>
      <c r="CY75" s="105">
        <v>29</v>
      </c>
      <c r="CZ75" s="15">
        <v>0</v>
      </c>
      <c r="DA75" s="17">
        <v>0</v>
      </c>
      <c r="DB75" s="105">
        <v>9</v>
      </c>
      <c r="DC75" s="15">
        <v>0</v>
      </c>
      <c r="DD75" s="17">
        <v>0</v>
      </c>
      <c r="DE75" s="15">
        <v>0</v>
      </c>
      <c r="DF75" s="15">
        <v>0</v>
      </c>
      <c r="DG75" s="17">
        <v>0</v>
      </c>
      <c r="DH75" s="105">
        <v>1312</v>
      </c>
      <c r="DI75" s="128">
        <v>3</v>
      </c>
      <c r="DJ75" s="138">
        <v>1</v>
      </c>
      <c r="DK75" s="105">
        <v>1414</v>
      </c>
      <c r="DL75" s="128">
        <v>24</v>
      </c>
      <c r="DM75" s="138">
        <v>2</v>
      </c>
      <c r="DN75" s="105">
        <v>150</v>
      </c>
      <c r="DO75" s="128">
        <v>3</v>
      </c>
      <c r="DP75" s="138">
        <v>1</v>
      </c>
      <c r="DQ75" s="105">
        <v>331</v>
      </c>
      <c r="DR75" s="15">
        <v>0</v>
      </c>
      <c r="DS75" s="138">
        <v>2</v>
      </c>
      <c r="DT75" s="105">
        <v>298</v>
      </c>
      <c r="DU75" s="15">
        <v>0</v>
      </c>
      <c r="DV75" s="17">
        <v>0</v>
      </c>
      <c r="DW75" s="105">
        <v>1551</v>
      </c>
      <c r="DX75" s="128">
        <v>36</v>
      </c>
      <c r="DY75" s="150">
        <v>21</v>
      </c>
      <c r="DZ75" s="105">
        <v>158</v>
      </c>
      <c r="EA75" s="15">
        <v>0</v>
      </c>
      <c r="EB75" s="138">
        <v>9</v>
      </c>
      <c r="EC75" s="105">
        <v>90</v>
      </c>
      <c r="ED75" s="15">
        <v>0</v>
      </c>
      <c r="EE75" s="150">
        <v>8</v>
      </c>
      <c r="EF75" s="105">
        <v>109</v>
      </c>
      <c r="EG75" s="128">
        <v>7</v>
      </c>
      <c r="EH75" s="138">
        <v>4</v>
      </c>
      <c r="EI75" s="87">
        <v>48</v>
      </c>
      <c r="EJ75" s="15">
        <v>0</v>
      </c>
      <c r="EK75" s="17">
        <v>0</v>
      </c>
      <c r="EL75" s="87">
        <v>63</v>
      </c>
      <c r="EM75" s="15">
        <v>0</v>
      </c>
      <c r="EN75" s="17">
        <v>0</v>
      </c>
      <c r="EO75" s="87">
        <v>253</v>
      </c>
      <c r="EP75" s="128">
        <v>1</v>
      </c>
      <c r="EQ75" s="17">
        <v>0</v>
      </c>
      <c r="ER75" s="105">
        <v>1103</v>
      </c>
      <c r="ES75" s="128">
        <v>6</v>
      </c>
      <c r="ET75" s="138">
        <v>1</v>
      </c>
      <c r="EU75" s="87">
        <f>SuisseSwitzerland!B75</f>
        <v>2327</v>
      </c>
      <c r="EV75" s="128">
        <f>SuisseSwitzerland!C75</f>
        <v>25</v>
      </c>
      <c r="EW75" s="138">
        <f>SuisseSwitzerland!D75</f>
        <v>18</v>
      </c>
      <c r="EX75" s="105">
        <v>3</v>
      </c>
      <c r="EY75" s="128">
        <v>1</v>
      </c>
      <c r="EZ75" s="17">
        <v>0</v>
      </c>
      <c r="FA75" s="105">
        <v>1</v>
      </c>
      <c r="FB75" s="15">
        <v>0</v>
      </c>
      <c r="FC75" s="17">
        <v>0</v>
      </c>
      <c r="FD75" s="55"/>
      <c r="FE75" s="127"/>
    </row>
    <row r="76" spans="1:161" ht="76.5">
      <c r="A76" s="93">
        <v>43907</v>
      </c>
      <c r="B76" s="14">
        <f t="shared" ref="B76:D76" si="142">SUM(J76,M76,P76,S76,V76,Y76,AB76,AE76,AH76,AK76,AN76,AQ76,AT76,AW76,AZ76,BC76,BF76,BI76,BL76,CA76,CD76,BO76,BR76,BU76,BX76,CG76,CJ76,CM76,CP76,CS76,CV76,DH76,CY76,DB76,DK76,DN76,DQ76,DT76,DW76,DZ76,EC76,EF76,EI76,EL76,EO76,ER76,EU76,EX76,FA76)</f>
        <v>76690</v>
      </c>
      <c r="C76" s="34">
        <f t="shared" si="142"/>
        <v>3426</v>
      </c>
      <c r="D76" s="73">
        <f t="shared" si="142"/>
        <v>4823</v>
      </c>
      <c r="E76" s="176">
        <f t="shared" si="1"/>
        <v>68441</v>
      </c>
      <c r="F76" s="152">
        <f t="shared" ref="F76:H76" si="143">SUM(P76,S76,V76,AE76,AH76,AK76,AN76,AQ76,AT76,AW76,AZ76,BF76,BL76,BR76,BX76,CG76,CM76,CP76,CV76,DK76,DN76,DQ76,DT76,DZ76,EL76,EO76,ER76)</f>
        <v>69772</v>
      </c>
      <c r="G76" s="148">
        <f t="shared" si="143"/>
        <v>3320</v>
      </c>
      <c r="H76" s="149">
        <f t="shared" si="143"/>
        <v>4708</v>
      </c>
      <c r="I76" s="153">
        <f t="shared" si="3"/>
        <v>61744</v>
      </c>
      <c r="J76" s="105">
        <v>16</v>
      </c>
      <c r="K76" s="15">
        <v>0</v>
      </c>
      <c r="L76" s="138">
        <v>1</v>
      </c>
      <c r="M76" s="105">
        <v>55</v>
      </c>
      <c r="N76" s="128">
        <v>1</v>
      </c>
      <c r="O76" s="17">
        <v>0</v>
      </c>
      <c r="P76" s="105">
        <v>9257</v>
      </c>
      <c r="Q76" s="139">
        <v>24</v>
      </c>
      <c r="R76" s="150">
        <v>67</v>
      </c>
      <c r="S76" s="105">
        <v>1132</v>
      </c>
      <c r="T76" s="128">
        <v>3</v>
      </c>
      <c r="U76" s="138">
        <v>8</v>
      </c>
      <c r="V76" s="105">
        <v>1243</v>
      </c>
      <c r="W76" s="128">
        <v>10</v>
      </c>
      <c r="X76" s="150">
        <v>1</v>
      </c>
      <c r="Y76" s="105">
        <v>36</v>
      </c>
      <c r="Z76" s="15">
        <v>0</v>
      </c>
      <c r="AA76" s="138">
        <v>3</v>
      </c>
      <c r="AB76" s="105">
        <v>26</v>
      </c>
      <c r="AC76" s="15">
        <v>0</v>
      </c>
      <c r="AD76" s="138">
        <v>2</v>
      </c>
      <c r="AE76" s="105">
        <v>67</v>
      </c>
      <c r="AF76" s="128">
        <v>2</v>
      </c>
      <c r="AG76" s="17">
        <v>0</v>
      </c>
      <c r="AH76" s="105">
        <v>46</v>
      </c>
      <c r="AI76" s="15">
        <v>0</v>
      </c>
      <c r="AJ76" s="17">
        <v>0</v>
      </c>
      <c r="AK76" s="105">
        <v>65</v>
      </c>
      <c r="AL76" s="15">
        <v>0</v>
      </c>
      <c r="AM76" s="138">
        <v>4</v>
      </c>
      <c r="AN76" s="105">
        <v>1024</v>
      </c>
      <c r="AO76" s="128">
        <v>4</v>
      </c>
      <c r="AP76" s="138">
        <v>1</v>
      </c>
      <c r="AQ76" s="105">
        <v>11748</v>
      </c>
      <c r="AR76" s="128">
        <v>533</v>
      </c>
      <c r="AS76" s="150">
        <v>1028</v>
      </c>
      <c r="AT76" s="105">
        <v>225</v>
      </c>
      <c r="AU76" s="15">
        <v>0</v>
      </c>
      <c r="AV76" s="138">
        <v>1</v>
      </c>
      <c r="AW76" s="105">
        <v>321</v>
      </c>
      <c r="AX76" s="15">
        <v>0</v>
      </c>
      <c r="AY76" s="150">
        <v>10</v>
      </c>
      <c r="AZ76" s="105">
        <v>7730</v>
      </c>
      <c r="BA76" s="139">
        <v>175</v>
      </c>
      <c r="BB76" s="150">
        <v>602</v>
      </c>
      <c r="BC76" s="105">
        <v>1</v>
      </c>
      <c r="BD76" s="15">
        <v>0</v>
      </c>
      <c r="BE76" s="17">
        <v>0</v>
      </c>
      <c r="BF76" s="105">
        <v>387</v>
      </c>
      <c r="BG76" s="128">
        <v>5</v>
      </c>
      <c r="BH76" s="138">
        <v>8</v>
      </c>
      <c r="BI76" s="105">
        <v>1</v>
      </c>
      <c r="BJ76" s="15">
        <v>0</v>
      </c>
      <c r="BK76" s="17">
        <v>0</v>
      </c>
      <c r="BL76" s="105">
        <v>50</v>
      </c>
      <c r="BM76" s="128">
        <v>1</v>
      </c>
      <c r="BN76" s="138">
        <v>2</v>
      </c>
      <c r="BO76" s="105">
        <v>47</v>
      </c>
      <c r="BP76" s="15">
        <v>0</v>
      </c>
      <c r="BQ76" s="17">
        <v>0</v>
      </c>
      <c r="BR76" s="105">
        <v>223</v>
      </c>
      <c r="BS76" s="128">
        <v>2</v>
      </c>
      <c r="BT76" s="138">
        <v>5</v>
      </c>
      <c r="BU76" s="105">
        <v>220</v>
      </c>
      <c r="BV76" s="128">
        <v>1</v>
      </c>
      <c r="BW76" s="17">
        <v>0</v>
      </c>
      <c r="BX76" s="105">
        <v>31506</v>
      </c>
      <c r="BY76" s="139">
        <v>2503</v>
      </c>
      <c r="BZ76" s="150">
        <v>2941</v>
      </c>
      <c r="CA76" s="105">
        <v>5</v>
      </c>
      <c r="CB76" s="15">
        <v>0</v>
      </c>
      <c r="CC76" s="17">
        <v>0</v>
      </c>
      <c r="CD76" s="105">
        <v>13</v>
      </c>
      <c r="CE76" s="15">
        <v>0</v>
      </c>
      <c r="CF76" s="17">
        <v>0</v>
      </c>
      <c r="CG76" s="105">
        <v>49</v>
      </c>
      <c r="CH76" s="15">
        <v>0</v>
      </c>
      <c r="CI76" s="138">
        <v>1</v>
      </c>
      <c r="CJ76" s="105">
        <v>7</v>
      </c>
      <c r="CK76" s="15">
        <v>0</v>
      </c>
      <c r="CL76" s="17">
        <v>0</v>
      </c>
      <c r="CM76" s="105">
        <v>25</v>
      </c>
      <c r="CN76" s="15">
        <v>0</v>
      </c>
      <c r="CO76" s="138">
        <v>1</v>
      </c>
      <c r="CP76" s="105">
        <v>140</v>
      </c>
      <c r="CQ76" s="128">
        <v>1</v>
      </c>
      <c r="CR76" s="17">
        <v>0</v>
      </c>
      <c r="CS76" s="105">
        <v>26</v>
      </c>
      <c r="CT76" s="15">
        <v>0</v>
      </c>
      <c r="CU76" s="138">
        <v>1</v>
      </c>
      <c r="CV76" s="105">
        <v>38</v>
      </c>
      <c r="CW76" s="15">
        <v>0</v>
      </c>
      <c r="CX76" s="138">
        <v>2</v>
      </c>
      <c r="CY76" s="105">
        <v>30</v>
      </c>
      <c r="CZ76" s="15">
        <v>0</v>
      </c>
      <c r="DA76" s="138">
        <v>1</v>
      </c>
      <c r="DB76" s="105">
        <v>9</v>
      </c>
      <c r="DC76" s="15">
        <v>0</v>
      </c>
      <c r="DD76" s="17">
        <v>0</v>
      </c>
      <c r="DE76" s="15">
        <v>0</v>
      </c>
      <c r="DF76" s="15">
        <v>0</v>
      </c>
      <c r="DG76" s="17">
        <v>0</v>
      </c>
      <c r="DH76" s="105">
        <v>1463</v>
      </c>
      <c r="DI76" s="128">
        <v>3</v>
      </c>
      <c r="DJ76" s="138">
        <v>1</v>
      </c>
      <c r="DK76" s="105">
        <v>1710</v>
      </c>
      <c r="DL76" s="128">
        <v>43</v>
      </c>
      <c r="DM76" s="138">
        <v>2</v>
      </c>
      <c r="DN76" s="105">
        <v>221</v>
      </c>
      <c r="DO76" s="128">
        <v>5</v>
      </c>
      <c r="DP76" s="138">
        <v>1</v>
      </c>
      <c r="DQ76" s="105">
        <v>448</v>
      </c>
      <c r="DR76" s="128">
        <v>1</v>
      </c>
      <c r="DS76" s="138">
        <v>3</v>
      </c>
      <c r="DT76" s="105">
        <v>396</v>
      </c>
      <c r="DU76" s="15">
        <v>0</v>
      </c>
      <c r="DV76" s="138">
        <v>3</v>
      </c>
      <c r="DW76" s="105">
        <v>1960</v>
      </c>
      <c r="DX76" s="128">
        <v>56</v>
      </c>
      <c r="DY76" s="150">
        <v>53</v>
      </c>
      <c r="DZ76" s="105">
        <v>184</v>
      </c>
      <c r="EA76" s="15">
        <v>0</v>
      </c>
      <c r="EB76" s="138">
        <v>16</v>
      </c>
      <c r="EC76" s="105">
        <v>114</v>
      </c>
      <c r="ED76" s="15">
        <v>0</v>
      </c>
      <c r="EE76" s="150">
        <v>8</v>
      </c>
      <c r="EF76" s="105">
        <v>109</v>
      </c>
      <c r="EG76" s="128">
        <v>7</v>
      </c>
      <c r="EH76" s="138">
        <v>4</v>
      </c>
      <c r="EI76" s="87">
        <v>65</v>
      </c>
      <c r="EJ76" s="15">
        <v>0</v>
      </c>
      <c r="EK76" s="17">
        <v>0</v>
      </c>
      <c r="EL76" s="87">
        <v>72</v>
      </c>
      <c r="EM76" s="15">
        <v>0</v>
      </c>
      <c r="EN76" s="17">
        <v>0</v>
      </c>
      <c r="EO76" s="87">
        <v>275</v>
      </c>
      <c r="EP76" s="128">
        <v>1</v>
      </c>
      <c r="EQ76" s="17">
        <v>0</v>
      </c>
      <c r="ER76" s="105">
        <v>1190</v>
      </c>
      <c r="ES76" s="128">
        <v>7</v>
      </c>
      <c r="ET76" s="138">
        <v>1</v>
      </c>
      <c r="EU76" s="87">
        <f>SuisseSwitzerland!B76</f>
        <v>2700</v>
      </c>
      <c r="EV76" s="128">
        <f>SuisseSwitzerland!C76</f>
        <v>36</v>
      </c>
      <c r="EW76" s="138">
        <f>SuisseSwitzerland!D76</f>
        <v>41</v>
      </c>
      <c r="EX76" s="105">
        <v>14</v>
      </c>
      <c r="EY76" s="128">
        <v>2</v>
      </c>
      <c r="EZ76" s="17">
        <v>0</v>
      </c>
      <c r="FA76" s="105">
        <v>1</v>
      </c>
      <c r="FB76" s="15">
        <v>0</v>
      </c>
      <c r="FC76" s="17">
        <v>0</v>
      </c>
      <c r="FD76" s="151" t="s">
        <v>391</v>
      </c>
      <c r="FE76" s="127" t="s">
        <v>392</v>
      </c>
    </row>
    <row r="77" spans="1:161" ht="25.5">
      <c r="A77" s="93">
        <v>43908</v>
      </c>
      <c r="B77" s="14">
        <f t="shared" ref="B77:D77" si="144">SUM(J77,M77,P77,S77,V77,Y77,AB77,AE77,AH77,AK77,AN77,AQ77,AT77,AW77,AZ77,BC77,BF77,BI77,BL77,CA77,CD77,BO77,BR77,BU77,BX77,CG77,CJ77,CM77,CP77,CS77,CV77,DH77,CY77,DB77,DE77,DK77,DN77,DQ77,DT77,DW77,DZ77,EC77,EF77,EI77,EL77,EO77,ER77,EU77,EX77,FA77)</f>
        <v>91811</v>
      </c>
      <c r="C77" s="34">
        <f t="shared" si="144"/>
        <v>4143</v>
      </c>
      <c r="D77" s="73">
        <f t="shared" si="144"/>
        <v>6416</v>
      </c>
      <c r="E77" s="176">
        <f t="shared" si="1"/>
        <v>81252</v>
      </c>
      <c r="F77" s="152">
        <f t="shared" ref="F77:H77" si="145">SUM(P77,S77,V77,AE77,AH77,AK77,AN77,AQ77,AT77,AW77,AZ77,BF77,BL77,BR77,BX77,CG77,CM77,CP77,CV77,DK77,DN77,DQ77,DT77,DZ77,EL77,EO77,ER77)</f>
        <v>82591</v>
      </c>
      <c r="G77" s="148">
        <f t="shared" si="145"/>
        <v>4003</v>
      </c>
      <c r="H77" s="149">
        <f t="shared" si="145"/>
        <v>6284</v>
      </c>
      <c r="I77" s="153">
        <f t="shared" si="3"/>
        <v>72304</v>
      </c>
      <c r="J77" s="105">
        <v>39</v>
      </c>
      <c r="K77" s="15">
        <v>0</v>
      </c>
      <c r="L77" s="138">
        <v>1</v>
      </c>
      <c r="M77" s="105">
        <v>59</v>
      </c>
      <c r="N77" s="128">
        <v>2</v>
      </c>
      <c r="O77" s="17">
        <v>0</v>
      </c>
      <c r="P77" s="105">
        <v>12327</v>
      </c>
      <c r="Q77" s="139">
        <v>28</v>
      </c>
      <c r="R77" s="150">
        <v>105</v>
      </c>
      <c r="S77" s="105">
        <v>1646</v>
      </c>
      <c r="T77" s="128">
        <v>4</v>
      </c>
      <c r="U77" s="138">
        <v>8</v>
      </c>
      <c r="V77" s="105">
        <v>1486</v>
      </c>
      <c r="W77" s="128">
        <v>14</v>
      </c>
      <c r="X77" s="150">
        <v>1</v>
      </c>
      <c r="Y77" s="105">
        <v>51</v>
      </c>
      <c r="Z77" s="15">
        <v>0</v>
      </c>
      <c r="AA77" s="138">
        <v>5</v>
      </c>
      <c r="AB77" s="105">
        <v>38</v>
      </c>
      <c r="AC77" s="15">
        <v>0</v>
      </c>
      <c r="AD77" s="138">
        <v>2</v>
      </c>
      <c r="AE77" s="105">
        <v>92</v>
      </c>
      <c r="AF77" s="128">
        <v>2</v>
      </c>
      <c r="AG77" s="17">
        <v>0</v>
      </c>
      <c r="AH77" s="105">
        <v>49</v>
      </c>
      <c r="AI77" s="15">
        <v>0</v>
      </c>
      <c r="AJ77" s="17">
        <v>0</v>
      </c>
      <c r="AK77" s="105">
        <v>81</v>
      </c>
      <c r="AL77" s="15">
        <v>0</v>
      </c>
      <c r="AM77" s="138">
        <v>4</v>
      </c>
      <c r="AN77" s="105">
        <v>1115</v>
      </c>
      <c r="AO77" s="128">
        <v>4</v>
      </c>
      <c r="AP77" s="138">
        <v>1</v>
      </c>
      <c r="AQ77" s="105">
        <v>13910</v>
      </c>
      <c r="AR77" s="128">
        <v>623</v>
      </c>
      <c r="AS77" s="150">
        <v>1081</v>
      </c>
      <c r="AT77" s="105">
        <v>258</v>
      </c>
      <c r="AU77" s="15">
        <v>0</v>
      </c>
      <c r="AV77" s="138">
        <v>1</v>
      </c>
      <c r="AW77" s="105">
        <v>336</v>
      </c>
      <c r="AX77" s="15">
        <v>0</v>
      </c>
      <c r="AY77" s="150">
        <v>10</v>
      </c>
      <c r="AZ77" s="105">
        <v>9134</v>
      </c>
      <c r="BA77" s="139">
        <v>264</v>
      </c>
      <c r="BB77" s="150">
        <v>1000</v>
      </c>
      <c r="BC77" s="105">
        <v>1</v>
      </c>
      <c r="BD77" s="15">
        <v>0</v>
      </c>
      <c r="BE77" s="17">
        <v>0</v>
      </c>
      <c r="BF77" s="105">
        <v>418</v>
      </c>
      <c r="BG77" s="128">
        <v>5</v>
      </c>
      <c r="BH77" s="138">
        <v>8</v>
      </c>
      <c r="BI77" s="105">
        <v>1</v>
      </c>
      <c r="BJ77" s="15">
        <v>0</v>
      </c>
      <c r="BK77" s="17">
        <v>0</v>
      </c>
      <c r="BL77" s="105">
        <v>58</v>
      </c>
      <c r="BM77" s="128">
        <v>1</v>
      </c>
      <c r="BN77" s="138">
        <v>2</v>
      </c>
      <c r="BO77" s="105">
        <v>58</v>
      </c>
      <c r="BP77" s="15">
        <v>0</v>
      </c>
      <c r="BQ77" s="17">
        <v>0</v>
      </c>
      <c r="BR77" s="105">
        <v>299</v>
      </c>
      <c r="BS77" s="128">
        <v>2</v>
      </c>
      <c r="BT77" s="138">
        <v>5</v>
      </c>
      <c r="BU77" s="105">
        <v>250</v>
      </c>
      <c r="BV77" s="128">
        <v>1</v>
      </c>
      <c r="BW77" s="138">
        <v>5</v>
      </c>
      <c r="BX77" s="105">
        <v>35713</v>
      </c>
      <c r="BY77" s="139">
        <v>2978</v>
      </c>
      <c r="BZ77" s="150">
        <v>4025</v>
      </c>
      <c r="CA77" s="105">
        <v>5</v>
      </c>
      <c r="CB77" s="15">
        <v>0</v>
      </c>
      <c r="CC77" s="17">
        <v>0</v>
      </c>
      <c r="CD77" s="105">
        <v>13</v>
      </c>
      <c r="CE77" s="15">
        <v>0</v>
      </c>
      <c r="CF77" s="17">
        <v>0</v>
      </c>
      <c r="CG77" s="105">
        <v>71</v>
      </c>
      <c r="CH77" s="15">
        <v>0</v>
      </c>
      <c r="CI77" s="138">
        <v>1</v>
      </c>
      <c r="CJ77" s="105">
        <v>28</v>
      </c>
      <c r="CK77" s="15">
        <v>0</v>
      </c>
      <c r="CL77" s="17">
        <v>0</v>
      </c>
      <c r="CM77" s="105">
        <v>25</v>
      </c>
      <c r="CN77" s="15">
        <v>0</v>
      </c>
      <c r="CO77" s="138">
        <v>1</v>
      </c>
      <c r="CP77" s="105">
        <v>203</v>
      </c>
      <c r="CQ77" s="128">
        <v>2</v>
      </c>
      <c r="CR77" s="17">
        <v>0</v>
      </c>
      <c r="CS77" s="105">
        <v>35</v>
      </c>
      <c r="CT77" s="15">
        <v>0</v>
      </c>
      <c r="CU77" s="138">
        <v>1</v>
      </c>
      <c r="CV77" s="105">
        <v>38</v>
      </c>
      <c r="CW77" s="15">
        <v>0</v>
      </c>
      <c r="CX77" s="138">
        <v>2</v>
      </c>
      <c r="CY77" s="105">
        <v>36</v>
      </c>
      <c r="CZ77" s="15">
        <v>0</v>
      </c>
      <c r="DA77" s="138">
        <v>1</v>
      </c>
      <c r="DB77" s="105">
        <v>9</v>
      </c>
      <c r="DC77" s="15">
        <v>0</v>
      </c>
      <c r="DD77" s="17">
        <v>0</v>
      </c>
      <c r="DE77" s="105">
        <v>2</v>
      </c>
      <c r="DF77" s="15">
        <v>0</v>
      </c>
      <c r="DG77" s="17">
        <v>0</v>
      </c>
      <c r="DH77" s="105">
        <v>1550</v>
      </c>
      <c r="DI77" s="128">
        <v>6</v>
      </c>
      <c r="DJ77" s="138">
        <v>1</v>
      </c>
      <c r="DK77" s="105">
        <v>2056</v>
      </c>
      <c r="DL77" s="128">
        <v>58</v>
      </c>
      <c r="DM77" s="138">
        <v>2</v>
      </c>
      <c r="DN77" s="105">
        <v>251</v>
      </c>
      <c r="DO77" s="128">
        <v>5</v>
      </c>
      <c r="DP77" s="138">
        <v>1</v>
      </c>
      <c r="DQ77" s="105">
        <v>642</v>
      </c>
      <c r="DR77" s="128">
        <v>2</v>
      </c>
      <c r="DS77" s="138">
        <v>3</v>
      </c>
      <c r="DT77" s="105">
        <v>464</v>
      </c>
      <c r="DU77" s="15">
        <v>0</v>
      </c>
      <c r="DV77" s="138">
        <v>3</v>
      </c>
      <c r="DW77" s="105">
        <v>2642</v>
      </c>
      <c r="DX77" s="128">
        <v>72</v>
      </c>
      <c r="DY77" s="150">
        <v>53</v>
      </c>
      <c r="DZ77" s="105">
        <v>260</v>
      </c>
      <c r="EA77" s="15">
        <v>0</v>
      </c>
      <c r="EB77" s="138">
        <v>19</v>
      </c>
      <c r="EC77" s="105">
        <v>147</v>
      </c>
      <c r="ED77" s="15">
        <v>0</v>
      </c>
      <c r="EE77" s="150">
        <v>8</v>
      </c>
      <c r="EF77" s="105">
        <v>119</v>
      </c>
      <c r="EG77" s="128">
        <v>11</v>
      </c>
      <c r="EH77" s="138">
        <v>4</v>
      </c>
      <c r="EI77" s="87">
        <v>83</v>
      </c>
      <c r="EJ77" s="15">
        <v>0</v>
      </c>
      <c r="EK77" s="17">
        <v>0</v>
      </c>
      <c r="EL77" s="87">
        <v>105</v>
      </c>
      <c r="EM77" s="15">
        <v>0</v>
      </c>
      <c r="EN77" s="17">
        <v>0</v>
      </c>
      <c r="EO77" s="87">
        <v>275</v>
      </c>
      <c r="EP77" s="128">
        <v>1</v>
      </c>
      <c r="EQ77" s="17">
        <v>0</v>
      </c>
      <c r="ER77" s="105">
        <v>1279</v>
      </c>
      <c r="ES77" s="128">
        <v>10</v>
      </c>
      <c r="ET77" s="138">
        <v>1</v>
      </c>
      <c r="EU77" s="87">
        <f>SuisseSwitzerland!B77</f>
        <v>4039</v>
      </c>
      <c r="EV77" s="128">
        <f>SuisseSwitzerland!C77</f>
        <v>46</v>
      </c>
      <c r="EW77" s="138">
        <f>SuisseSwitzerland!D77</f>
        <v>51</v>
      </c>
      <c r="EX77" s="105">
        <v>14</v>
      </c>
      <c r="EY77" s="128">
        <v>2</v>
      </c>
      <c r="EZ77" s="17">
        <v>0</v>
      </c>
      <c r="FA77" s="105">
        <v>1</v>
      </c>
      <c r="FB77" s="15">
        <v>0</v>
      </c>
      <c r="FC77" s="17">
        <v>0</v>
      </c>
      <c r="FD77" s="151" t="s">
        <v>393</v>
      </c>
      <c r="FE77" s="127" t="s">
        <v>394</v>
      </c>
    </row>
    <row r="78" spans="1:161" ht="25.5">
      <c r="A78" s="93">
        <v>43909</v>
      </c>
      <c r="B78" s="14">
        <f t="shared" ref="B78:D78" si="146">SUM(J78,M78,P78,S78,V78,Y78,AB78,AE78,AH78,AK78,AN78,AQ78,AT78,AW78,AZ78,BC78,BF78,BI78,BL78,CA78,CD78,BO78,BR78,BU78,BX78,CG78,CJ78,CM78,CP78,CS78,CV78,DH78,CY78,DB78,DE78,DK78,DN78,DQ78,DT78,DW78,DZ78,EC78,EF78,EI78,EL78,EO78,ER78,EU78,EX78,FA78)</f>
        <v>110247</v>
      </c>
      <c r="C78" s="34">
        <f t="shared" si="146"/>
        <v>5016</v>
      </c>
      <c r="D78" s="73">
        <f t="shared" si="146"/>
        <v>7248</v>
      </c>
      <c r="E78" s="176">
        <f t="shared" si="1"/>
        <v>97983</v>
      </c>
      <c r="F78" s="152">
        <f t="shared" ref="F78:H78" si="147">SUM(P78,S78,V78,AE78,AH78,AK78,AN78,AQ78,AT78,AW78,AZ78,BF78,BL78,BR78,BX78,CG78,CM78,CP78,CV78,DK78,DN78,DQ78,DT78,DZ78,EL78,EO78,ER78)</f>
        <v>99307</v>
      </c>
      <c r="G78" s="148">
        <f t="shared" si="147"/>
        <v>4799</v>
      </c>
      <c r="H78" s="149">
        <f t="shared" si="147"/>
        <v>7066</v>
      </c>
      <c r="I78" s="153">
        <f t="shared" si="3"/>
        <v>87442</v>
      </c>
      <c r="J78" s="105">
        <v>53</v>
      </c>
      <c r="K78" s="15">
        <v>0</v>
      </c>
      <c r="L78" s="138">
        <v>1</v>
      </c>
      <c r="M78" s="105">
        <v>64</v>
      </c>
      <c r="N78" s="128">
        <v>2</v>
      </c>
      <c r="O78" s="17">
        <v>0</v>
      </c>
      <c r="P78" s="105">
        <v>15320</v>
      </c>
      <c r="Q78" s="139">
        <v>44</v>
      </c>
      <c r="R78" s="150">
        <v>113</v>
      </c>
      <c r="S78" s="105">
        <v>2013</v>
      </c>
      <c r="T78" s="128">
        <v>6</v>
      </c>
      <c r="U78" s="138">
        <v>9</v>
      </c>
      <c r="V78" s="105">
        <v>1795</v>
      </c>
      <c r="W78" s="128">
        <v>21</v>
      </c>
      <c r="X78" s="150">
        <v>1</v>
      </c>
      <c r="Y78" s="105">
        <v>51</v>
      </c>
      <c r="Z78" s="15">
        <v>0</v>
      </c>
      <c r="AA78" s="138">
        <v>5</v>
      </c>
      <c r="AB78" s="105">
        <v>63</v>
      </c>
      <c r="AC78" s="15">
        <v>0</v>
      </c>
      <c r="AD78" s="138">
        <v>2</v>
      </c>
      <c r="AE78" s="105">
        <v>94</v>
      </c>
      <c r="AF78" s="128">
        <v>3</v>
      </c>
      <c r="AG78" s="17">
        <v>0</v>
      </c>
      <c r="AH78" s="105">
        <v>67</v>
      </c>
      <c r="AI78" s="15">
        <v>0</v>
      </c>
      <c r="AJ78" s="17">
        <v>0</v>
      </c>
      <c r="AK78" s="105">
        <v>105</v>
      </c>
      <c r="AL78" s="128">
        <v>1</v>
      </c>
      <c r="AM78" s="138">
        <v>4</v>
      </c>
      <c r="AN78" s="105">
        <v>1225</v>
      </c>
      <c r="AO78" s="128">
        <v>6</v>
      </c>
      <c r="AP78" s="138">
        <v>1</v>
      </c>
      <c r="AQ78" s="105">
        <v>17963</v>
      </c>
      <c r="AR78" s="128">
        <v>830</v>
      </c>
      <c r="AS78" s="150">
        <v>1107</v>
      </c>
      <c r="AT78" s="105">
        <v>267</v>
      </c>
      <c r="AU78" s="15">
        <v>0</v>
      </c>
      <c r="AV78" s="138">
        <v>1</v>
      </c>
      <c r="AW78" s="105">
        <v>400</v>
      </c>
      <c r="AX78" s="15">
        <v>0</v>
      </c>
      <c r="AY78" s="150">
        <v>10</v>
      </c>
      <c r="AZ78" s="105">
        <v>10995</v>
      </c>
      <c r="BA78" s="139">
        <v>372</v>
      </c>
      <c r="BB78" s="150">
        <v>1300</v>
      </c>
      <c r="BC78" s="105">
        <v>1</v>
      </c>
      <c r="BD78" s="15">
        <v>0</v>
      </c>
      <c r="BE78" s="17">
        <v>0</v>
      </c>
      <c r="BF78" s="105">
        <v>464</v>
      </c>
      <c r="BG78" s="128">
        <v>6</v>
      </c>
      <c r="BH78" s="138">
        <v>19</v>
      </c>
      <c r="BI78" s="105">
        <v>1</v>
      </c>
      <c r="BJ78" s="15">
        <v>0</v>
      </c>
      <c r="BK78" s="17">
        <v>0</v>
      </c>
      <c r="BL78" s="105">
        <v>73</v>
      </c>
      <c r="BM78" s="128">
        <v>1</v>
      </c>
      <c r="BN78" s="138">
        <v>2</v>
      </c>
      <c r="BO78" s="105">
        <v>72</v>
      </c>
      <c r="BP78" s="15">
        <v>0</v>
      </c>
      <c r="BQ78" s="17">
        <v>0</v>
      </c>
      <c r="BR78" s="105">
        <v>557</v>
      </c>
      <c r="BS78" s="128">
        <v>3</v>
      </c>
      <c r="BT78" s="138">
        <v>5</v>
      </c>
      <c r="BU78" s="105">
        <v>330</v>
      </c>
      <c r="BV78" s="128">
        <v>1</v>
      </c>
      <c r="BW78" s="138">
        <v>5</v>
      </c>
      <c r="BX78" s="105">
        <v>41035</v>
      </c>
      <c r="BY78" s="139">
        <v>3405</v>
      </c>
      <c r="BZ78" s="150">
        <v>4440</v>
      </c>
      <c r="CA78" s="105">
        <v>5</v>
      </c>
      <c r="CB78" s="15">
        <v>0</v>
      </c>
      <c r="CC78" s="17">
        <v>0</v>
      </c>
      <c r="CD78" s="105">
        <v>21</v>
      </c>
      <c r="CE78" s="15">
        <v>0</v>
      </c>
      <c r="CF78" s="17">
        <v>0</v>
      </c>
      <c r="CG78" s="105">
        <v>86</v>
      </c>
      <c r="CH78" s="15">
        <v>0</v>
      </c>
      <c r="CI78" s="138">
        <v>1</v>
      </c>
      <c r="CJ78" s="105">
        <v>28</v>
      </c>
      <c r="CK78" s="15">
        <v>0</v>
      </c>
      <c r="CL78" s="17">
        <v>0</v>
      </c>
      <c r="CM78" s="105">
        <v>36</v>
      </c>
      <c r="CN78" s="15">
        <v>0</v>
      </c>
      <c r="CO78" s="138">
        <v>1</v>
      </c>
      <c r="CP78" s="105">
        <v>335</v>
      </c>
      <c r="CQ78" s="128">
        <v>4</v>
      </c>
      <c r="CR78" s="17">
        <v>0</v>
      </c>
      <c r="CS78" s="105">
        <v>48</v>
      </c>
      <c r="CT78" s="15">
        <v>0</v>
      </c>
      <c r="CU78" s="138">
        <v>1</v>
      </c>
      <c r="CV78" s="105">
        <v>53</v>
      </c>
      <c r="CW78" s="15">
        <v>0</v>
      </c>
      <c r="CX78" s="138">
        <v>2</v>
      </c>
      <c r="CY78" s="105">
        <v>49</v>
      </c>
      <c r="CZ78" s="128">
        <v>1</v>
      </c>
      <c r="DA78" s="138">
        <v>1</v>
      </c>
      <c r="DB78" s="105">
        <v>11</v>
      </c>
      <c r="DC78" s="15">
        <v>0</v>
      </c>
      <c r="DD78" s="17">
        <v>0</v>
      </c>
      <c r="DE78" s="105">
        <v>10</v>
      </c>
      <c r="DF78" s="15">
        <v>0</v>
      </c>
      <c r="DG78" s="17">
        <v>0</v>
      </c>
      <c r="DH78" s="105">
        <v>1746</v>
      </c>
      <c r="DI78" s="128">
        <v>7</v>
      </c>
      <c r="DJ78" s="138">
        <v>1</v>
      </c>
      <c r="DK78" s="105">
        <v>2465</v>
      </c>
      <c r="DL78" s="128">
        <v>77</v>
      </c>
      <c r="DM78" s="138">
        <v>2</v>
      </c>
      <c r="DN78" s="105">
        <v>355</v>
      </c>
      <c r="DO78" s="128">
        <v>5</v>
      </c>
      <c r="DP78" s="138">
        <v>1</v>
      </c>
      <c r="DQ78" s="105">
        <v>785</v>
      </c>
      <c r="DR78" s="128">
        <v>3</v>
      </c>
      <c r="DS78" s="138">
        <v>3</v>
      </c>
      <c r="DT78" s="105">
        <v>694</v>
      </c>
      <c r="DU78" s="15">
        <v>0</v>
      </c>
      <c r="DV78" s="138">
        <v>3</v>
      </c>
      <c r="DW78" s="105">
        <v>2716</v>
      </c>
      <c r="DX78" s="128">
        <v>138</v>
      </c>
      <c r="DY78" s="150">
        <v>65</v>
      </c>
      <c r="DZ78" s="105">
        <v>277</v>
      </c>
      <c r="EA78" s="15">
        <v>0</v>
      </c>
      <c r="EB78" s="138">
        <v>25</v>
      </c>
      <c r="EC78" s="105">
        <v>199</v>
      </c>
      <c r="ED78" s="15">
        <v>0</v>
      </c>
      <c r="EE78" s="150">
        <v>9</v>
      </c>
      <c r="EF78" s="105">
        <v>119</v>
      </c>
      <c r="EG78" s="128">
        <v>11</v>
      </c>
      <c r="EH78" s="138">
        <v>4</v>
      </c>
      <c r="EI78" s="87">
        <v>103</v>
      </c>
      <c r="EJ78" s="15">
        <v>0</v>
      </c>
      <c r="EK78" s="17">
        <v>0</v>
      </c>
      <c r="EL78" s="87">
        <v>123</v>
      </c>
      <c r="EM78" s="15">
        <v>0</v>
      </c>
      <c r="EN78" s="17">
        <v>0</v>
      </c>
      <c r="EO78" s="87">
        <v>286</v>
      </c>
      <c r="EP78" s="128">
        <v>1</v>
      </c>
      <c r="EQ78" s="17">
        <v>0</v>
      </c>
      <c r="ER78" s="105">
        <v>1439</v>
      </c>
      <c r="ES78" s="128">
        <v>11</v>
      </c>
      <c r="ET78" s="138">
        <v>16</v>
      </c>
      <c r="EU78" s="87">
        <f>SuisseSwitzerland!B78</f>
        <v>5233</v>
      </c>
      <c r="EV78" s="128">
        <f>SuisseSwitzerland!C78</f>
        <v>55</v>
      </c>
      <c r="EW78" s="138">
        <f>SuisseSwitzerland!D78</f>
        <v>88</v>
      </c>
      <c r="EX78" s="105">
        <v>16</v>
      </c>
      <c r="EY78" s="128">
        <v>2</v>
      </c>
      <c r="EZ78" s="17">
        <v>0</v>
      </c>
      <c r="FA78" s="105">
        <v>1</v>
      </c>
      <c r="FB78" s="15">
        <v>0</v>
      </c>
      <c r="FC78" s="17">
        <v>0</v>
      </c>
      <c r="FD78" s="151" t="s">
        <v>396</v>
      </c>
      <c r="FE78" s="77" t="s">
        <v>397</v>
      </c>
    </row>
    <row r="79" spans="1:161" ht="12.75">
      <c r="A79" s="93">
        <v>43910</v>
      </c>
      <c r="B79" s="14">
        <f t="shared" ref="B79:D79" si="148">SUM(J79,M79,P79,S79,V79,Y79,AB79,AE79,AH79,AK79,AN79,AQ79,AT79,AW79,AZ79,BC79,BF79,BI79,BL79,CA79,CD79,BO79,BR79,BU79,BX79,CG79,CJ79,CM79,CP79,CS79,CV79,DH79,CY79,DB79,DE79,DK79,DN79,DQ79,DT79,DW79,DZ79,EC79,EF79,EI79,EL79,EO79,ER79,EU79,EX79,FA79)</f>
        <v>130514</v>
      </c>
      <c r="C79" s="34">
        <f t="shared" si="148"/>
        <v>6077</v>
      </c>
      <c r="D79" s="73">
        <f t="shared" si="148"/>
        <v>8099</v>
      </c>
      <c r="E79" s="176">
        <f t="shared" si="1"/>
        <v>116338</v>
      </c>
      <c r="F79" s="152">
        <f t="shared" ref="F79:H79" si="149">SUM(P79,S79,V79,AE79,AH79,AK79,AN79,AQ79,AT79,AW79,AZ79,BF79,BL79,BR79,BX79,CG79,CM79,CP79,CV79,DK79,DN79,DQ79,DT79,DZ79,EL79,EO79,ER79)</f>
        <v>116607</v>
      </c>
      <c r="G79" s="148">
        <f t="shared" si="149"/>
        <v>5798</v>
      </c>
      <c r="H79" s="149">
        <f t="shared" si="149"/>
        <v>7905</v>
      </c>
      <c r="I79" s="153">
        <f t="shared" si="3"/>
        <v>102904</v>
      </c>
      <c r="J79" s="105">
        <v>75</v>
      </c>
      <c r="K79" s="15">
        <v>0</v>
      </c>
      <c r="L79" s="138">
        <v>1</v>
      </c>
      <c r="M79" s="105">
        <v>70</v>
      </c>
      <c r="N79" s="128">
        <v>2</v>
      </c>
      <c r="O79" s="17">
        <v>0</v>
      </c>
      <c r="P79" s="105">
        <v>19848</v>
      </c>
      <c r="Q79" s="139">
        <v>67</v>
      </c>
      <c r="R79" s="150">
        <v>180</v>
      </c>
      <c r="S79" s="105">
        <v>2388</v>
      </c>
      <c r="T79" s="128">
        <v>6</v>
      </c>
      <c r="U79" s="138">
        <v>9</v>
      </c>
      <c r="V79" s="105">
        <v>2257</v>
      </c>
      <c r="W79" s="128">
        <v>37</v>
      </c>
      <c r="X79" s="150">
        <v>1</v>
      </c>
      <c r="Y79" s="105">
        <v>69</v>
      </c>
      <c r="Z79" s="15">
        <v>0</v>
      </c>
      <c r="AA79" s="138">
        <v>5</v>
      </c>
      <c r="AB79" s="105">
        <v>89</v>
      </c>
      <c r="AC79" s="15">
        <v>0</v>
      </c>
      <c r="AD79" s="138">
        <v>2</v>
      </c>
      <c r="AE79" s="105">
        <v>129</v>
      </c>
      <c r="AF79" s="128">
        <v>3</v>
      </c>
      <c r="AG79" s="17">
        <v>0</v>
      </c>
      <c r="AH79" s="105">
        <v>67</v>
      </c>
      <c r="AI79" s="15">
        <v>0</v>
      </c>
      <c r="AJ79" s="17">
        <v>0</v>
      </c>
      <c r="AK79" s="105">
        <v>128</v>
      </c>
      <c r="AL79" s="128">
        <v>1</v>
      </c>
      <c r="AM79" s="138">
        <v>5</v>
      </c>
      <c r="AN79" s="105">
        <v>1337</v>
      </c>
      <c r="AO79" s="128">
        <v>9</v>
      </c>
      <c r="AP79" s="138">
        <v>1</v>
      </c>
      <c r="AQ79" s="105">
        <v>20410</v>
      </c>
      <c r="AR79" s="128">
        <v>1043</v>
      </c>
      <c r="AS79" s="150">
        <v>1588</v>
      </c>
      <c r="AT79" s="105">
        <v>283</v>
      </c>
      <c r="AU79" s="15">
        <v>0</v>
      </c>
      <c r="AV79" s="138">
        <v>1</v>
      </c>
      <c r="AW79" s="105">
        <v>450</v>
      </c>
      <c r="AX79" s="15">
        <v>0</v>
      </c>
      <c r="AY79" s="150">
        <v>10</v>
      </c>
      <c r="AZ79" s="105">
        <v>12612</v>
      </c>
      <c r="BA79" s="139">
        <v>450</v>
      </c>
      <c r="BB79" s="150">
        <v>1587</v>
      </c>
      <c r="BC79" s="105">
        <v>1</v>
      </c>
      <c r="BD79" s="15">
        <v>0</v>
      </c>
      <c r="BE79" s="17">
        <v>0</v>
      </c>
      <c r="BF79" s="105">
        <v>495</v>
      </c>
      <c r="BG79" s="128">
        <v>6</v>
      </c>
      <c r="BH79" s="138">
        <v>19</v>
      </c>
      <c r="BI79" s="105">
        <v>1</v>
      </c>
      <c r="BJ79" s="15">
        <v>0</v>
      </c>
      <c r="BK79" s="17">
        <v>0</v>
      </c>
      <c r="BL79" s="105">
        <v>85</v>
      </c>
      <c r="BM79" s="128">
        <v>3</v>
      </c>
      <c r="BN79" s="138">
        <v>2</v>
      </c>
      <c r="BO79" s="105">
        <v>80</v>
      </c>
      <c r="BP79" s="15">
        <v>0</v>
      </c>
      <c r="BQ79" s="17">
        <v>0</v>
      </c>
      <c r="BR79" s="105">
        <v>683</v>
      </c>
      <c r="BS79" s="128">
        <v>3</v>
      </c>
      <c r="BT79" s="138">
        <v>5</v>
      </c>
      <c r="BU79" s="105">
        <v>409</v>
      </c>
      <c r="BV79" s="128">
        <v>1</v>
      </c>
      <c r="BW79" s="138">
        <v>5</v>
      </c>
      <c r="BX79" s="105">
        <v>47021</v>
      </c>
      <c r="BY79" s="139">
        <v>4032</v>
      </c>
      <c r="BZ79" s="150">
        <v>4440</v>
      </c>
      <c r="CA79" s="105">
        <v>12</v>
      </c>
      <c r="CB79" s="15">
        <v>0</v>
      </c>
      <c r="CC79" s="17">
        <v>0</v>
      </c>
      <c r="CD79" s="105">
        <v>24</v>
      </c>
      <c r="CE79" s="15">
        <v>0</v>
      </c>
      <c r="CF79" s="17">
        <v>0</v>
      </c>
      <c r="CG79" s="105">
        <v>111</v>
      </c>
      <c r="CH79" s="15">
        <v>0</v>
      </c>
      <c r="CI79" s="138">
        <v>1</v>
      </c>
      <c r="CJ79" s="105">
        <v>28</v>
      </c>
      <c r="CK79" s="15">
        <v>0</v>
      </c>
      <c r="CL79" s="17">
        <v>0</v>
      </c>
      <c r="CM79" s="105">
        <v>49</v>
      </c>
      <c r="CN79" s="15">
        <v>0</v>
      </c>
      <c r="CO79" s="138">
        <v>1</v>
      </c>
      <c r="CP79" s="105">
        <v>484</v>
      </c>
      <c r="CQ79" s="128">
        <v>4</v>
      </c>
      <c r="CR79" s="17">
        <v>0</v>
      </c>
      <c r="CS79" s="105">
        <v>67</v>
      </c>
      <c r="CT79" s="15">
        <v>0</v>
      </c>
      <c r="CU79" s="138">
        <v>1</v>
      </c>
      <c r="CV79" s="105">
        <v>64</v>
      </c>
      <c r="CW79" s="15">
        <v>0</v>
      </c>
      <c r="CX79" s="138">
        <v>2</v>
      </c>
      <c r="CY79" s="105">
        <v>66</v>
      </c>
      <c r="CZ79" s="128">
        <v>1</v>
      </c>
      <c r="DA79" s="138">
        <v>1</v>
      </c>
      <c r="DB79" s="105">
        <v>12</v>
      </c>
      <c r="DC79" s="15">
        <v>0</v>
      </c>
      <c r="DD79" s="17">
        <v>0</v>
      </c>
      <c r="DE79" s="105">
        <v>14</v>
      </c>
      <c r="DF79" s="15">
        <v>0</v>
      </c>
      <c r="DG79" s="17">
        <v>0</v>
      </c>
      <c r="DH79" s="105">
        <v>1914</v>
      </c>
      <c r="DI79" s="128">
        <v>7</v>
      </c>
      <c r="DJ79" s="138">
        <v>1</v>
      </c>
      <c r="DK79" s="105">
        <v>3003</v>
      </c>
      <c r="DL79" s="128">
        <v>106</v>
      </c>
      <c r="DM79" s="138">
        <v>2</v>
      </c>
      <c r="DN79" s="105">
        <v>425</v>
      </c>
      <c r="DO79" s="128">
        <v>5</v>
      </c>
      <c r="DP79" s="138">
        <v>1</v>
      </c>
      <c r="DQ79" s="105">
        <v>1020</v>
      </c>
      <c r="DR79" s="128">
        <v>6</v>
      </c>
      <c r="DS79" s="138">
        <v>5</v>
      </c>
      <c r="DT79" s="105">
        <v>833</v>
      </c>
      <c r="DU79" s="15">
        <v>0</v>
      </c>
      <c r="DV79" s="138">
        <v>4</v>
      </c>
      <c r="DW79" s="105">
        <v>4014</v>
      </c>
      <c r="DX79" s="128">
        <v>178</v>
      </c>
      <c r="DY79" s="150">
        <v>65</v>
      </c>
      <c r="DZ79" s="105">
        <v>308</v>
      </c>
      <c r="EA79" s="15">
        <v>0</v>
      </c>
      <c r="EB79" s="138">
        <v>25</v>
      </c>
      <c r="EC79" s="105">
        <v>253</v>
      </c>
      <c r="ED79" s="15">
        <v>0</v>
      </c>
      <c r="EE79" s="150">
        <v>9</v>
      </c>
      <c r="EF79" s="105">
        <v>144</v>
      </c>
      <c r="EG79" s="128">
        <v>14</v>
      </c>
      <c r="EH79" s="138">
        <v>4</v>
      </c>
      <c r="EI79" s="87">
        <v>128</v>
      </c>
      <c r="EJ79" s="128">
        <v>1</v>
      </c>
      <c r="EK79" s="17">
        <v>0</v>
      </c>
      <c r="EL79" s="87">
        <v>137</v>
      </c>
      <c r="EM79" s="15">
        <v>0</v>
      </c>
      <c r="EN79" s="17">
        <v>0</v>
      </c>
      <c r="EO79" s="87">
        <v>341</v>
      </c>
      <c r="EP79" s="128">
        <v>1</v>
      </c>
      <c r="EQ79" s="17">
        <v>0</v>
      </c>
      <c r="ER79" s="105">
        <v>1639</v>
      </c>
      <c r="ES79" s="128">
        <v>16</v>
      </c>
      <c r="ET79" s="138">
        <v>16</v>
      </c>
      <c r="EU79" s="87">
        <f>SuisseSwitzerland!B79</f>
        <v>6407</v>
      </c>
      <c r="EV79" s="128">
        <f>SuisseSwitzerland!C79</f>
        <v>72</v>
      </c>
      <c r="EW79" s="138">
        <f>SuisseSwitzerland!D79</f>
        <v>100</v>
      </c>
      <c r="EX79" s="105">
        <v>29</v>
      </c>
      <c r="EY79" s="128">
        <v>3</v>
      </c>
      <c r="EZ79" s="17">
        <v>0</v>
      </c>
      <c r="FA79" s="105">
        <v>1</v>
      </c>
      <c r="FB79" s="15">
        <v>0</v>
      </c>
      <c r="FC79" s="17">
        <v>0</v>
      </c>
      <c r="FD79" s="151" t="s">
        <v>398</v>
      </c>
      <c r="FE79" s="127"/>
    </row>
    <row r="80" spans="1:161" ht="38.25">
      <c r="A80" s="93">
        <v>43911</v>
      </c>
      <c r="B80" s="14">
        <f t="shared" ref="B80:D80" si="150">SUM(J80,M80,P80,S80,V80,Y80,AB80,AE80,AH80,AK80,AN80,AQ80,AT80,AW80,AZ80,BC80,BF80,BI80,BL80,CA80,CD80,BO80,BR80,BU80,BX80,CG80,CJ80,CM80,CP80,CS80,CV80,DH80,CY80,DB80,DE80,DK80,DN80,DQ80,DT80,DW80,DZ80,EC80,EF80,EI80,EL80,EO80,ER80,EU80,EX80,FA80)</f>
        <v>151375</v>
      </c>
      <c r="C80" s="34">
        <f t="shared" si="150"/>
        <v>7485</v>
      </c>
      <c r="D80" s="73">
        <f t="shared" si="150"/>
        <v>10859</v>
      </c>
      <c r="E80" s="176">
        <f t="shared" si="1"/>
        <v>133031</v>
      </c>
      <c r="F80" s="152">
        <f t="shared" ref="F80:H80" si="151">SUM(P80,S80,V80,AE80,AH80,AK80,AN80,AQ80,AT80,AW80,AZ80,BF80,BL80,BR80,BX80,CG80,CM80,CP80,CV80,DK80,DN80,DQ80,DT80,DZ80,EL80,EO80,ER80)</f>
        <v>135363</v>
      </c>
      <c r="G80" s="148">
        <f t="shared" si="151"/>
        <v>7143</v>
      </c>
      <c r="H80" s="149">
        <f t="shared" si="151"/>
        <v>10621</v>
      </c>
      <c r="I80" s="153">
        <f t="shared" si="3"/>
        <v>117599</v>
      </c>
      <c r="J80" s="105">
        <v>88</v>
      </c>
      <c r="K80" s="15">
        <v>0</v>
      </c>
      <c r="L80" s="138">
        <v>1</v>
      </c>
      <c r="M80" s="105">
        <v>76</v>
      </c>
      <c r="N80" s="128">
        <v>2</v>
      </c>
      <c r="O80" s="138">
        <v>2</v>
      </c>
      <c r="P80" s="105">
        <v>22213</v>
      </c>
      <c r="Q80" s="139">
        <v>84</v>
      </c>
      <c r="R80" s="150">
        <v>233</v>
      </c>
      <c r="S80" s="105">
        <v>2814</v>
      </c>
      <c r="T80" s="128">
        <v>8</v>
      </c>
      <c r="U80" s="138">
        <v>9</v>
      </c>
      <c r="V80" s="105">
        <v>2815</v>
      </c>
      <c r="W80" s="128">
        <v>67</v>
      </c>
      <c r="X80" s="150">
        <v>263</v>
      </c>
      <c r="Y80" s="105">
        <v>76</v>
      </c>
      <c r="Z80" s="15">
        <v>0</v>
      </c>
      <c r="AA80" s="138">
        <v>15</v>
      </c>
      <c r="AB80" s="105">
        <v>93</v>
      </c>
      <c r="AC80" s="128">
        <v>1</v>
      </c>
      <c r="AD80" s="138">
        <v>2</v>
      </c>
      <c r="AE80" s="105">
        <v>163</v>
      </c>
      <c r="AF80" s="128">
        <v>3</v>
      </c>
      <c r="AG80" s="138">
        <v>3</v>
      </c>
      <c r="AH80" s="105">
        <v>84</v>
      </c>
      <c r="AI80" s="15">
        <v>0</v>
      </c>
      <c r="AJ80" s="17">
        <v>0</v>
      </c>
      <c r="AK80" s="105">
        <v>206</v>
      </c>
      <c r="AL80" s="128">
        <v>1</v>
      </c>
      <c r="AM80" s="138">
        <v>5</v>
      </c>
      <c r="AN80" s="105">
        <v>1420</v>
      </c>
      <c r="AO80" s="128">
        <v>13</v>
      </c>
      <c r="AP80" s="138">
        <v>1</v>
      </c>
      <c r="AQ80" s="105">
        <v>25374</v>
      </c>
      <c r="AR80" s="128">
        <v>1375</v>
      </c>
      <c r="AS80" s="150">
        <v>2125</v>
      </c>
      <c r="AT80" s="105">
        <v>306</v>
      </c>
      <c r="AU80" s="15">
        <v>0</v>
      </c>
      <c r="AV80" s="138">
        <v>1</v>
      </c>
      <c r="AW80" s="105">
        <v>523</v>
      </c>
      <c r="AX80" s="128">
        <v>1</v>
      </c>
      <c r="AY80" s="150">
        <v>10</v>
      </c>
      <c r="AZ80" s="105">
        <v>14459</v>
      </c>
      <c r="BA80" s="139">
        <v>562</v>
      </c>
      <c r="BB80" s="150">
        <v>1811</v>
      </c>
      <c r="BC80" s="105">
        <v>1</v>
      </c>
      <c r="BD80" s="15">
        <v>0</v>
      </c>
      <c r="BE80" s="17">
        <v>0</v>
      </c>
      <c r="BF80" s="105">
        <v>530</v>
      </c>
      <c r="BG80" s="128">
        <v>13</v>
      </c>
      <c r="BH80" s="138">
        <v>19</v>
      </c>
      <c r="BI80" s="105">
        <v>1</v>
      </c>
      <c r="BJ80" s="15">
        <v>0</v>
      </c>
      <c r="BK80" s="17">
        <v>0</v>
      </c>
      <c r="BL80" s="105">
        <v>103</v>
      </c>
      <c r="BM80" s="128">
        <v>4</v>
      </c>
      <c r="BN80" s="138">
        <v>7</v>
      </c>
      <c r="BO80" s="105">
        <v>92</v>
      </c>
      <c r="BP80" s="15">
        <v>0</v>
      </c>
      <c r="BQ80" s="17">
        <v>0</v>
      </c>
      <c r="BR80" s="105">
        <v>683</v>
      </c>
      <c r="BS80" s="128">
        <v>3</v>
      </c>
      <c r="BT80" s="138">
        <v>5</v>
      </c>
      <c r="BU80" s="105">
        <v>473</v>
      </c>
      <c r="BV80" s="128">
        <v>1</v>
      </c>
      <c r="BW80" s="138">
        <v>22</v>
      </c>
      <c r="BX80" s="105">
        <v>53578</v>
      </c>
      <c r="BY80" s="139">
        <v>4825</v>
      </c>
      <c r="BZ80" s="150">
        <v>6072</v>
      </c>
      <c r="CA80" s="105">
        <v>12</v>
      </c>
      <c r="CB80" s="15">
        <v>0</v>
      </c>
      <c r="CC80" s="17">
        <v>0</v>
      </c>
      <c r="CD80" s="105">
        <v>24</v>
      </c>
      <c r="CE80" s="15">
        <v>0</v>
      </c>
      <c r="CF80" s="17">
        <v>0</v>
      </c>
      <c r="CG80" s="105">
        <v>124</v>
      </c>
      <c r="CH80" s="15">
        <v>0</v>
      </c>
      <c r="CI80" s="138">
        <v>1</v>
      </c>
      <c r="CJ80" s="105">
        <v>37</v>
      </c>
      <c r="CK80" s="15">
        <v>0</v>
      </c>
      <c r="CL80" s="17">
        <v>0</v>
      </c>
      <c r="CM80" s="105">
        <v>83</v>
      </c>
      <c r="CN80" s="128">
        <v>1</v>
      </c>
      <c r="CO80" s="138">
        <v>1</v>
      </c>
      <c r="CP80" s="105">
        <v>670</v>
      </c>
      <c r="CQ80" s="128">
        <v>8</v>
      </c>
      <c r="CR80" s="17">
        <v>0</v>
      </c>
      <c r="CS80" s="105">
        <v>85</v>
      </c>
      <c r="CT80" s="15">
        <v>0</v>
      </c>
      <c r="CU80" s="138">
        <v>1</v>
      </c>
      <c r="CV80" s="105">
        <v>73</v>
      </c>
      <c r="CW80" s="15">
        <v>0</v>
      </c>
      <c r="CX80" s="138">
        <v>2</v>
      </c>
      <c r="CY80" s="105">
        <v>80</v>
      </c>
      <c r="CZ80" s="128">
        <v>1</v>
      </c>
      <c r="DA80" s="138">
        <v>1</v>
      </c>
      <c r="DB80" s="105">
        <v>18</v>
      </c>
      <c r="DC80" s="15">
        <v>0</v>
      </c>
      <c r="DD80" s="17">
        <v>0</v>
      </c>
      <c r="DE80" s="105">
        <v>14</v>
      </c>
      <c r="DF80" s="15">
        <v>0</v>
      </c>
      <c r="DG80" s="17">
        <v>0</v>
      </c>
      <c r="DH80" s="105">
        <v>2118</v>
      </c>
      <c r="DI80" s="128">
        <v>7</v>
      </c>
      <c r="DJ80" s="138">
        <v>1</v>
      </c>
      <c r="DK80" s="105">
        <v>3640</v>
      </c>
      <c r="DL80" s="128">
        <v>137</v>
      </c>
      <c r="DM80" s="138">
        <v>2</v>
      </c>
      <c r="DN80" s="105">
        <v>536</v>
      </c>
      <c r="DO80" s="128">
        <v>5</v>
      </c>
      <c r="DP80" s="138">
        <v>1</v>
      </c>
      <c r="DQ80" s="105">
        <v>1280</v>
      </c>
      <c r="DR80" s="128">
        <v>12</v>
      </c>
      <c r="DS80" s="138">
        <v>5</v>
      </c>
      <c r="DT80" s="105">
        <v>995</v>
      </c>
      <c r="DU80" s="15">
        <v>0</v>
      </c>
      <c r="DV80" s="138">
        <v>4</v>
      </c>
      <c r="DW80" s="105">
        <v>5067</v>
      </c>
      <c r="DX80" s="128">
        <v>234</v>
      </c>
      <c r="DY80" s="150">
        <v>65</v>
      </c>
      <c r="DZ80" s="105">
        <v>367</v>
      </c>
      <c r="EA80" s="15">
        <v>0</v>
      </c>
      <c r="EB80" s="138">
        <v>25</v>
      </c>
      <c r="EC80" s="105">
        <v>306</v>
      </c>
      <c r="ED80" s="15">
        <v>0</v>
      </c>
      <c r="EE80" s="150">
        <v>12</v>
      </c>
      <c r="EF80" s="105">
        <v>144</v>
      </c>
      <c r="EG80" s="128">
        <v>20</v>
      </c>
      <c r="EH80" s="138">
        <v>4</v>
      </c>
      <c r="EI80" s="87">
        <v>171</v>
      </c>
      <c r="EJ80" s="128">
        <v>1</v>
      </c>
      <c r="EK80" s="17">
        <v>0</v>
      </c>
      <c r="EL80" s="87">
        <v>178</v>
      </c>
      <c r="EM80" s="15">
        <v>0</v>
      </c>
      <c r="EN80" s="17">
        <v>0</v>
      </c>
      <c r="EO80" s="87">
        <v>383</v>
      </c>
      <c r="EP80" s="128">
        <v>1</v>
      </c>
      <c r="EQ80" s="17">
        <v>0</v>
      </c>
      <c r="ER80" s="105">
        <v>1763</v>
      </c>
      <c r="ES80" s="128">
        <v>20</v>
      </c>
      <c r="ET80" s="138">
        <v>16</v>
      </c>
      <c r="EU80" s="87">
        <f>SuisseSwitzerland!B80</f>
        <v>6988</v>
      </c>
      <c r="EV80" s="128">
        <f>SuisseSwitzerland!C80</f>
        <v>72</v>
      </c>
      <c r="EW80" s="138">
        <f>SuisseSwitzerland!D80</f>
        <v>111</v>
      </c>
      <c r="EX80" s="105">
        <v>47</v>
      </c>
      <c r="EY80" s="128">
        <v>3</v>
      </c>
      <c r="EZ80" s="138">
        <v>1</v>
      </c>
      <c r="FA80" s="105">
        <v>1</v>
      </c>
      <c r="FB80" s="15">
        <v>0</v>
      </c>
      <c r="FC80" s="17">
        <v>0</v>
      </c>
      <c r="FD80" s="151" t="s">
        <v>400</v>
      </c>
      <c r="FE80" s="127" t="s">
        <v>401</v>
      </c>
    </row>
    <row r="81" spans="1:161" ht="102">
      <c r="A81" s="93">
        <v>43912</v>
      </c>
      <c r="B81" s="14">
        <f t="shared" ref="B81:D81" si="152">SUM(J81,M81,P81,S81,V81,Y81,AB81,AE81,AH81,AK81,AN81,AQ81,AT81,AW81,AZ81,BC81,BF81,BI81,BL81,CA81,CD81,BO81,BR81,BU81,BX81,CG81,CJ81,CM81,CP81,CS81,CV81,DH81,CY81,DB81,DE81,DK81,DN81,DQ81,DT81,DW81,DZ81,EC81,EF81,EI81,EL81,EO81,ER81,EU81,EX81,FA81)</f>
        <v>169912</v>
      </c>
      <c r="C81" s="34">
        <f t="shared" si="152"/>
        <v>8812</v>
      </c>
      <c r="D81" s="73">
        <f t="shared" si="152"/>
        <v>12838</v>
      </c>
      <c r="E81" s="176">
        <f t="shared" si="1"/>
        <v>148262</v>
      </c>
      <c r="F81" s="152">
        <f t="shared" ref="F81:H81" si="153">SUM(P81,S81,V81,AE81,AH81,AK81,AN81,AQ81,AT81,AW81,AZ81,BF81,BL81,BR81,BX81,CG81,CM81,CP81,CV81,DK81,DN81,DQ81,DT81,DZ81,EL81,EO81,ER81)</f>
        <v>151559</v>
      </c>
      <c r="G81" s="148">
        <f t="shared" si="153"/>
        <v>8385</v>
      </c>
      <c r="H81" s="149">
        <f t="shared" si="153"/>
        <v>12502</v>
      </c>
      <c r="I81" s="153">
        <f t="shared" si="3"/>
        <v>130672</v>
      </c>
      <c r="J81" s="105">
        <v>113</v>
      </c>
      <c r="K81" s="128">
        <v>1</v>
      </c>
      <c r="L81" s="138">
        <v>1</v>
      </c>
      <c r="M81" s="105">
        <v>89</v>
      </c>
      <c r="N81" s="128">
        <v>2</v>
      </c>
      <c r="O81" s="138">
        <v>2</v>
      </c>
      <c r="P81" s="105">
        <v>23974</v>
      </c>
      <c r="Q81" s="139">
        <v>92</v>
      </c>
      <c r="R81" s="150">
        <v>266</v>
      </c>
      <c r="S81" s="105">
        <v>3244</v>
      </c>
      <c r="T81" s="128">
        <v>16</v>
      </c>
      <c r="U81" s="138">
        <v>9</v>
      </c>
      <c r="V81" s="105">
        <v>3401</v>
      </c>
      <c r="W81" s="128">
        <v>75</v>
      </c>
      <c r="X81" s="150">
        <v>263</v>
      </c>
      <c r="Y81" s="105">
        <v>76</v>
      </c>
      <c r="Z81" s="15">
        <v>0</v>
      </c>
      <c r="AA81" s="138">
        <v>15</v>
      </c>
      <c r="AB81" s="105">
        <v>126</v>
      </c>
      <c r="AC81" s="128">
        <v>1</v>
      </c>
      <c r="AD81" s="138">
        <v>2</v>
      </c>
      <c r="AE81" s="105">
        <v>187</v>
      </c>
      <c r="AF81" s="128">
        <v>3</v>
      </c>
      <c r="AG81" s="138">
        <v>3</v>
      </c>
      <c r="AH81" s="105">
        <v>95</v>
      </c>
      <c r="AI81" s="128">
        <v>1</v>
      </c>
      <c r="AJ81" s="17">
        <v>0</v>
      </c>
      <c r="AK81" s="105">
        <v>254</v>
      </c>
      <c r="AL81" s="128">
        <v>1</v>
      </c>
      <c r="AM81" s="138">
        <v>5</v>
      </c>
      <c r="AN81" s="105">
        <v>1514</v>
      </c>
      <c r="AO81" s="128">
        <v>13</v>
      </c>
      <c r="AP81" s="138">
        <v>1</v>
      </c>
      <c r="AQ81" s="105">
        <v>28768</v>
      </c>
      <c r="AR81" s="128">
        <v>1772</v>
      </c>
      <c r="AS81" s="150">
        <v>2575</v>
      </c>
      <c r="AT81" s="105">
        <v>326</v>
      </c>
      <c r="AU81" s="15">
        <v>0</v>
      </c>
      <c r="AV81" s="138">
        <v>2</v>
      </c>
      <c r="AW81" s="105">
        <v>626</v>
      </c>
      <c r="AX81" s="128">
        <v>1</v>
      </c>
      <c r="AY81" s="150">
        <v>10</v>
      </c>
      <c r="AZ81" s="105">
        <v>16689</v>
      </c>
      <c r="BA81" s="139">
        <v>674</v>
      </c>
      <c r="BB81" s="150">
        <v>2200</v>
      </c>
      <c r="BC81" s="105">
        <v>1</v>
      </c>
      <c r="BD81" s="15">
        <v>0</v>
      </c>
      <c r="BE81" s="17">
        <v>0</v>
      </c>
      <c r="BF81" s="105">
        <v>624</v>
      </c>
      <c r="BG81" s="128">
        <v>15</v>
      </c>
      <c r="BH81" s="138">
        <v>19</v>
      </c>
      <c r="BI81" s="105">
        <v>17</v>
      </c>
      <c r="BJ81" s="15">
        <v>0</v>
      </c>
      <c r="BK81" s="17">
        <v>0</v>
      </c>
      <c r="BL81" s="105">
        <v>131</v>
      </c>
      <c r="BM81" s="128">
        <v>6</v>
      </c>
      <c r="BN81" s="138">
        <v>16</v>
      </c>
      <c r="BO81" s="105">
        <v>115</v>
      </c>
      <c r="BP81" s="15">
        <v>0</v>
      </c>
      <c r="BQ81" s="17">
        <v>0</v>
      </c>
      <c r="BR81" s="105">
        <v>906</v>
      </c>
      <c r="BS81" s="128">
        <v>4</v>
      </c>
      <c r="BT81" s="138">
        <v>5</v>
      </c>
      <c r="BU81" s="105">
        <v>568</v>
      </c>
      <c r="BV81" s="128">
        <v>1</v>
      </c>
      <c r="BW81" s="138">
        <v>36</v>
      </c>
      <c r="BX81" s="105">
        <v>59138</v>
      </c>
      <c r="BY81" s="139">
        <v>5476</v>
      </c>
      <c r="BZ81" s="150">
        <v>7024</v>
      </c>
      <c r="CA81" s="105">
        <v>15</v>
      </c>
      <c r="CB81" s="15">
        <v>0</v>
      </c>
      <c r="CC81" s="17">
        <v>0</v>
      </c>
      <c r="CD81" s="105">
        <v>31</v>
      </c>
      <c r="CE81" s="128">
        <v>1</v>
      </c>
      <c r="CF81" s="17">
        <v>0</v>
      </c>
      <c r="CG81" s="105">
        <v>139</v>
      </c>
      <c r="CH81" s="15">
        <v>0</v>
      </c>
      <c r="CI81" s="138">
        <v>1</v>
      </c>
      <c r="CJ81" s="105">
        <v>37</v>
      </c>
      <c r="CK81" s="15">
        <v>0</v>
      </c>
      <c r="CL81" s="17">
        <v>0</v>
      </c>
      <c r="CM81" s="105">
        <v>131</v>
      </c>
      <c r="CN81" s="128">
        <v>1</v>
      </c>
      <c r="CO81" s="138">
        <v>1</v>
      </c>
      <c r="CP81" s="105">
        <v>798</v>
      </c>
      <c r="CQ81" s="128">
        <v>8</v>
      </c>
      <c r="CR81" s="138">
        <v>6</v>
      </c>
      <c r="CS81" s="105">
        <v>114</v>
      </c>
      <c r="CT81" s="128">
        <v>1</v>
      </c>
      <c r="CU81" s="138">
        <v>1</v>
      </c>
      <c r="CV81" s="105">
        <v>90</v>
      </c>
      <c r="CW81" s="15">
        <v>0</v>
      </c>
      <c r="CX81" s="138">
        <v>2</v>
      </c>
      <c r="CY81" s="105">
        <v>94</v>
      </c>
      <c r="CZ81" s="128">
        <v>1</v>
      </c>
      <c r="DA81" s="138">
        <v>1</v>
      </c>
      <c r="DB81" s="105">
        <v>23</v>
      </c>
      <c r="DC81" s="15">
        <v>0</v>
      </c>
      <c r="DD81" s="138">
        <v>1</v>
      </c>
      <c r="DE81" s="105">
        <v>21</v>
      </c>
      <c r="DF81" s="15">
        <v>0</v>
      </c>
      <c r="DG81" s="17">
        <v>0</v>
      </c>
      <c r="DH81" s="105">
        <v>2383</v>
      </c>
      <c r="DI81" s="128">
        <v>7</v>
      </c>
      <c r="DJ81" s="138">
        <v>1</v>
      </c>
      <c r="DK81" s="105">
        <v>4204</v>
      </c>
      <c r="DL81" s="128">
        <v>179</v>
      </c>
      <c r="DM81" s="138">
        <v>2</v>
      </c>
      <c r="DN81" s="105">
        <v>634</v>
      </c>
      <c r="DO81" s="128">
        <v>7</v>
      </c>
      <c r="DP81" s="138">
        <v>1</v>
      </c>
      <c r="DQ81" s="105">
        <v>1600</v>
      </c>
      <c r="DR81" s="128">
        <v>14</v>
      </c>
      <c r="DS81" s="138">
        <v>5</v>
      </c>
      <c r="DT81" s="105">
        <v>1120</v>
      </c>
      <c r="DU81" s="128">
        <v>1</v>
      </c>
      <c r="DV81" s="138">
        <v>4</v>
      </c>
      <c r="DW81" s="105">
        <v>5683</v>
      </c>
      <c r="DX81" s="128">
        <v>281</v>
      </c>
      <c r="DY81" s="150">
        <v>65</v>
      </c>
      <c r="DZ81" s="105">
        <v>433</v>
      </c>
      <c r="EA81" s="128">
        <v>3</v>
      </c>
      <c r="EB81" s="138">
        <v>64</v>
      </c>
      <c r="EC81" s="105">
        <v>367</v>
      </c>
      <c r="ED81" s="15">
        <v>0</v>
      </c>
      <c r="EE81" s="150">
        <v>12</v>
      </c>
      <c r="EF81" s="105">
        <v>160</v>
      </c>
      <c r="EG81" s="128">
        <v>20</v>
      </c>
      <c r="EH81" s="138">
        <v>4</v>
      </c>
      <c r="EI81" s="87">
        <v>222</v>
      </c>
      <c r="EJ81" s="128">
        <v>1</v>
      </c>
      <c r="EK81" s="17">
        <v>0</v>
      </c>
      <c r="EL81" s="87">
        <v>185</v>
      </c>
      <c r="EM81" s="15">
        <v>0</v>
      </c>
      <c r="EN81" s="138">
        <v>2</v>
      </c>
      <c r="EO81" s="87">
        <v>414</v>
      </c>
      <c r="EP81" s="128">
        <v>2</v>
      </c>
      <c r="EQ81" s="17">
        <v>0</v>
      </c>
      <c r="ER81" s="105">
        <v>1934</v>
      </c>
      <c r="ES81" s="128">
        <v>21</v>
      </c>
      <c r="ET81" s="138">
        <v>16</v>
      </c>
      <c r="EU81" s="87">
        <f>SuisseSwitzerland!B81</f>
        <v>8024</v>
      </c>
      <c r="EV81" s="128">
        <f>SuisseSwitzerland!C81</f>
        <v>107</v>
      </c>
      <c r="EW81" s="138">
        <f>SuisseSwitzerland!D81</f>
        <v>194</v>
      </c>
      <c r="EX81" s="105">
        <v>73</v>
      </c>
      <c r="EY81" s="128">
        <v>3</v>
      </c>
      <c r="EZ81" s="138">
        <v>1</v>
      </c>
      <c r="FA81" s="105">
        <v>1</v>
      </c>
      <c r="FB81" s="15">
        <v>0</v>
      </c>
      <c r="FC81" s="17">
        <v>0</v>
      </c>
      <c r="FD81" s="151" t="s">
        <v>408</v>
      </c>
      <c r="FE81" s="218" t="s">
        <v>410</v>
      </c>
    </row>
    <row r="82" spans="1:161" ht="12.75">
      <c r="A82" s="93">
        <v>43913</v>
      </c>
      <c r="B82" s="14">
        <f t="shared" ref="B82:D82" si="154">SUM(J82,M82,P82,S82,V82,Y82,AB82,AE82,AH82,AK82,AN82,AQ82,AT82,AW82,AZ82,BC82,BF82,BI82,BL82,CA82,CD82,BO82,BR82,BU82,BX82,CG82,CJ82,CM82,CP82,CS82,CV82,DH82,CY82,DB82,DE82,DK82,DN82,DQ82,DT82,DW82,DZ82,EC82,EF82,EI82,EL82,EO82,ER82,EU82,EX82,FA82)</f>
        <v>193974</v>
      </c>
      <c r="C82" s="34">
        <f t="shared" si="154"/>
        <v>10244</v>
      </c>
      <c r="D82" s="73">
        <f t="shared" si="154"/>
        <v>14904</v>
      </c>
      <c r="E82" s="176">
        <f t="shared" si="1"/>
        <v>168826</v>
      </c>
      <c r="F82" s="152">
        <f t="shared" ref="F82:H82" si="155">SUM(P82,S82,V82,AE82,AH82,AK82,AN82,AQ82,AT82,AW82,AZ82,BF82,BL82,BR82,BX82,CG82,CM82,CP82,CV82,DK82,DN82,DQ82,DT82,DZ82,EL82,EO82,ER82)</f>
        <v>172788</v>
      </c>
      <c r="G82" s="148">
        <f t="shared" si="155"/>
        <v>9726</v>
      </c>
      <c r="H82" s="149">
        <f t="shared" si="155"/>
        <v>14419</v>
      </c>
      <c r="I82" s="153">
        <f t="shared" si="3"/>
        <v>148643</v>
      </c>
      <c r="J82" s="105">
        <v>133</v>
      </c>
      <c r="K82" s="128">
        <v>1</v>
      </c>
      <c r="L82" s="138">
        <v>1</v>
      </c>
      <c r="M82" s="105">
        <v>104</v>
      </c>
      <c r="N82" s="128">
        <v>4</v>
      </c>
      <c r="O82" s="138">
        <v>2</v>
      </c>
      <c r="P82" s="105">
        <v>29056</v>
      </c>
      <c r="Q82" s="139">
        <v>123</v>
      </c>
      <c r="R82" s="150">
        <v>453</v>
      </c>
      <c r="S82" s="105">
        <v>4474</v>
      </c>
      <c r="T82" s="128">
        <v>21</v>
      </c>
      <c r="U82" s="138">
        <v>9</v>
      </c>
      <c r="V82" s="105">
        <v>3743</v>
      </c>
      <c r="W82" s="128">
        <v>88</v>
      </c>
      <c r="X82" s="150">
        <v>401</v>
      </c>
      <c r="Y82" s="105">
        <v>81</v>
      </c>
      <c r="Z82" s="15">
        <v>0</v>
      </c>
      <c r="AA82" s="138">
        <v>22</v>
      </c>
      <c r="AB82" s="105">
        <v>132</v>
      </c>
      <c r="AC82" s="128">
        <v>1</v>
      </c>
      <c r="AD82" s="138">
        <v>2</v>
      </c>
      <c r="AE82" s="105">
        <v>201</v>
      </c>
      <c r="AF82" s="128">
        <v>3</v>
      </c>
      <c r="AG82" s="138">
        <v>3</v>
      </c>
      <c r="AH82" s="105">
        <v>116</v>
      </c>
      <c r="AI82" s="128">
        <v>1</v>
      </c>
      <c r="AJ82" s="138">
        <v>3</v>
      </c>
      <c r="AK82" s="105">
        <v>315</v>
      </c>
      <c r="AL82" s="128">
        <v>1</v>
      </c>
      <c r="AM82" s="138">
        <v>5</v>
      </c>
      <c r="AN82" s="105">
        <v>1572</v>
      </c>
      <c r="AO82" s="128">
        <v>24</v>
      </c>
      <c r="AP82" s="138">
        <v>1</v>
      </c>
      <c r="AQ82" s="105">
        <v>33089</v>
      </c>
      <c r="AR82" s="128">
        <v>2207</v>
      </c>
      <c r="AS82" s="150">
        <v>3355</v>
      </c>
      <c r="AT82" s="105">
        <v>352</v>
      </c>
      <c r="AU82" s="15">
        <v>0</v>
      </c>
      <c r="AV82" s="138">
        <v>4</v>
      </c>
      <c r="AW82" s="105">
        <v>700</v>
      </c>
      <c r="AX82" s="128">
        <v>1</v>
      </c>
      <c r="AY82" s="150">
        <v>10</v>
      </c>
      <c r="AZ82" s="105">
        <v>19856</v>
      </c>
      <c r="BA82" s="139">
        <v>860</v>
      </c>
      <c r="BB82" s="150">
        <v>2567</v>
      </c>
      <c r="BC82" s="105">
        <v>1</v>
      </c>
      <c r="BD82" s="15">
        <v>0</v>
      </c>
      <c r="BE82" s="17">
        <v>0</v>
      </c>
      <c r="BF82" s="105">
        <v>695</v>
      </c>
      <c r="BG82" s="128">
        <v>17</v>
      </c>
      <c r="BH82" s="138">
        <v>29</v>
      </c>
      <c r="BI82" s="105">
        <v>20</v>
      </c>
      <c r="BJ82" s="15">
        <v>0</v>
      </c>
      <c r="BK82" s="17">
        <v>0</v>
      </c>
      <c r="BL82" s="105">
        <v>167</v>
      </c>
      <c r="BM82" s="128">
        <v>7</v>
      </c>
      <c r="BN82" s="138">
        <v>16</v>
      </c>
      <c r="BO82" s="105">
        <v>118</v>
      </c>
      <c r="BP82" s="15">
        <v>0</v>
      </c>
      <c r="BQ82" s="17">
        <v>0</v>
      </c>
      <c r="BR82" s="105">
        <v>1125</v>
      </c>
      <c r="BS82" s="128">
        <v>6</v>
      </c>
      <c r="BT82" s="138">
        <v>5</v>
      </c>
      <c r="BU82" s="105">
        <v>588</v>
      </c>
      <c r="BV82" s="128">
        <v>1</v>
      </c>
      <c r="BW82" s="138">
        <v>51</v>
      </c>
      <c r="BX82" s="105">
        <v>63927</v>
      </c>
      <c r="BY82" s="139">
        <v>6077</v>
      </c>
      <c r="BZ82" s="150">
        <v>7432</v>
      </c>
      <c r="CA82" s="105">
        <v>16</v>
      </c>
      <c r="CB82" s="15">
        <v>0</v>
      </c>
      <c r="CC82" s="17">
        <v>0</v>
      </c>
      <c r="CD82" s="105">
        <v>61</v>
      </c>
      <c r="CE82" s="128">
        <v>1</v>
      </c>
      <c r="CF82" s="17">
        <v>0</v>
      </c>
      <c r="CG82" s="105">
        <v>180</v>
      </c>
      <c r="CH82" s="15">
        <v>0</v>
      </c>
      <c r="CI82" s="138">
        <v>1</v>
      </c>
      <c r="CJ82" s="105">
        <v>51</v>
      </c>
      <c r="CK82" s="15">
        <v>0</v>
      </c>
      <c r="CL82" s="17">
        <v>0</v>
      </c>
      <c r="CM82" s="105">
        <v>179</v>
      </c>
      <c r="CN82" s="128">
        <v>1</v>
      </c>
      <c r="CO82" s="138">
        <v>1</v>
      </c>
      <c r="CP82" s="105">
        <v>875</v>
      </c>
      <c r="CQ82" s="128">
        <v>8</v>
      </c>
      <c r="CR82" s="138">
        <v>6</v>
      </c>
      <c r="CS82" s="105">
        <v>136</v>
      </c>
      <c r="CT82" s="128">
        <v>2</v>
      </c>
      <c r="CU82" s="138">
        <v>1</v>
      </c>
      <c r="CV82" s="105">
        <v>107</v>
      </c>
      <c r="CW82" s="15">
        <v>0</v>
      </c>
      <c r="CX82" s="138">
        <v>2</v>
      </c>
      <c r="CY82" s="105">
        <v>109</v>
      </c>
      <c r="CZ82" s="128">
        <v>1</v>
      </c>
      <c r="DA82" s="138">
        <v>2</v>
      </c>
      <c r="DB82" s="105">
        <v>23</v>
      </c>
      <c r="DC82" s="15">
        <v>0</v>
      </c>
      <c r="DD82" s="138">
        <v>1</v>
      </c>
      <c r="DE82" s="105">
        <v>22</v>
      </c>
      <c r="DF82" s="15">
        <v>0</v>
      </c>
      <c r="DG82" s="17">
        <v>0</v>
      </c>
      <c r="DH82" s="105">
        <v>2621</v>
      </c>
      <c r="DI82" s="128">
        <v>10</v>
      </c>
      <c r="DJ82" s="138">
        <v>6</v>
      </c>
      <c r="DK82" s="105">
        <v>4764</v>
      </c>
      <c r="DL82" s="128">
        <v>214</v>
      </c>
      <c r="DM82" s="138">
        <v>3</v>
      </c>
      <c r="DN82" s="105">
        <v>749</v>
      </c>
      <c r="DO82" s="128">
        <v>8</v>
      </c>
      <c r="DP82" s="138">
        <v>1</v>
      </c>
      <c r="DQ82" s="105">
        <v>2060</v>
      </c>
      <c r="DR82" s="128">
        <v>23</v>
      </c>
      <c r="DS82" s="138">
        <v>14</v>
      </c>
      <c r="DT82" s="105">
        <v>1236</v>
      </c>
      <c r="DU82" s="128">
        <v>1</v>
      </c>
      <c r="DV82" s="138">
        <v>7</v>
      </c>
      <c r="DW82" s="105">
        <v>6726</v>
      </c>
      <c r="DX82" s="128">
        <v>336</v>
      </c>
      <c r="DY82" s="150">
        <v>140</v>
      </c>
      <c r="DZ82" s="105">
        <v>576</v>
      </c>
      <c r="EA82" s="128">
        <v>7</v>
      </c>
      <c r="EB82" s="138">
        <v>73</v>
      </c>
      <c r="EC82" s="105">
        <v>438</v>
      </c>
      <c r="ED82" s="15">
        <v>0</v>
      </c>
      <c r="EE82" s="150">
        <v>17</v>
      </c>
      <c r="EF82" s="105">
        <v>187</v>
      </c>
      <c r="EG82" s="128">
        <v>20</v>
      </c>
      <c r="EH82" s="138">
        <v>4</v>
      </c>
      <c r="EI82" s="87">
        <v>249</v>
      </c>
      <c r="EJ82" s="128">
        <v>1</v>
      </c>
      <c r="EK82" s="17">
        <v>0</v>
      </c>
      <c r="EL82" s="87">
        <v>186</v>
      </c>
      <c r="EM82" s="15">
        <v>0</v>
      </c>
      <c r="EN82" s="138">
        <v>2</v>
      </c>
      <c r="EO82" s="87">
        <v>442</v>
      </c>
      <c r="EP82" s="128">
        <v>3</v>
      </c>
      <c r="EQ82" s="17">
        <v>0</v>
      </c>
      <c r="ER82" s="105">
        <v>2046</v>
      </c>
      <c r="ES82" s="128">
        <v>25</v>
      </c>
      <c r="ET82" s="138">
        <v>16</v>
      </c>
      <c r="EU82" s="87">
        <f>SuisseSwitzerland!B82</f>
        <v>9296</v>
      </c>
      <c r="EV82" s="128">
        <f>SuisseSwitzerland!C82</f>
        <v>137</v>
      </c>
      <c r="EW82" s="138">
        <f>SuisseSwitzerland!D82</f>
        <v>235</v>
      </c>
      <c r="EX82" s="105">
        <v>73</v>
      </c>
      <c r="EY82" s="128">
        <v>3</v>
      </c>
      <c r="EZ82" s="138">
        <v>1</v>
      </c>
      <c r="FA82" s="105">
        <v>1</v>
      </c>
      <c r="FB82" s="15">
        <v>0</v>
      </c>
      <c r="FC82" s="17">
        <v>0</v>
      </c>
      <c r="FD82" s="137"/>
      <c r="FE82" s="218"/>
    </row>
    <row r="83" spans="1:161" ht="25.5">
      <c r="A83" s="93">
        <v>43914</v>
      </c>
      <c r="B83" s="14">
        <f t="shared" ref="B83:D83" si="156">SUM(J83,M83,P83,S83,V83,Y83,AB83,AE83,AH83,AK83,AN83,AQ83,AT83,AW83,AZ83,BC83,BF83,BI83,BL83,CA83,CD83,BO83,BR83,BU83,BX83,CG83,CJ83,CM83,CP83,CS83,CV83,DH83,CY83,DB83,DE83,DK83,DN83,DQ83,DT83,DW83,DZ83,EC83,EF83,EI83,EL83,EO83,ER83,EU83,EX83,FA83)</f>
        <v>219554</v>
      </c>
      <c r="C83" s="34">
        <f t="shared" si="156"/>
        <v>12129</v>
      </c>
      <c r="D83" s="73">
        <f t="shared" si="156"/>
        <v>19980</v>
      </c>
      <c r="E83" s="176">
        <f t="shared" si="1"/>
        <v>187445</v>
      </c>
      <c r="F83" s="152">
        <f t="shared" ref="F83:H83" si="157">SUM(P83,S83,V83,AE83,AH83,AK83,AN83,AQ83,AT83,AW83,AZ83,BF83,BL83,BR83,BX83,CG83,CM83,CP83,CV83,DK83,DN83,DQ83,DT83,DZ83,EL83,EO83,ER83)</f>
        <v>195330</v>
      </c>
      <c r="G83" s="148">
        <f t="shared" si="157"/>
        <v>11494</v>
      </c>
      <c r="H83" s="149">
        <f t="shared" si="157"/>
        <v>19342</v>
      </c>
      <c r="I83" s="153">
        <f t="shared" si="3"/>
        <v>164494</v>
      </c>
      <c r="J83" s="105">
        <v>164</v>
      </c>
      <c r="K83" s="128">
        <v>1</v>
      </c>
      <c r="L83" s="138">
        <v>1</v>
      </c>
      <c r="M83" s="105">
        <v>123</v>
      </c>
      <c r="N83" s="128">
        <v>5</v>
      </c>
      <c r="O83" s="138">
        <v>10</v>
      </c>
      <c r="P83" s="105">
        <v>32986</v>
      </c>
      <c r="Q83" s="139">
        <v>157</v>
      </c>
      <c r="R83" s="150">
        <v>3243</v>
      </c>
      <c r="S83" s="105">
        <v>5283</v>
      </c>
      <c r="T83" s="128">
        <v>28</v>
      </c>
      <c r="U83" s="138">
        <v>9</v>
      </c>
      <c r="V83" s="105">
        <v>4269</v>
      </c>
      <c r="W83" s="128">
        <v>122</v>
      </c>
      <c r="X83" s="150">
        <v>461</v>
      </c>
      <c r="Y83" s="105">
        <v>81</v>
      </c>
      <c r="Z83" s="15">
        <v>0</v>
      </c>
      <c r="AA83" s="138">
        <v>22</v>
      </c>
      <c r="AB83" s="105">
        <v>166</v>
      </c>
      <c r="AC83" s="128">
        <v>3</v>
      </c>
      <c r="AD83" s="138">
        <v>2</v>
      </c>
      <c r="AE83" s="105">
        <v>218</v>
      </c>
      <c r="AF83" s="128">
        <v>3</v>
      </c>
      <c r="AG83" s="138">
        <v>3</v>
      </c>
      <c r="AH83" s="105">
        <v>124</v>
      </c>
      <c r="AI83" s="128">
        <v>3</v>
      </c>
      <c r="AJ83" s="138">
        <v>3</v>
      </c>
      <c r="AK83" s="105">
        <v>382</v>
      </c>
      <c r="AL83" s="128">
        <v>1</v>
      </c>
      <c r="AM83" s="138">
        <v>5</v>
      </c>
      <c r="AN83" s="105">
        <v>1718</v>
      </c>
      <c r="AO83" s="128">
        <v>32</v>
      </c>
      <c r="AP83" s="138">
        <v>1</v>
      </c>
      <c r="AQ83" s="105">
        <v>39885</v>
      </c>
      <c r="AR83" s="128">
        <v>2808</v>
      </c>
      <c r="AS83" s="150">
        <v>3794</v>
      </c>
      <c r="AT83" s="105">
        <v>369</v>
      </c>
      <c r="AU83" s="15">
        <v>0</v>
      </c>
      <c r="AV83" s="138">
        <v>7</v>
      </c>
      <c r="AW83" s="105">
        <v>792</v>
      </c>
      <c r="AX83" s="128">
        <v>1</v>
      </c>
      <c r="AY83" s="150">
        <v>10</v>
      </c>
      <c r="AZ83" s="105">
        <v>22302</v>
      </c>
      <c r="BA83" s="139">
        <v>1100</v>
      </c>
      <c r="BB83" s="150">
        <v>3281</v>
      </c>
      <c r="BC83" s="105">
        <v>1</v>
      </c>
      <c r="BD83" s="15">
        <v>0</v>
      </c>
      <c r="BE83" s="17">
        <v>0</v>
      </c>
      <c r="BF83" s="105">
        <v>743</v>
      </c>
      <c r="BG83" s="128">
        <v>20</v>
      </c>
      <c r="BH83" s="138">
        <v>29</v>
      </c>
      <c r="BI83" s="105">
        <v>23</v>
      </c>
      <c r="BJ83" s="15">
        <v>0</v>
      </c>
      <c r="BK83" s="17">
        <v>0</v>
      </c>
      <c r="BL83" s="105">
        <v>187</v>
      </c>
      <c r="BM83" s="128">
        <v>9</v>
      </c>
      <c r="BN83" s="138">
        <v>21</v>
      </c>
      <c r="BO83" s="105">
        <v>122</v>
      </c>
      <c r="BP83" s="15">
        <v>0</v>
      </c>
      <c r="BQ83" s="17">
        <v>0</v>
      </c>
      <c r="BR83" s="105">
        <v>1329</v>
      </c>
      <c r="BS83" s="128">
        <v>7</v>
      </c>
      <c r="BT83" s="138">
        <v>5</v>
      </c>
      <c r="BU83" s="105">
        <v>648</v>
      </c>
      <c r="BV83" s="128">
        <v>2</v>
      </c>
      <c r="BW83" s="138">
        <v>51</v>
      </c>
      <c r="BX83" s="105">
        <v>69176</v>
      </c>
      <c r="BY83" s="139">
        <v>6820</v>
      </c>
      <c r="BZ83" s="150">
        <v>8326</v>
      </c>
      <c r="CA83" s="105">
        <v>16</v>
      </c>
      <c r="CB83" s="15">
        <v>0</v>
      </c>
      <c r="CC83" s="17">
        <v>0</v>
      </c>
      <c r="CD83" s="105">
        <v>63</v>
      </c>
      <c r="CE83" s="128">
        <v>1</v>
      </c>
      <c r="CF83" s="17">
        <v>0</v>
      </c>
      <c r="CG83" s="105">
        <v>197</v>
      </c>
      <c r="CH83" s="15">
        <v>0</v>
      </c>
      <c r="CI83" s="138">
        <v>1</v>
      </c>
      <c r="CJ83" s="105">
        <v>51</v>
      </c>
      <c r="CK83" s="15">
        <v>0</v>
      </c>
      <c r="CL83" s="17">
        <v>0</v>
      </c>
      <c r="CM83" s="105">
        <v>209</v>
      </c>
      <c r="CN83" s="128">
        <v>2</v>
      </c>
      <c r="CO83" s="138">
        <v>1</v>
      </c>
      <c r="CP83" s="105">
        <v>1099</v>
      </c>
      <c r="CQ83" s="128">
        <v>8</v>
      </c>
      <c r="CR83" s="138">
        <v>6</v>
      </c>
      <c r="CS83" s="105">
        <v>148</v>
      </c>
      <c r="CT83" s="128">
        <v>2</v>
      </c>
      <c r="CU83" s="138">
        <v>1</v>
      </c>
      <c r="CV83" s="105">
        <v>110</v>
      </c>
      <c r="CW83" s="15">
        <v>0</v>
      </c>
      <c r="CX83" s="138">
        <v>2</v>
      </c>
      <c r="CY83" s="105">
        <v>125</v>
      </c>
      <c r="CZ83" s="128">
        <v>1</v>
      </c>
      <c r="DA83" s="138">
        <v>2</v>
      </c>
      <c r="DB83" s="105">
        <v>27</v>
      </c>
      <c r="DC83" s="15">
        <v>0</v>
      </c>
      <c r="DD83" s="138">
        <v>1</v>
      </c>
      <c r="DE83" s="105">
        <v>29</v>
      </c>
      <c r="DF83" s="128">
        <v>1</v>
      </c>
      <c r="DG83" s="17">
        <v>0</v>
      </c>
      <c r="DH83" s="105">
        <v>2863</v>
      </c>
      <c r="DI83" s="128">
        <v>12</v>
      </c>
      <c r="DJ83" s="138">
        <v>6</v>
      </c>
      <c r="DK83" s="105">
        <v>5580</v>
      </c>
      <c r="DL83" s="128">
        <v>277</v>
      </c>
      <c r="DM83" s="138">
        <v>3</v>
      </c>
      <c r="DN83" s="105">
        <v>884</v>
      </c>
      <c r="DO83" s="128">
        <v>10</v>
      </c>
      <c r="DP83" s="138">
        <v>1</v>
      </c>
      <c r="DQ83" s="105">
        <v>2362</v>
      </c>
      <c r="DR83" s="128">
        <v>33</v>
      </c>
      <c r="DS83" s="138">
        <v>22</v>
      </c>
      <c r="DT83" s="105">
        <v>1394</v>
      </c>
      <c r="DU83" s="128">
        <v>2</v>
      </c>
      <c r="DV83" s="138">
        <v>8</v>
      </c>
      <c r="DW83" s="105">
        <v>8164</v>
      </c>
      <c r="DX83" s="128">
        <v>423</v>
      </c>
      <c r="DY83" s="150">
        <v>140</v>
      </c>
      <c r="DZ83" s="105">
        <v>762</v>
      </c>
      <c r="EA83" s="128">
        <v>11</v>
      </c>
      <c r="EB83" s="138">
        <v>79</v>
      </c>
      <c r="EC83" s="105">
        <v>495</v>
      </c>
      <c r="ED83" s="128">
        <v>1</v>
      </c>
      <c r="EE83" s="150">
        <v>17</v>
      </c>
      <c r="EF83" s="105">
        <v>187</v>
      </c>
      <c r="EG83" s="128">
        <v>21</v>
      </c>
      <c r="EH83" s="138">
        <v>4</v>
      </c>
      <c r="EI83" s="87">
        <v>303</v>
      </c>
      <c r="EJ83" s="128">
        <v>1</v>
      </c>
      <c r="EK83" s="17">
        <v>0</v>
      </c>
      <c r="EL83" s="87">
        <v>204</v>
      </c>
      <c r="EM83" s="15">
        <v>0</v>
      </c>
      <c r="EN83" s="138">
        <v>2</v>
      </c>
      <c r="EO83" s="87">
        <v>480</v>
      </c>
      <c r="EP83" s="128">
        <v>4</v>
      </c>
      <c r="EQ83" s="138">
        <v>3</v>
      </c>
      <c r="ER83" s="105">
        <v>2286</v>
      </c>
      <c r="ES83" s="128">
        <v>36</v>
      </c>
      <c r="ET83" s="138">
        <v>16</v>
      </c>
      <c r="EU83" s="87">
        <f>SuisseSwitzerland!B83</f>
        <v>10324</v>
      </c>
      <c r="EV83" s="128">
        <f>SuisseSwitzerland!C83</f>
        <v>158</v>
      </c>
      <c r="EW83" s="138">
        <f>SuisseSwitzerland!D83</f>
        <v>380</v>
      </c>
      <c r="EX83" s="105">
        <v>97</v>
      </c>
      <c r="EY83" s="128">
        <v>3</v>
      </c>
      <c r="EZ83" s="138">
        <v>1</v>
      </c>
      <c r="FA83" s="105">
        <v>4</v>
      </c>
      <c r="FB83" s="15">
        <v>0</v>
      </c>
      <c r="FC83" s="17">
        <v>0</v>
      </c>
      <c r="FD83" s="137" t="s">
        <v>432</v>
      </c>
      <c r="FE83" s="218" t="s">
        <v>433</v>
      </c>
    </row>
    <row r="84" spans="1:161" ht="12.75">
      <c r="A84" s="93">
        <v>43915</v>
      </c>
      <c r="B84" s="14">
        <f t="shared" ref="B84:D84" si="158">SUM(J84,M84,P84,S84,V84,Y84,AB84,AE84,AH84,AK84,AN84,AQ84,AT84,AW84,AZ84,BC84,BF84,BI84,BL84,CA84,CD84,BO84,BR84,BU84,BX84,CG84,CJ84,CM84,CP84,CS84,CV84,DH84,CY84,DB84,DE84,DK84,DN84,DQ84,DT84,DW84,DZ84,EC84,EF84,EI84,EL84,EO84,ER84,EU84,EX84,FA84)</f>
        <v>249286</v>
      </c>
      <c r="C84" s="34">
        <f t="shared" si="158"/>
        <v>14217</v>
      </c>
      <c r="D84" s="73">
        <f t="shared" si="158"/>
        <v>23753</v>
      </c>
      <c r="E84" s="176">
        <f t="shared" si="1"/>
        <v>211316</v>
      </c>
      <c r="F84" s="152">
        <f t="shared" ref="F84:H84" si="159">SUM(P84,S84,V84,AE84,AH84,AK84,AN84,AQ84,AT84,AW84,AZ84,BF84,BL84,BR84,BX84,CG84,CM84,CP84,CV84,DK84,DN84,DQ84,DT84,DZ84,EL84,EO84,ER84)</f>
        <v>221826</v>
      </c>
      <c r="G84" s="148">
        <f t="shared" si="159"/>
        <v>13497</v>
      </c>
      <c r="H84" s="149">
        <f t="shared" si="159"/>
        <v>23009</v>
      </c>
      <c r="I84" s="153">
        <f t="shared" si="3"/>
        <v>185320</v>
      </c>
      <c r="J84" s="105">
        <v>188</v>
      </c>
      <c r="K84" s="128">
        <v>1</v>
      </c>
      <c r="L84" s="138">
        <v>1</v>
      </c>
      <c r="M84" s="105">
        <v>146</v>
      </c>
      <c r="N84" s="128">
        <v>5</v>
      </c>
      <c r="O84" s="138">
        <v>17</v>
      </c>
      <c r="P84" s="105">
        <v>37323</v>
      </c>
      <c r="Q84" s="139">
        <v>206</v>
      </c>
      <c r="R84" s="150">
        <v>3547</v>
      </c>
      <c r="S84" s="105">
        <v>5588</v>
      </c>
      <c r="T84" s="128">
        <v>30</v>
      </c>
      <c r="U84" s="138">
        <v>9</v>
      </c>
      <c r="V84" s="105">
        <v>4937</v>
      </c>
      <c r="W84" s="128">
        <v>178</v>
      </c>
      <c r="X84" s="150">
        <v>547</v>
      </c>
      <c r="Y84" s="105">
        <v>86</v>
      </c>
      <c r="Z84" s="15">
        <v>0</v>
      </c>
      <c r="AA84" s="138">
        <v>29</v>
      </c>
      <c r="AB84" s="105">
        <v>176</v>
      </c>
      <c r="AC84" s="128">
        <v>3</v>
      </c>
      <c r="AD84" s="138">
        <v>2</v>
      </c>
      <c r="AE84" s="105">
        <v>242</v>
      </c>
      <c r="AF84" s="128">
        <v>3</v>
      </c>
      <c r="AG84" s="138">
        <v>4</v>
      </c>
      <c r="AH84" s="105">
        <v>132</v>
      </c>
      <c r="AI84" s="128">
        <v>3</v>
      </c>
      <c r="AJ84" s="138">
        <v>3</v>
      </c>
      <c r="AK84" s="105">
        <v>442</v>
      </c>
      <c r="AL84" s="128">
        <v>1</v>
      </c>
      <c r="AM84" s="138">
        <v>22</v>
      </c>
      <c r="AN84" s="105">
        <v>1862</v>
      </c>
      <c r="AO84" s="128">
        <v>34</v>
      </c>
      <c r="AP84" s="138">
        <v>1</v>
      </c>
      <c r="AQ84" s="105">
        <v>49515</v>
      </c>
      <c r="AR84" s="128">
        <v>3647</v>
      </c>
      <c r="AS84" s="150">
        <v>5367</v>
      </c>
      <c r="AT84" s="105">
        <v>404</v>
      </c>
      <c r="AU84" s="128">
        <v>1</v>
      </c>
      <c r="AV84" s="138">
        <v>8</v>
      </c>
      <c r="AW84" s="105">
        <v>880</v>
      </c>
      <c r="AX84" s="128">
        <v>3</v>
      </c>
      <c r="AY84" s="150">
        <v>10</v>
      </c>
      <c r="AZ84" s="105">
        <v>25233</v>
      </c>
      <c r="BA84" s="139">
        <v>1331</v>
      </c>
      <c r="BB84" s="150">
        <v>3900</v>
      </c>
      <c r="BC84" s="105">
        <v>1</v>
      </c>
      <c r="BD84" s="15">
        <v>0</v>
      </c>
      <c r="BE84" s="17">
        <v>0</v>
      </c>
      <c r="BF84" s="105">
        <v>821</v>
      </c>
      <c r="BG84" s="128">
        <v>22</v>
      </c>
      <c r="BH84" s="138">
        <v>36</v>
      </c>
      <c r="BI84" s="105">
        <v>30</v>
      </c>
      <c r="BJ84" s="15">
        <v>0</v>
      </c>
      <c r="BK84" s="17">
        <v>0</v>
      </c>
      <c r="BL84" s="105">
        <v>226</v>
      </c>
      <c r="BM84" s="128">
        <v>10</v>
      </c>
      <c r="BN84" s="138">
        <v>21</v>
      </c>
      <c r="BO84" s="105">
        <v>132</v>
      </c>
      <c r="BP84" s="15">
        <v>0</v>
      </c>
      <c r="BQ84" s="17">
        <v>0</v>
      </c>
      <c r="BR84" s="105">
        <v>1564</v>
      </c>
      <c r="BS84" s="128">
        <v>9</v>
      </c>
      <c r="BT84" s="138">
        <v>5</v>
      </c>
      <c r="BU84" s="105">
        <v>737</v>
      </c>
      <c r="BV84" s="128">
        <v>2</v>
      </c>
      <c r="BW84" s="138">
        <v>56</v>
      </c>
      <c r="BX84" s="105">
        <v>74386</v>
      </c>
      <c r="BY84" s="139">
        <v>7503</v>
      </c>
      <c r="BZ84" s="150">
        <v>9362</v>
      </c>
      <c r="CA84" s="105">
        <v>18</v>
      </c>
      <c r="CB84" s="15">
        <v>0</v>
      </c>
      <c r="CC84" s="17">
        <v>0</v>
      </c>
      <c r="CD84" s="105">
        <v>71</v>
      </c>
      <c r="CE84" s="128">
        <v>1</v>
      </c>
      <c r="CF84" s="138">
        <v>1</v>
      </c>
      <c r="CG84" s="105">
        <v>221</v>
      </c>
      <c r="CH84" s="15">
        <v>0</v>
      </c>
      <c r="CI84" s="138">
        <v>1</v>
      </c>
      <c r="CJ84" s="105">
        <v>51</v>
      </c>
      <c r="CK84" s="15">
        <v>0</v>
      </c>
      <c r="CL84" s="17">
        <v>0</v>
      </c>
      <c r="CM84" s="105">
        <v>274</v>
      </c>
      <c r="CN84" s="128">
        <v>4</v>
      </c>
      <c r="CO84" s="138">
        <v>1</v>
      </c>
      <c r="CP84" s="105">
        <v>1333</v>
      </c>
      <c r="CQ84" s="128">
        <v>8</v>
      </c>
      <c r="CR84" s="138">
        <v>6</v>
      </c>
      <c r="CS84" s="105">
        <v>177</v>
      </c>
      <c r="CT84" s="128">
        <v>3</v>
      </c>
      <c r="CU84" s="138">
        <v>1</v>
      </c>
      <c r="CV84" s="105">
        <v>129</v>
      </c>
      <c r="CW84" s="15">
        <v>0</v>
      </c>
      <c r="CX84" s="138">
        <v>2</v>
      </c>
      <c r="CY84" s="105">
        <v>149</v>
      </c>
      <c r="CZ84" s="128">
        <v>1</v>
      </c>
      <c r="DA84" s="138">
        <v>2</v>
      </c>
      <c r="DB84" s="105">
        <v>31</v>
      </c>
      <c r="DC84" s="15">
        <v>0</v>
      </c>
      <c r="DD84" s="138">
        <v>1</v>
      </c>
      <c r="DE84" s="105">
        <v>52</v>
      </c>
      <c r="DF84" s="128">
        <v>1</v>
      </c>
      <c r="DG84" s="17">
        <v>0</v>
      </c>
      <c r="DH84" s="105">
        <v>3066</v>
      </c>
      <c r="DI84" s="128">
        <v>14</v>
      </c>
      <c r="DJ84" s="138">
        <v>6</v>
      </c>
      <c r="DK84" s="105">
        <v>6438</v>
      </c>
      <c r="DL84" s="128">
        <v>357</v>
      </c>
      <c r="DM84" s="138">
        <v>4</v>
      </c>
      <c r="DN84" s="105">
        <v>1051</v>
      </c>
      <c r="DO84" s="128">
        <v>14</v>
      </c>
      <c r="DP84" s="138">
        <v>7</v>
      </c>
      <c r="DQ84" s="105">
        <v>2995</v>
      </c>
      <c r="DR84" s="128">
        <v>43</v>
      </c>
      <c r="DS84" s="138">
        <v>22</v>
      </c>
      <c r="DT84" s="105">
        <v>1654</v>
      </c>
      <c r="DU84" s="128">
        <v>6</v>
      </c>
      <c r="DV84" s="138">
        <v>10</v>
      </c>
      <c r="DW84" s="105">
        <v>9640</v>
      </c>
      <c r="DX84" s="128">
        <v>466</v>
      </c>
      <c r="DY84" s="150">
        <v>140</v>
      </c>
      <c r="DZ84" s="105">
        <v>906</v>
      </c>
      <c r="EA84" s="128">
        <v>17</v>
      </c>
      <c r="EB84" s="138">
        <v>86</v>
      </c>
      <c r="EC84" s="105">
        <v>658</v>
      </c>
      <c r="ED84" s="128">
        <v>3</v>
      </c>
      <c r="EE84" s="150">
        <v>29</v>
      </c>
      <c r="EF84" s="105">
        <v>208</v>
      </c>
      <c r="EG84" s="128">
        <v>21</v>
      </c>
      <c r="EH84" s="138">
        <v>4</v>
      </c>
      <c r="EI84" s="87">
        <v>384</v>
      </c>
      <c r="EJ84" s="128">
        <v>1</v>
      </c>
      <c r="EK84" s="17">
        <v>0</v>
      </c>
      <c r="EL84" s="87">
        <v>216</v>
      </c>
      <c r="EM84" s="15">
        <v>0</v>
      </c>
      <c r="EN84" s="138">
        <v>2</v>
      </c>
      <c r="EO84" s="87">
        <v>528</v>
      </c>
      <c r="EP84" s="128">
        <v>5</v>
      </c>
      <c r="EQ84" s="138">
        <v>10</v>
      </c>
      <c r="ER84" s="105">
        <v>2526</v>
      </c>
      <c r="ES84" s="128">
        <v>62</v>
      </c>
      <c r="ET84" s="138">
        <v>16</v>
      </c>
      <c r="EU84" s="87">
        <f>SuisseSwitzerland!B84</f>
        <v>11310</v>
      </c>
      <c r="EV84" s="128">
        <f>SuisseSwitzerland!C84</f>
        <v>193</v>
      </c>
      <c r="EW84" s="138">
        <f>SuisseSwitzerland!D84</f>
        <v>454</v>
      </c>
      <c r="EX84" s="105">
        <v>145</v>
      </c>
      <c r="EY84" s="128">
        <v>5</v>
      </c>
      <c r="EZ84" s="138">
        <v>1</v>
      </c>
      <c r="FA84" s="105">
        <v>4</v>
      </c>
      <c r="FB84" s="15">
        <v>0</v>
      </c>
      <c r="FC84" s="17">
        <v>0</v>
      </c>
      <c r="FD84" s="137" t="s">
        <v>446</v>
      </c>
      <c r="FE84" s="220" t="s">
        <v>447</v>
      </c>
    </row>
    <row r="85" spans="1:161" ht="12.75">
      <c r="A85" s="221">
        <v>43916</v>
      </c>
      <c r="B85" s="222">
        <f t="shared" ref="B85:D85" si="160">SUM(J85,M85,P85,S85,V85,Y85,AB85,AE85,AH85,AK85,AN85,AQ85,AT85,AW85,AZ85,BC85,BF85,BI85,BL85,CA85,CD85,BO85,BR85,BU85,BX85,CG85,CJ85,CM85,CP85,CS85,CV85,DH85,CY85,DB85,DE85,DK85,DN85,DQ85,DT85,DW85,DZ85,EC85,EF85,EI85,EL85,EO85,ER85,EU85,EX85,FA85)</f>
        <v>282612</v>
      </c>
      <c r="C85" s="223">
        <f t="shared" si="160"/>
        <v>16205</v>
      </c>
      <c r="D85" s="224">
        <f t="shared" si="160"/>
        <v>29945</v>
      </c>
      <c r="E85" s="225">
        <f t="shared" si="1"/>
        <v>236462</v>
      </c>
      <c r="F85" s="152">
        <f t="shared" ref="F85:H85" si="161">SUM(P85,S85,V85,AE85,AH85,AK85,AN85,AQ85,AT85,AW85,AZ85,BF85,BL85,BR85,BX85,CG85,CM85,CP85,CV85,DK85,DN85,DQ85,DT85,DZ85,EL85,EO85,ER85)</f>
        <v>251001</v>
      </c>
      <c r="G85" s="148">
        <f t="shared" si="161"/>
        <v>15330</v>
      </c>
      <c r="H85" s="149">
        <f t="shared" si="161"/>
        <v>29104</v>
      </c>
      <c r="I85" s="153">
        <f t="shared" si="3"/>
        <v>206567</v>
      </c>
      <c r="J85" s="226">
        <v>224</v>
      </c>
      <c r="K85" s="227">
        <v>3</v>
      </c>
      <c r="L85" s="228">
        <v>1</v>
      </c>
      <c r="M85" s="226">
        <v>174</v>
      </c>
      <c r="N85" s="227">
        <v>6</v>
      </c>
      <c r="O85" s="228">
        <v>17</v>
      </c>
      <c r="P85" s="226">
        <v>43646</v>
      </c>
      <c r="Q85" s="135">
        <v>262</v>
      </c>
      <c r="R85" s="229">
        <v>5673</v>
      </c>
      <c r="S85" s="226">
        <v>6847</v>
      </c>
      <c r="T85" s="227">
        <v>49</v>
      </c>
      <c r="U85" s="231">
        <v>112</v>
      </c>
      <c r="V85" s="226">
        <v>6235</v>
      </c>
      <c r="W85" s="227">
        <v>220</v>
      </c>
      <c r="X85" s="229">
        <v>675</v>
      </c>
      <c r="Y85" s="233">
        <v>86</v>
      </c>
      <c r="Z85" s="50">
        <v>0</v>
      </c>
      <c r="AA85" s="228">
        <v>29</v>
      </c>
      <c r="AB85" s="226">
        <v>189</v>
      </c>
      <c r="AC85" s="234">
        <v>3</v>
      </c>
      <c r="AD85" s="228">
        <v>2</v>
      </c>
      <c r="AE85" s="226">
        <v>264</v>
      </c>
      <c r="AF85" s="227">
        <v>3</v>
      </c>
      <c r="AG85" s="231">
        <v>8</v>
      </c>
      <c r="AH85" s="226">
        <v>146</v>
      </c>
      <c r="AI85" s="234">
        <v>3</v>
      </c>
      <c r="AJ85" s="231">
        <v>4</v>
      </c>
      <c r="AK85" s="226">
        <v>495</v>
      </c>
      <c r="AL85" s="227">
        <v>3</v>
      </c>
      <c r="AM85" s="228">
        <v>22</v>
      </c>
      <c r="AN85" s="226">
        <v>2023</v>
      </c>
      <c r="AO85" s="227">
        <v>41</v>
      </c>
      <c r="AP85" s="228">
        <v>1</v>
      </c>
      <c r="AQ85" s="226">
        <v>56197</v>
      </c>
      <c r="AR85" s="227">
        <v>4145</v>
      </c>
      <c r="AS85" s="229">
        <v>7015</v>
      </c>
      <c r="AT85" s="226">
        <v>538</v>
      </c>
      <c r="AU85" s="234">
        <v>1</v>
      </c>
      <c r="AV85" s="228">
        <v>8</v>
      </c>
      <c r="AW85" s="226">
        <v>958</v>
      </c>
      <c r="AX85" s="227">
        <v>5</v>
      </c>
      <c r="AY85" s="235">
        <v>10</v>
      </c>
      <c r="AZ85" s="226">
        <v>29155</v>
      </c>
      <c r="BA85" s="135">
        <v>1696</v>
      </c>
      <c r="BB85" s="229">
        <v>4948</v>
      </c>
      <c r="BC85" s="233">
        <v>1</v>
      </c>
      <c r="BD85" s="50">
        <v>0</v>
      </c>
      <c r="BE85" s="52">
        <v>0</v>
      </c>
      <c r="BF85" s="226">
        <v>892</v>
      </c>
      <c r="BG85" s="227">
        <v>26</v>
      </c>
      <c r="BH85" s="228">
        <v>36</v>
      </c>
      <c r="BI85" s="226">
        <v>34</v>
      </c>
      <c r="BJ85" s="50">
        <v>0</v>
      </c>
      <c r="BK85" s="52">
        <v>0</v>
      </c>
      <c r="BL85" s="226">
        <v>261</v>
      </c>
      <c r="BM85" s="234">
        <v>10</v>
      </c>
      <c r="BN85" s="231">
        <v>28</v>
      </c>
      <c r="BO85" s="226">
        <v>140</v>
      </c>
      <c r="BP85" s="50">
        <v>0</v>
      </c>
      <c r="BQ85" s="52">
        <v>0</v>
      </c>
      <c r="BR85" s="226">
        <v>1819</v>
      </c>
      <c r="BS85" s="227">
        <v>19</v>
      </c>
      <c r="BT85" s="228">
        <v>5</v>
      </c>
      <c r="BU85" s="226">
        <v>802</v>
      </c>
      <c r="BV85" s="234">
        <v>2</v>
      </c>
      <c r="BW85" s="231">
        <v>68</v>
      </c>
      <c r="BX85" s="226">
        <v>80589</v>
      </c>
      <c r="BY85" s="135">
        <v>8215</v>
      </c>
      <c r="BZ85" s="229">
        <v>10361</v>
      </c>
      <c r="CA85" s="226">
        <v>32</v>
      </c>
      <c r="CB85" s="227">
        <v>1</v>
      </c>
      <c r="CC85" s="52">
        <v>0</v>
      </c>
      <c r="CD85" s="105">
        <v>79</v>
      </c>
      <c r="CE85" s="227">
        <v>1</v>
      </c>
      <c r="CF85" s="138">
        <v>1</v>
      </c>
      <c r="CG85" s="226">
        <v>244</v>
      </c>
      <c r="CH85" s="50">
        <v>0</v>
      </c>
      <c r="CI85" s="228">
        <v>1</v>
      </c>
      <c r="CJ85" s="226">
        <v>56</v>
      </c>
      <c r="CK85" s="50">
        <v>0</v>
      </c>
      <c r="CL85" s="52">
        <v>0</v>
      </c>
      <c r="CM85" s="226">
        <v>299</v>
      </c>
      <c r="CN85" s="234">
        <v>4</v>
      </c>
      <c r="CO85" s="228">
        <v>1</v>
      </c>
      <c r="CP85" s="226">
        <v>1453</v>
      </c>
      <c r="CQ85" s="227">
        <v>9</v>
      </c>
      <c r="CR85" s="228">
        <v>6</v>
      </c>
      <c r="CS85" s="226">
        <v>201</v>
      </c>
      <c r="CT85" s="234">
        <v>3</v>
      </c>
      <c r="CU85" s="231">
        <v>3</v>
      </c>
      <c r="CV85" s="226">
        <v>134</v>
      </c>
      <c r="CW85" s="50">
        <v>0</v>
      </c>
      <c r="CX85" s="228">
        <v>2</v>
      </c>
      <c r="CY85" s="226">
        <v>177</v>
      </c>
      <c r="CZ85" s="234">
        <v>1</v>
      </c>
      <c r="DA85" s="228">
        <v>2</v>
      </c>
      <c r="DB85" s="226">
        <v>33</v>
      </c>
      <c r="DC85" s="50">
        <v>0</v>
      </c>
      <c r="DD85" s="228">
        <v>1</v>
      </c>
      <c r="DE85" s="226">
        <v>67</v>
      </c>
      <c r="DF85" s="234">
        <v>1</v>
      </c>
      <c r="DG85" s="52">
        <v>0</v>
      </c>
      <c r="DH85" s="226">
        <v>3346</v>
      </c>
      <c r="DI85" s="234">
        <v>14</v>
      </c>
      <c r="DJ85" s="228">
        <v>6</v>
      </c>
      <c r="DK85" s="226">
        <v>7459</v>
      </c>
      <c r="DL85" s="227">
        <v>435</v>
      </c>
      <c r="DM85" s="231">
        <v>6</v>
      </c>
      <c r="DN85" s="226">
        <v>1221</v>
      </c>
      <c r="DO85" s="227">
        <v>16</v>
      </c>
      <c r="DP85" s="228">
        <v>7</v>
      </c>
      <c r="DQ85" s="226">
        <v>3544</v>
      </c>
      <c r="DR85" s="227">
        <v>60</v>
      </c>
      <c r="DS85" s="231">
        <v>43</v>
      </c>
      <c r="DT85" s="226">
        <v>1925</v>
      </c>
      <c r="DU85" s="227">
        <v>9</v>
      </c>
      <c r="DV85" s="228">
        <v>10</v>
      </c>
      <c r="DW85" s="226">
        <v>11792</v>
      </c>
      <c r="DX85" s="227">
        <v>580</v>
      </c>
      <c r="DY85" s="229">
        <v>142</v>
      </c>
      <c r="DZ85" s="226">
        <v>1029</v>
      </c>
      <c r="EA85" s="227">
        <v>22</v>
      </c>
      <c r="EB85" s="231">
        <v>94</v>
      </c>
      <c r="EC85" s="226">
        <v>840</v>
      </c>
      <c r="ED85" s="234">
        <v>3</v>
      </c>
      <c r="EE85" s="229">
        <v>38</v>
      </c>
      <c r="EF85" s="233">
        <v>208</v>
      </c>
      <c r="EG85" s="234">
        <v>21</v>
      </c>
      <c r="EH85" s="228">
        <v>4</v>
      </c>
      <c r="EI85" s="236">
        <v>384</v>
      </c>
      <c r="EJ85" s="128">
        <v>1</v>
      </c>
      <c r="EK85" s="17">
        <v>0</v>
      </c>
      <c r="EL85" s="237">
        <v>226</v>
      </c>
      <c r="EM85" s="50">
        <v>0</v>
      </c>
      <c r="EN85" s="231">
        <v>2</v>
      </c>
      <c r="EO85" s="237">
        <v>562</v>
      </c>
      <c r="EP85" s="227">
        <v>6</v>
      </c>
      <c r="EQ85" s="228">
        <v>10</v>
      </c>
      <c r="ER85" s="226">
        <v>2840</v>
      </c>
      <c r="ES85" s="227">
        <v>71</v>
      </c>
      <c r="ET85" s="228">
        <v>16</v>
      </c>
      <c r="EU85" s="236">
        <f>SuisseSwitzerland!B85</f>
        <v>12546</v>
      </c>
      <c r="EV85" s="234">
        <f>SuisseSwitzerland!C85</f>
        <v>230</v>
      </c>
      <c r="EW85" s="138">
        <f>SuisseSwitzerland!D85</f>
        <v>526</v>
      </c>
      <c r="EX85" s="226">
        <v>196</v>
      </c>
      <c r="EY85" s="234">
        <v>5</v>
      </c>
      <c r="EZ85" s="228">
        <v>1</v>
      </c>
      <c r="FA85" s="233">
        <v>4</v>
      </c>
      <c r="FB85" s="50">
        <v>0</v>
      </c>
      <c r="FC85" s="52">
        <v>0</v>
      </c>
      <c r="FD85" s="238" t="s">
        <v>464</v>
      </c>
      <c r="FE85" s="239" t="s">
        <v>465</v>
      </c>
    </row>
    <row r="86" spans="1:161" ht="12.75">
      <c r="A86" s="221">
        <v>43917</v>
      </c>
      <c r="B86" s="222">
        <f t="shared" ref="B86:D86" si="162">SUM(J86,M86,P86,S86,V86,Y86,AB86,AE86,AH86,AK86,AN86,AQ86,AT86,AW86,AZ86,BC86,BF86,BI86,BL86,CA86,CD86,BO86,BR86,BU86,BX86,CG86,CJ86,CM86,CP86,CS86,CV86,DH86,CY86,DB86,DE86,DK86,DN86,DQ86,DT86,DW86,DZ86,EC86,EF86,EI86,EL86,EO86,ER86,EU86,EX86,FA86)</f>
        <v>318798</v>
      </c>
      <c r="C86" s="223">
        <f t="shared" si="162"/>
        <v>18782</v>
      </c>
      <c r="D86" s="224">
        <f t="shared" si="162"/>
        <v>35215</v>
      </c>
      <c r="E86" s="225">
        <f t="shared" si="1"/>
        <v>264801</v>
      </c>
      <c r="F86" s="152">
        <f t="shared" ref="F86:H86" si="163">SUM(P86,S86,V86,AE86,AH86,AK86,AN86,AQ86,AT86,AW86,AZ86,BF86,BL86,BR86,BX86,CG86,CM86,CP86,CV86,DK86,DN86,DQ86,DT86,DZ86,EL86,EO86,ER86)</f>
        <v>282024</v>
      </c>
      <c r="G86" s="148">
        <f t="shared" si="163"/>
        <v>17684</v>
      </c>
      <c r="H86" s="149">
        <f t="shared" si="163"/>
        <v>34173</v>
      </c>
      <c r="I86" s="153">
        <f t="shared" si="3"/>
        <v>230167</v>
      </c>
      <c r="J86" s="226">
        <v>267</v>
      </c>
      <c r="K86" s="227">
        <v>3</v>
      </c>
      <c r="L86" s="228">
        <v>1</v>
      </c>
      <c r="M86" s="226">
        <v>186</v>
      </c>
      <c r="N86" s="227">
        <v>8</v>
      </c>
      <c r="O86" s="231">
        <v>31</v>
      </c>
      <c r="P86" s="226">
        <v>50871</v>
      </c>
      <c r="Q86" s="135">
        <v>342</v>
      </c>
      <c r="R86" s="229">
        <v>6658</v>
      </c>
      <c r="S86" s="226">
        <v>7657</v>
      </c>
      <c r="T86" s="227">
        <v>58</v>
      </c>
      <c r="U86" s="231">
        <v>225</v>
      </c>
      <c r="V86" s="226">
        <v>7284</v>
      </c>
      <c r="W86" s="227">
        <v>289</v>
      </c>
      <c r="X86" s="229">
        <v>858</v>
      </c>
      <c r="Y86" s="226">
        <v>94</v>
      </c>
      <c r="Z86" s="50">
        <v>0</v>
      </c>
      <c r="AA86" s="231">
        <v>32</v>
      </c>
      <c r="AB86" s="226">
        <v>232</v>
      </c>
      <c r="AC86" s="227">
        <v>4</v>
      </c>
      <c r="AD86" s="231">
        <v>5</v>
      </c>
      <c r="AE86" s="226">
        <v>293</v>
      </c>
      <c r="AF86" s="227">
        <v>3</v>
      </c>
      <c r="AG86" s="231">
        <v>8</v>
      </c>
      <c r="AH86" s="226">
        <v>162</v>
      </c>
      <c r="AI86" s="227">
        <v>5</v>
      </c>
      <c r="AJ86" s="231">
        <v>15</v>
      </c>
      <c r="AK86" s="226">
        <v>586</v>
      </c>
      <c r="AL86" s="227">
        <v>3</v>
      </c>
      <c r="AM86" s="231">
        <v>37</v>
      </c>
      <c r="AN86" s="226">
        <v>2200</v>
      </c>
      <c r="AO86" s="227">
        <v>52</v>
      </c>
      <c r="AP86" s="228">
        <v>1</v>
      </c>
      <c r="AQ86" s="226">
        <v>64285</v>
      </c>
      <c r="AR86" s="227">
        <v>4940</v>
      </c>
      <c r="AS86" s="229">
        <v>9357</v>
      </c>
      <c r="AT86" s="226">
        <v>575</v>
      </c>
      <c r="AU86" s="234">
        <v>1</v>
      </c>
      <c r="AV86" s="231">
        <v>11</v>
      </c>
      <c r="AW86" s="226">
        <v>1041</v>
      </c>
      <c r="AX86" s="227">
        <v>7</v>
      </c>
      <c r="AY86" s="235">
        <v>10</v>
      </c>
      <c r="AZ86" s="226">
        <v>32964</v>
      </c>
      <c r="BA86" s="135">
        <v>1995</v>
      </c>
      <c r="BB86" s="229">
        <v>5698</v>
      </c>
      <c r="BC86" s="233">
        <v>1</v>
      </c>
      <c r="BD86" s="50">
        <v>0</v>
      </c>
      <c r="BE86" s="52">
        <v>0</v>
      </c>
      <c r="BF86" s="226">
        <v>966</v>
      </c>
      <c r="BG86" s="227">
        <v>28</v>
      </c>
      <c r="BH86" s="231">
        <v>52</v>
      </c>
      <c r="BI86" s="226">
        <v>36</v>
      </c>
      <c r="BJ86" s="50">
        <v>0</v>
      </c>
      <c r="BK86" s="52">
        <v>0</v>
      </c>
      <c r="BL86" s="226">
        <v>300</v>
      </c>
      <c r="BM86" s="234">
        <v>10</v>
      </c>
      <c r="BN86" s="231">
        <v>34</v>
      </c>
      <c r="BO86" s="226">
        <v>144</v>
      </c>
      <c r="BP86" s="50">
        <v>0</v>
      </c>
      <c r="BQ86" s="52">
        <v>0</v>
      </c>
      <c r="BR86" s="226">
        <v>2121</v>
      </c>
      <c r="BS86" s="227">
        <v>22</v>
      </c>
      <c r="BT86" s="228">
        <v>5</v>
      </c>
      <c r="BU86" s="226">
        <v>890</v>
      </c>
      <c r="BV86" s="234">
        <v>2</v>
      </c>
      <c r="BW86" s="231">
        <v>97</v>
      </c>
      <c r="BX86" s="226">
        <v>86498</v>
      </c>
      <c r="BY86" s="135">
        <v>9134</v>
      </c>
      <c r="BZ86" s="229">
        <v>10950</v>
      </c>
      <c r="CA86" s="226">
        <v>52</v>
      </c>
      <c r="CB86" s="227">
        <v>1</v>
      </c>
      <c r="CC86" s="52">
        <v>0</v>
      </c>
      <c r="CD86" s="105">
        <v>88</v>
      </c>
      <c r="CE86" s="227">
        <v>1</v>
      </c>
      <c r="CF86" s="138">
        <v>1</v>
      </c>
      <c r="CG86" s="226">
        <v>280</v>
      </c>
      <c r="CH86" s="50">
        <v>0</v>
      </c>
      <c r="CI86" s="228">
        <v>1</v>
      </c>
      <c r="CJ86" s="226">
        <v>60</v>
      </c>
      <c r="CK86" s="50">
        <v>0</v>
      </c>
      <c r="CL86" s="52">
        <v>0</v>
      </c>
      <c r="CM86" s="226">
        <v>358</v>
      </c>
      <c r="CN86" s="227">
        <v>5</v>
      </c>
      <c r="CO86" s="228">
        <v>1</v>
      </c>
      <c r="CP86" s="226">
        <v>1605</v>
      </c>
      <c r="CQ86" s="227">
        <v>15</v>
      </c>
      <c r="CR86" s="231">
        <v>40</v>
      </c>
      <c r="CS86" s="226">
        <v>219</v>
      </c>
      <c r="CT86" s="234">
        <v>3</v>
      </c>
      <c r="CU86" s="231">
        <v>3</v>
      </c>
      <c r="CV86" s="226">
        <v>139</v>
      </c>
      <c r="CW86" s="50">
        <v>0</v>
      </c>
      <c r="CX86" s="228">
        <v>2</v>
      </c>
      <c r="CY86" s="226">
        <v>199</v>
      </c>
      <c r="CZ86" s="227">
        <v>2</v>
      </c>
      <c r="DA86" s="228">
        <v>2</v>
      </c>
      <c r="DB86" s="226">
        <v>42</v>
      </c>
      <c r="DC86" s="50">
        <v>0</v>
      </c>
      <c r="DD86" s="228">
        <v>1</v>
      </c>
      <c r="DE86" s="226">
        <v>70</v>
      </c>
      <c r="DF86" s="234">
        <v>1</v>
      </c>
      <c r="DG86" s="52">
        <v>0</v>
      </c>
      <c r="DH86" s="226">
        <v>3717</v>
      </c>
      <c r="DI86" s="227">
        <v>19</v>
      </c>
      <c r="DJ86" s="228">
        <v>6</v>
      </c>
      <c r="DK86" s="226">
        <v>8641</v>
      </c>
      <c r="DL86" s="227">
        <v>547</v>
      </c>
      <c r="DM86" s="231">
        <v>6</v>
      </c>
      <c r="DN86" s="226">
        <v>1389</v>
      </c>
      <c r="DO86" s="227">
        <v>16</v>
      </c>
      <c r="DP86" s="228">
        <v>7</v>
      </c>
      <c r="DQ86" s="226">
        <v>4268</v>
      </c>
      <c r="DR86" s="227">
        <v>76</v>
      </c>
      <c r="DS86" s="231">
        <v>43</v>
      </c>
      <c r="DT86" s="226">
        <v>2279</v>
      </c>
      <c r="DU86" s="227">
        <v>9</v>
      </c>
      <c r="DV86" s="231">
        <v>11</v>
      </c>
      <c r="DW86" s="226">
        <v>14743</v>
      </c>
      <c r="DX86" s="227">
        <v>761</v>
      </c>
      <c r="DY86" s="229">
        <v>151</v>
      </c>
      <c r="DZ86" s="226">
        <v>1292</v>
      </c>
      <c r="EA86" s="227">
        <v>26</v>
      </c>
      <c r="EB86" s="231">
        <v>115</v>
      </c>
      <c r="EC86" s="226">
        <v>1036</v>
      </c>
      <c r="ED86" s="227">
        <v>4</v>
      </c>
      <c r="EE86" s="229">
        <v>45</v>
      </c>
      <c r="EF86" s="226">
        <v>223</v>
      </c>
      <c r="EG86" s="234">
        <v>21</v>
      </c>
      <c r="EH86" s="228">
        <v>4</v>
      </c>
      <c r="EI86" s="237">
        <v>457</v>
      </c>
      <c r="EJ86" s="128">
        <v>1</v>
      </c>
      <c r="EK86" s="17">
        <v>0</v>
      </c>
      <c r="EL86" s="237">
        <v>269</v>
      </c>
      <c r="EM86" s="50">
        <v>0</v>
      </c>
      <c r="EN86" s="231">
        <v>2</v>
      </c>
      <c r="EO86" s="237">
        <v>632</v>
      </c>
      <c r="EP86" s="227">
        <v>9</v>
      </c>
      <c r="EQ86" s="228">
        <v>10</v>
      </c>
      <c r="ER86" s="226">
        <v>3069</v>
      </c>
      <c r="ES86" s="227">
        <v>92</v>
      </c>
      <c r="ET86" s="228">
        <v>16</v>
      </c>
      <c r="EU86" s="236">
        <f>SuisseSwitzerland!B86</f>
        <v>13818</v>
      </c>
      <c r="EV86" s="234">
        <f>SuisseSwitzerland!C86</f>
        <v>262</v>
      </c>
      <c r="EW86" s="138">
        <f>SuisseSwitzerland!D86</f>
        <v>662</v>
      </c>
      <c r="EX86" s="226">
        <v>196</v>
      </c>
      <c r="EY86" s="234">
        <v>5</v>
      </c>
      <c r="EZ86" s="228">
        <v>1</v>
      </c>
      <c r="FA86" s="233">
        <v>4</v>
      </c>
      <c r="FB86" s="50">
        <v>0</v>
      </c>
      <c r="FC86" s="52">
        <v>0</v>
      </c>
      <c r="FD86" s="248"/>
      <c r="FE86" s="249"/>
    </row>
    <row r="87" spans="1:161" ht="12.75">
      <c r="A87" s="221">
        <v>43918</v>
      </c>
      <c r="B87" s="222">
        <f t="shared" ref="B87:D87" si="164">SUM(J87,M87,P87,S87,V87,Y87,AB87,AE87,AH87,AK87,AN87,AQ87,AT87,AW87,AZ87,BC87,BF87,BI87,BL87,CA87,CD87,BO87,BR87,BU87,BX87,CG87,CJ87,CM87,CP87,CS87,CV87,DH87,CY87,DB87,DE87,DK87,DN87,DQ87,DT87,DW87,DZ87,EC87,EF87,EI87,EL87,EO87,ER87,EU87,EX87,FA87)</f>
        <v>355655</v>
      </c>
      <c r="C87" s="223">
        <f t="shared" si="164"/>
        <v>21545</v>
      </c>
      <c r="D87" s="224">
        <f t="shared" si="164"/>
        <v>39755</v>
      </c>
      <c r="E87" s="225">
        <f t="shared" si="1"/>
        <v>294355</v>
      </c>
      <c r="F87" s="152">
        <f t="shared" ref="F87:H87" si="165">SUM(P87,S87,V87,AE87,AH87,AK87,AN87,AQ87,AT87,AW87,AZ87,BF87,BL87,BR87,BX87,CG87,CM87,CP87,CV87,DK87,DN87,DQ87,DT87,DZ87,EL87,EO87,ER87)</f>
        <v>314285</v>
      </c>
      <c r="G87" s="148">
        <f t="shared" si="165"/>
        <v>20120</v>
      </c>
      <c r="H87" s="149">
        <f t="shared" si="165"/>
        <v>38605</v>
      </c>
      <c r="I87" s="153">
        <f t="shared" si="3"/>
        <v>255560</v>
      </c>
      <c r="J87" s="226">
        <v>267</v>
      </c>
      <c r="K87" s="227">
        <v>3</v>
      </c>
      <c r="L87" s="228">
        <v>1</v>
      </c>
      <c r="M87" s="226">
        <v>197</v>
      </c>
      <c r="N87" s="227">
        <v>10</v>
      </c>
      <c r="O87" s="231">
        <v>31</v>
      </c>
      <c r="P87" s="226">
        <v>57695</v>
      </c>
      <c r="Q87" s="135">
        <v>430</v>
      </c>
      <c r="R87" s="229">
        <v>8481</v>
      </c>
      <c r="S87" s="226">
        <v>8188</v>
      </c>
      <c r="T87" s="227">
        <v>68</v>
      </c>
      <c r="U87" s="231">
        <v>225</v>
      </c>
      <c r="V87" s="226">
        <v>9134</v>
      </c>
      <c r="W87" s="227">
        <v>353</v>
      </c>
      <c r="X87" s="229">
        <v>1063</v>
      </c>
      <c r="Y87" s="226">
        <v>94</v>
      </c>
      <c r="Z87" s="50">
        <v>0</v>
      </c>
      <c r="AA87" s="231">
        <v>32</v>
      </c>
      <c r="AB87" s="226">
        <v>258</v>
      </c>
      <c r="AC87" s="227">
        <v>5</v>
      </c>
      <c r="AD87" s="231">
        <v>5</v>
      </c>
      <c r="AE87" s="226">
        <v>331</v>
      </c>
      <c r="AF87" s="227">
        <v>6</v>
      </c>
      <c r="AG87" s="231">
        <v>11</v>
      </c>
      <c r="AH87" s="226">
        <v>179</v>
      </c>
      <c r="AI87" s="227">
        <v>5</v>
      </c>
      <c r="AJ87" s="231">
        <v>15</v>
      </c>
      <c r="AK87" s="226">
        <v>657</v>
      </c>
      <c r="AL87" s="227">
        <v>5</v>
      </c>
      <c r="AM87" s="231">
        <v>45</v>
      </c>
      <c r="AN87" s="226">
        <v>2366</v>
      </c>
      <c r="AO87" s="227">
        <v>65</v>
      </c>
      <c r="AP87" s="231">
        <v>1</v>
      </c>
      <c r="AQ87" s="226">
        <v>72335</v>
      </c>
      <c r="AR87" s="227">
        <v>5820</v>
      </c>
      <c r="AS87" s="229">
        <v>9357</v>
      </c>
      <c r="AT87" s="226">
        <v>645</v>
      </c>
      <c r="AU87" s="234">
        <v>1</v>
      </c>
      <c r="AV87" s="231">
        <v>20</v>
      </c>
      <c r="AW87" s="226">
        <v>1167</v>
      </c>
      <c r="AX87" s="227">
        <v>9</v>
      </c>
      <c r="AY87" s="235">
        <v>10</v>
      </c>
      <c r="AZ87" s="226">
        <v>37575</v>
      </c>
      <c r="BA87" s="135">
        <v>2314</v>
      </c>
      <c r="BB87" s="229">
        <v>6624</v>
      </c>
      <c r="BC87" s="233">
        <v>1</v>
      </c>
      <c r="BD87" s="50">
        <v>0</v>
      </c>
      <c r="BE87" s="52">
        <v>0</v>
      </c>
      <c r="BF87" s="226">
        <v>1061</v>
      </c>
      <c r="BG87" s="227">
        <v>32</v>
      </c>
      <c r="BH87" s="231">
        <v>52</v>
      </c>
      <c r="BI87" s="226">
        <v>39</v>
      </c>
      <c r="BJ87" s="50">
        <v>0</v>
      </c>
      <c r="BK87" s="52">
        <v>0</v>
      </c>
      <c r="BL87" s="226">
        <v>343</v>
      </c>
      <c r="BM87" s="227">
        <v>11</v>
      </c>
      <c r="BN87" s="231">
        <v>34</v>
      </c>
      <c r="BO87" s="226">
        <v>155</v>
      </c>
      <c r="BP87" s="50">
        <v>0</v>
      </c>
      <c r="BQ87" s="52">
        <v>0</v>
      </c>
      <c r="BR87" s="226">
        <v>2415</v>
      </c>
      <c r="BS87" s="227">
        <v>36</v>
      </c>
      <c r="BT87" s="228">
        <v>5</v>
      </c>
      <c r="BU87" s="226">
        <v>963</v>
      </c>
      <c r="BV87" s="234">
        <v>2</v>
      </c>
      <c r="BW87" s="231">
        <v>114</v>
      </c>
      <c r="BX87" s="226">
        <v>92472</v>
      </c>
      <c r="BY87" s="135">
        <v>10023</v>
      </c>
      <c r="BZ87" s="229">
        <v>12384</v>
      </c>
      <c r="CA87" s="226">
        <v>61</v>
      </c>
      <c r="CB87" s="227">
        <v>1</v>
      </c>
      <c r="CC87" s="52">
        <v>0</v>
      </c>
      <c r="CD87" s="105">
        <v>91</v>
      </c>
      <c r="CE87" s="227">
        <v>1</v>
      </c>
      <c r="CF87" s="138">
        <v>1</v>
      </c>
      <c r="CG87" s="226">
        <v>305</v>
      </c>
      <c r="CH87" s="50">
        <v>0</v>
      </c>
      <c r="CI87" s="228">
        <v>1</v>
      </c>
      <c r="CJ87" s="226">
        <v>61</v>
      </c>
      <c r="CK87" s="50">
        <v>0</v>
      </c>
      <c r="CL87" s="52">
        <v>0</v>
      </c>
      <c r="CM87" s="226">
        <v>394</v>
      </c>
      <c r="CN87" s="227">
        <v>7</v>
      </c>
      <c r="CO87" s="228">
        <v>1</v>
      </c>
      <c r="CP87" s="226">
        <v>1831</v>
      </c>
      <c r="CQ87" s="227">
        <v>18</v>
      </c>
      <c r="CR87" s="231">
        <v>40</v>
      </c>
      <c r="CS87" s="226">
        <v>241</v>
      </c>
      <c r="CT87" s="227">
        <v>4</v>
      </c>
      <c r="CU87" s="231">
        <v>3</v>
      </c>
      <c r="CV87" s="226">
        <v>149</v>
      </c>
      <c r="CW87" s="50">
        <v>0</v>
      </c>
      <c r="CX87" s="228">
        <v>2</v>
      </c>
      <c r="CY87" s="226">
        <v>231</v>
      </c>
      <c r="CZ87" s="227">
        <v>2</v>
      </c>
      <c r="DA87" s="228">
        <v>2</v>
      </c>
      <c r="DB87" s="226">
        <v>43</v>
      </c>
      <c r="DC87" s="227">
        <v>1</v>
      </c>
      <c r="DD87" s="228">
        <v>1</v>
      </c>
      <c r="DE87" s="226">
        <v>82</v>
      </c>
      <c r="DF87" s="234">
        <v>1</v>
      </c>
      <c r="DG87" s="52">
        <v>0</v>
      </c>
      <c r="DH87" s="226">
        <v>4011</v>
      </c>
      <c r="DI87" s="227">
        <v>23</v>
      </c>
      <c r="DJ87" s="231">
        <v>7</v>
      </c>
      <c r="DK87" s="226">
        <v>9819</v>
      </c>
      <c r="DL87" s="227">
        <v>640</v>
      </c>
      <c r="DM87" s="231">
        <v>6</v>
      </c>
      <c r="DN87" s="226">
        <v>1638</v>
      </c>
      <c r="DO87" s="227">
        <v>18</v>
      </c>
      <c r="DP87" s="228">
        <v>7</v>
      </c>
      <c r="DQ87" s="226">
        <v>5170</v>
      </c>
      <c r="DR87" s="227">
        <v>100</v>
      </c>
      <c r="DS87" s="231">
        <v>43</v>
      </c>
      <c r="DT87" s="226">
        <v>2541</v>
      </c>
      <c r="DU87" s="227">
        <v>11</v>
      </c>
      <c r="DV87" s="231">
        <v>11</v>
      </c>
      <c r="DW87" s="226">
        <v>17312</v>
      </c>
      <c r="DX87" s="227">
        <v>1021</v>
      </c>
      <c r="DY87" s="229">
        <v>151</v>
      </c>
      <c r="DZ87" s="226">
        <v>1452</v>
      </c>
      <c r="EA87" s="227">
        <v>34</v>
      </c>
      <c r="EB87" s="231">
        <v>139</v>
      </c>
      <c r="EC87" s="226">
        <v>1264</v>
      </c>
      <c r="ED87" s="227">
        <v>4</v>
      </c>
      <c r="EE87" s="229">
        <v>49</v>
      </c>
      <c r="EF87" s="226">
        <v>224</v>
      </c>
      <c r="EG87" s="227">
        <v>22</v>
      </c>
      <c r="EH87" s="231">
        <v>6</v>
      </c>
      <c r="EI87" s="226">
        <v>659</v>
      </c>
      <c r="EJ87" s="128">
        <v>10</v>
      </c>
      <c r="EK87" s="17">
        <v>0</v>
      </c>
      <c r="EL87" s="237">
        <v>292</v>
      </c>
      <c r="EM87" s="50">
        <v>0</v>
      </c>
      <c r="EN87" s="231">
        <v>2</v>
      </c>
      <c r="EO87" s="237">
        <v>684</v>
      </c>
      <c r="EP87" s="227">
        <v>9</v>
      </c>
      <c r="EQ87" s="228">
        <v>10</v>
      </c>
      <c r="ER87" s="226">
        <v>3447</v>
      </c>
      <c r="ES87" s="227">
        <v>105</v>
      </c>
      <c r="ET87" s="228">
        <v>16</v>
      </c>
      <c r="EU87" s="236">
        <f>SuisseSwitzerland!B87</f>
        <v>14754</v>
      </c>
      <c r="EV87" s="234">
        <f>SuisseSwitzerland!C87</f>
        <v>306</v>
      </c>
      <c r="EW87" s="138">
        <f>SuisseSwitzerland!D87</f>
        <v>742</v>
      </c>
      <c r="EX87" s="226">
        <v>356</v>
      </c>
      <c r="EY87" s="227">
        <v>9</v>
      </c>
      <c r="EZ87" s="231">
        <v>5</v>
      </c>
      <c r="FA87" s="226">
        <v>6</v>
      </c>
      <c r="FB87" s="50">
        <v>0</v>
      </c>
      <c r="FC87" s="52">
        <v>0</v>
      </c>
      <c r="FD87" s="238" t="s">
        <v>482</v>
      </c>
      <c r="FE87" s="239" t="s">
        <v>483</v>
      </c>
    </row>
    <row r="88" spans="1:161" ht="12.75">
      <c r="A88" s="221">
        <v>43919</v>
      </c>
      <c r="B88" s="222">
        <f t="shared" ref="B88:D88" si="166">SUM(J88,M88,P88,S88,V88,Y88,AB88,AE88,AH88,AK88,AN88,AQ88,AT88,AW88,AZ88,BC88,BF88,BI88,BL88,CA88,CD88,BO88,BR88,BU88,BX88,CG88,CJ88,CM88,CP88,CS88,CV88,DH88,CY88,DB88,DE88,DK88,DN88,DQ88,DT88,DW88,DZ88,EC88,EF88,EI88,EL88,EO88,ER88,EU88,EX88,FA88)</f>
        <v>385866</v>
      </c>
      <c r="C88" s="223">
        <f t="shared" si="166"/>
        <v>24242</v>
      </c>
      <c r="D88" s="224">
        <f t="shared" si="166"/>
        <v>47994</v>
      </c>
      <c r="E88" s="225">
        <f t="shared" si="1"/>
        <v>313630</v>
      </c>
      <c r="F88" s="152">
        <f t="shared" ref="F88:H88" si="167">SUM(P88,S88,V88,AE88,AH88,AK88,AN88,AQ88,AT88,AW88,AZ88,BF88,BL88,BR88,BX88,CG88,CM88,CP88,CV88,DK88,DN88,DQ88,DT88,DZ88,EL88,EO88,ER88)</f>
        <v>340376</v>
      </c>
      <c r="G88" s="148">
        <f t="shared" si="167"/>
        <v>22552</v>
      </c>
      <c r="H88" s="149">
        <f t="shared" si="167"/>
        <v>46776</v>
      </c>
      <c r="I88" s="153">
        <f t="shared" si="3"/>
        <v>271048</v>
      </c>
      <c r="J88" s="226">
        <v>334</v>
      </c>
      <c r="K88" s="227">
        <v>6</v>
      </c>
      <c r="L88" s="228">
        <v>1</v>
      </c>
      <c r="M88" s="226">
        <v>212</v>
      </c>
      <c r="N88" s="227">
        <v>10</v>
      </c>
      <c r="O88" s="231">
        <v>33</v>
      </c>
      <c r="P88" s="226">
        <v>62095</v>
      </c>
      <c r="Q88" s="135">
        <v>525</v>
      </c>
      <c r="R88" s="229">
        <v>9211</v>
      </c>
      <c r="S88" s="226">
        <v>8711</v>
      </c>
      <c r="T88" s="227">
        <v>86</v>
      </c>
      <c r="U88" s="231">
        <v>469</v>
      </c>
      <c r="V88" s="226">
        <v>10836</v>
      </c>
      <c r="W88" s="227">
        <v>431</v>
      </c>
      <c r="X88" s="229">
        <v>1359</v>
      </c>
      <c r="Y88" s="226">
        <v>94</v>
      </c>
      <c r="Z88" s="50">
        <v>0</v>
      </c>
      <c r="AA88" s="231">
        <v>32</v>
      </c>
      <c r="AB88" s="226">
        <v>323</v>
      </c>
      <c r="AC88" s="227">
        <v>6</v>
      </c>
      <c r="AD88" s="231">
        <v>8</v>
      </c>
      <c r="AE88" s="226">
        <v>346</v>
      </c>
      <c r="AF88" s="227">
        <v>8</v>
      </c>
      <c r="AG88" s="231">
        <v>14</v>
      </c>
      <c r="AH88" s="226">
        <v>214</v>
      </c>
      <c r="AI88" s="227">
        <v>5</v>
      </c>
      <c r="AJ88" s="231">
        <v>15</v>
      </c>
      <c r="AK88" s="226">
        <v>713</v>
      </c>
      <c r="AL88" s="227">
        <v>6</v>
      </c>
      <c r="AM88" s="231">
        <v>52</v>
      </c>
      <c r="AN88" s="226">
        <v>2564</v>
      </c>
      <c r="AO88" s="227">
        <v>72</v>
      </c>
      <c r="AP88" s="231">
        <v>73</v>
      </c>
      <c r="AQ88" s="226">
        <v>80031</v>
      </c>
      <c r="AR88" s="227">
        <v>6802</v>
      </c>
      <c r="AS88" s="229">
        <v>14709</v>
      </c>
      <c r="AT88" s="226">
        <v>679</v>
      </c>
      <c r="AU88" s="227">
        <v>3</v>
      </c>
      <c r="AV88" s="231">
        <v>20</v>
      </c>
      <c r="AW88" s="226">
        <v>1240</v>
      </c>
      <c r="AX88" s="227">
        <v>11</v>
      </c>
      <c r="AY88" s="235">
        <v>10</v>
      </c>
      <c r="AZ88" s="226">
        <v>40174</v>
      </c>
      <c r="BA88" s="135">
        <v>2606</v>
      </c>
      <c r="BB88" s="229">
        <v>7131</v>
      </c>
      <c r="BC88" s="233">
        <v>1</v>
      </c>
      <c r="BD88" s="50">
        <v>0</v>
      </c>
      <c r="BE88" s="52">
        <v>0</v>
      </c>
      <c r="BF88" s="226">
        <v>1156</v>
      </c>
      <c r="BG88" s="227">
        <v>38</v>
      </c>
      <c r="BH88" s="231">
        <v>52</v>
      </c>
      <c r="BI88" s="226">
        <v>39</v>
      </c>
      <c r="BJ88" s="50">
        <v>0</v>
      </c>
      <c r="BK88" s="52">
        <v>0</v>
      </c>
      <c r="BL88" s="226">
        <v>408</v>
      </c>
      <c r="BM88" s="227">
        <v>13</v>
      </c>
      <c r="BN88" s="231">
        <v>34</v>
      </c>
      <c r="BO88" s="226">
        <v>159</v>
      </c>
      <c r="BP88" s="50">
        <v>0</v>
      </c>
      <c r="BQ88" s="52">
        <v>0</v>
      </c>
      <c r="BR88" s="226">
        <v>2615</v>
      </c>
      <c r="BS88" s="227">
        <v>46</v>
      </c>
      <c r="BT88" s="228">
        <v>5</v>
      </c>
      <c r="BU88" s="226">
        <v>1020</v>
      </c>
      <c r="BV88" s="234">
        <v>2</v>
      </c>
      <c r="BW88" s="231">
        <v>114</v>
      </c>
      <c r="BX88" s="226">
        <v>97689</v>
      </c>
      <c r="BY88" s="135">
        <v>10779</v>
      </c>
      <c r="BZ88" s="229">
        <v>13030</v>
      </c>
      <c r="CA88" s="226">
        <v>63</v>
      </c>
      <c r="CB88" s="227">
        <v>2</v>
      </c>
      <c r="CC88" s="52">
        <v>0</v>
      </c>
      <c r="CD88" s="105">
        <v>94</v>
      </c>
      <c r="CE88" s="227">
        <v>1</v>
      </c>
      <c r="CF88" s="138">
        <v>1</v>
      </c>
      <c r="CG88" s="226">
        <v>347</v>
      </c>
      <c r="CH88" s="50">
        <v>0</v>
      </c>
      <c r="CI88" s="228">
        <v>1</v>
      </c>
      <c r="CJ88" s="226">
        <v>62</v>
      </c>
      <c r="CK88" s="50">
        <v>0</v>
      </c>
      <c r="CL88" s="52">
        <v>0</v>
      </c>
      <c r="CM88" s="226">
        <v>460</v>
      </c>
      <c r="CN88" s="227">
        <v>7</v>
      </c>
      <c r="CO88" s="228">
        <v>1</v>
      </c>
      <c r="CP88" s="226">
        <v>1950</v>
      </c>
      <c r="CQ88" s="227">
        <v>21</v>
      </c>
      <c r="CR88" s="231">
        <v>40</v>
      </c>
      <c r="CS88" s="226">
        <v>259</v>
      </c>
      <c r="CT88" s="227">
        <v>6</v>
      </c>
      <c r="CU88" s="231">
        <v>3</v>
      </c>
      <c r="CV88" s="226">
        <v>151</v>
      </c>
      <c r="CW88" s="50">
        <v>0</v>
      </c>
      <c r="CX88" s="228">
        <v>2</v>
      </c>
      <c r="CY88" s="226">
        <v>263</v>
      </c>
      <c r="CZ88" s="227">
        <v>2</v>
      </c>
      <c r="DA88" s="228">
        <v>2</v>
      </c>
      <c r="DB88" s="226">
        <v>46</v>
      </c>
      <c r="DC88" s="227">
        <v>1</v>
      </c>
      <c r="DD88" s="228">
        <v>1</v>
      </c>
      <c r="DE88" s="226">
        <v>85</v>
      </c>
      <c r="DF88" s="234">
        <v>1</v>
      </c>
      <c r="DG88" s="52">
        <v>0</v>
      </c>
      <c r="DH88" s="226">
        <v>4247</v>
      </c>
      <c r="DI88" s="227">
        <v>25</v>
      </c>
      <c r="DJ88" s="231">
        <v>7</v>
      </c>
      <c r="DK88" s="226">
        <v>10926</v>
      </c>
      <c r="DL88" s="227">
        <v>772</v>
      </c>
      <c r="DM88" s="231">
        <v>253</v>
      </c>
      <c r="DN88" s="226">
        <v>1862</v>
      </c>
      <c r="DO88" s="227">
        <v>22</v>
      </c>
      <c r="DP88" s="228">
        <v>7</v>
      </c>
      <c r="DQ88" s="226">
        <v>5962</v>
      </c>
      <c r="DR88" s="227">
        <v>119</v>
      </c>
      <c r="DS88" s="231">
        <v>43</v>
      </c>
      <c r="DT88" s="226">
        <v>2743</v>
      </c>
      <c r="DU88" s="227">
        <v>16</v>
      </c>
      <c r="DV88" s="231">
        <v>11</v>
      </c>
      <c r="DW88" s="226">
        <v>19772</v>
      </c>
      <c r="DX88" s="227">
        <v>1231</v>
      </c>
      <c r="DY88" s="229">
        <v>151</v>
      </c>
      <c r="DZ88" s="226">
        <v>1760</v>
      </c>
      <c r="EA88" s="227">
        <v>43</v>
      </c>
      <c r="EB88" s="231">
        <v>206</v>
      </c>
      <c r="EC88" s="226">
        <v>1534</v>
      </c>
      <c r="ED88" s="227">
        <v>8</v>
      </c>
      <c r="EE88" s="229">
        <v>64</v>
      </c>
      <c r="EF88" s="226">
        <v>224</v>
      </c>
      <c r="EG88" s="227">
        <v>22</v>
      </c>
      <c r="EH88" s="231">
        <v>6</v>
      </c>
      <c r="EI88" s="226">
        <v>741</v>
      </c>
      <c r="EJ88" s="128">
        <v>13</v>
      </c>
      <c r="EK88" s="17">
        <v>0</v>
      </c>
      <c r="EL88" s="237">
        <v>314</v>
      </c>
      <c r="EM88" s="50">
        <v>0</v>
      </c>
      <c r="EN88" s="231">
        <v>2</v>
      </c>
      <c r="EO88" s="237">
        <v>730</v>
      </c>
      <c r="EP88" s="227">
        <v>11</v>
      </c>
      <c r="EQ88" s="228">
        <v>10</v>
      </c>
      <c r="ER88" s="226">
        <v>3700</v>
      </c>
      <c r="ES88" s="227">
        <v>110</v>
      </c>
      <c r="ET88" s="228">
        <v>16</v>
      </c>
      <c r="EU88" s="236">
        <f>SuisseSwitzerland!B88</f>
        <v>15494</v>
      </c>
      <c r="EV88" s="234">
        <f>SuisseSwitzerland!C88</f>
        <v>345</v>
      </c>
      <c r="EW88" s="138">
        <f>SuisseSwitzerland!D88</f>
        <v>790</v>
      </c>
      <c r="EX88" s="226">
        <v>418</v>
      </c>
      <c r="EY88" s="227">
        <v>9</v>
      </c>
      <c r="EZ88" s="231">
        <v>5</v>
      </c>
      <c r="FA88" s="226">
        <v>6</v>
      </c>
      <c r="FB88" s="50">
        <v>0</v>
      </c>
      <c r="FC88" s="52">
        <v>0</v>
      </c>
      <c r="FD88" s="248"/>
      <c r="FE88" s="249"/>
    </row>
    <row r="89" spans="1:161" ht="12.75">
      <c r="A89" s="221">
        <v>43920</v>
      </c>
      <c r="B89" s="222">
        <f t="shared" ref="B89:D89" si="168">SUM(J89,M89,P89,S89,V89,Y89,AB89,AE89,AH89,AK89,AN89,AQ89,AT89,AW89,AZ89,BC89,BF89,BI89,BL89,CA89,CD89,BO89,BR89,BU89,BX89,CG89,CJ89,CM89,CP89,CS89,CV89,DH89,CY89,DB89,DE89,DK89,DN89,DQ89,DT89,DW89,DZ89,EC89,EF89,EI89,EL89,EO89,ER89,EU89,EX89,FA89)</f>
        <v>413874</v>
      </c>
      <c r="C89" s="223">
        <f t="shared" si="168"/>
        <v>26708</v>
      </c>
      <c r="D89" s="224">
        <f t="shared" si="168"/>
        <v>57460</v>
      </c>
      <c r="E89" s="225">
        <f t="shared" si="1"/>
        <v>329706</v>
      </c>
      <c r="F89" s="152">
        <f t="shared" ref="F89:H89" si="169">SUM(P89,S89,V89,AE89,AH89,AK89,AN89,AQ89,AT89,AW89,AZ89,BF89,BL89,BR89,BX89,CG89,CM89,CP89,CV89,DK89,DN89,DQ89,DT89,DZ89,EL89,EO89,ER89)</f>
        <v>363766</v>
      </c>
      <c r="G89" s="148">
        <f t="shared" si="169"/>
        <v>24757</v>
      </c>
      <c r="H89" s="149">
        <f t="shared" si="169"/>
        <v>55903</v>
      </c>
      <c r="I89" s="153">
        <f t="shared" si="3"/>
        <v>283106</v>
      </c>
      <c r="J89" s="226">
        <v>334</v>
      </c>
      <c r="K89" s="227">
        <v>6</v>
      </c>
      <c r="L89" s="231">
        <v>6</v>
      </c>
      <c r="M89" s="226">
        <v>223</v>
      </c>
      <c r="N89" s="227">
        <v>11</v>
      </c>
      <c r="O89" s="231">
        <v>44</v>
      </c>
      <c r="P89" s="226">
        <v>66711</v>
      </c>
      <c r="Q89" s="135">
        <v>645</v>
      </c>
      <c r="R89" s="229">
        <v>13500</v>
      </c>
      <c r="S89" s="226">
        <v>9597</v>
      </c>
      <c r="T89" s="227">
        <v>108</v>
      </c>
      <c r="U89" s="231">
        <v>636</v>
      </c>
      <c r="V89" s="226">
        <v>11899</v>
      </c>
      <c r="W89" s="227">
        <v>513</v>
      </c>
      <c r="X89" s="229">
        <v>1527</v>
      </c>
      <c r="Y89" s="226">
        <v>152</v>
      </c>
      <c r="Z89" s="50">
        <v>0</v>
      </c>
      <c r="AA89" s="231">
        <v>32</v>
      </c>
      <c r="AB89" s="226">
        <v>358</v>
      </c>
      <c r="AC89" s="227">
        <v>9</v>
      </c>
      <c r="AD89" s="231">
        <v>17</v>
      </c>
      <c r="AE89" s="226">
        <v>359</v>
      </c>
      <c r="AF89" s="227">
        <v>8</v>
      </c>
      <c r="AG89" s="231">
        <v>17</v>
      </c>
      <c r="AH89" s="226">
        <v>230</v>
      </c>
      <c r="AI89" s="227">
        <v>7</v>
      </c>
      <c r="AJ89" s="231">
        <v>22</v>
      </c>
      <c r="AK89" s="226">
        <v>790</v>
      </c>
      <c r="AL89" s="227">
        <v>6</v>
      </c>
      <c r="AM89" s="231">
        <v>67</v>
      </c>
      <c r="AN89" s="226">
        <v>2755</v>
      </c>
      <c r="AO89" s="227">
        <v>77</v>
      </c>
      <c r="AP89" s="231">
        <v>73</v>
      </c>
      <c r="AQ89" s="226">
        <v>85195</v>
      </c>
      <c r="AR89" s="227">
        <v>7340</v>
      </c>
      <c r="AS89" s="229">
        <v>16780</v>
      </c>
      <c r="AT89" s="226">
        <v>715</v>
      </c>
      <c r="AU89" s="227">
        <v>3</v>
      </c>
      <c r="AV89" s="231">
        <v>20</v>
      </c>
      <c r="AW89" s="226">
        <v>1352</v>
      </c>
      <c r="AX89" s="227">
        <v>13</v>
      </c>
      <c r="AY89" s="235">
        <v>10</v>
      </c>
      <c r="AZ89" s="226">
        <v>44550</v>
      </c>
      <c r="BA89" s="135">
        <v>3024</v>
      </c>
      <c r="BB89" s="229">
        <v>7924</v>
      </c>
      <c r="BC89" s="233">
        <v>1</v>
      </c>
      <c r="BD89" s="50">
        <v>0</v>
      </c>
      <c r="BE89" s="52">
        <v>0</v>
      </c>
      <c r="BF89" s="226">
        <v>1212</v>
      </c>
      <c r="BG89" s="227">
        <v>43</v>
      </c>
      <c r="BH89" s="231">
        <v>52</v>
      </c>
      <c r="BI89" s="226">
        <v>45</v>
      </c>
      <c r="BJ89" s="50">
        <v>0</v>
      </c>
      <c r="BK89" s="52">
        <v>0</v>
      </c>
      <c r="BL89" s="226">
        <v>447</v>
      </c>
      <c r="BM89" s="227">
        <v>15</v>
      </c>
      <c r="BN89" s="231">
        <v>34</v>
      </c>
      <c r="BO89" s="226">
        <v>168</v>
      </c>
      <c r="BP89" s="50">
        <v>0</v>
      </c>
      <c r="BQ89" s="52">
        <v>0</v>
      </c>
      <c r="BR89" s="226">
        <v>2910</v>
      </c>
      <c r="BS89" s="227">
        <v>54</v>
      </c>
      <c r="BT89" s="228">
        <v>5</v>
      </c>
      <c r="BU89" s="226">
        <v>1086</v>
      </c>
      <c r="BV89" s="234">
        <v>2</v>
      </c>
      <c r="BW89" s="231">
        <v>157</v>
      </c>
      <c r="BX89" s="226">
        <v>101739</v>
      </c>
      <c r="BY89" s="135">
        <v>11591</v>
      </c>
      <c r="BZ89" s="229">
        <v>14620</v>
      </c>
      <c r="CA89" s="226">
        <v>63</v>
      </c>
      <c r="CB89" s="227">
        <v>2</v>
      </c>
      <c r="CC89" s="52">
        <v>0</v>
      </c>
      <c r="CD89" s="105">
        <v>106</v>
      </c>
      <c r="CE89" s="227">
        <v>1</v>
      </c>
      <c r="CF89" s="138">
        <v>1</v>
      </c>
      <c r="CG89" s="226">
        <v>376</v>
      </c>
      <c r="CH89" s="50">
        <v>0</v>
      </c>
      <c r="CI89" s="228">
        <v>1</v>
      </c>
      <c r="CJ89" s="226">
        <v>64</v>
      </c>
      <c r="CK89" s="50">
        <v>0</v>
      </c>
      <c r="CL89" s="52">
        <v>0</v>
      </c>
      <c r="CM89" s="226">
        <v>491</v>
      </c>
      <c r="CN89" s="227">
        <v>7</v>
      </c>
      <c r="CO89" s="231">
        <v>7</v>
      </c>
      <c r="CP89" s="226">
        <v>1988</v>
      </c>
      <c r="CQ89" s="227">
        <v>22</v>
      </c>
      <c r="CR89" s="231">
        <v>40</v>
      </c>
      <c r="CS89" s="226">
        <v>285</v>
      </c>
      <c r="CT89" s="227">
        <v>7</v>
      </c>
      <c r="CU89" s="231">
        <v>12</v>
      </c>
      <c r="CV89" s="226">
        <v>156</v>
      </c>
      <c r="CW89" s="50">
        <v>0</v>
      </c>
      <c r="CX89" s="228">
        <v>2</v>
      </c>
      <c r="CY89" s="226">
        <v>298</v>
      </c>
      <c r="CZ89" s="227">
        <v>2</v>
      </c>
      <c r="DA89" s="231">
        <v>15</v>
      </c>
      <c r="DB89" s="226">
        <v>49</v>
      </c>
      <c r="DC89" s="227">
        <v>1</v>
      </c>
      <c r="DD89" s="228">
        <v>1</v>
      </c>
      <c r="DE89" s="226">
        <v>91</v>
      </c>
      <c r="DF89" s="234">
        <v>1</v>
      </c>
      <c r="DG89" s="52">
        <v>0</v>
      </c>
      <c r="DH89" s="226">
        <v>4445</v>
      </c>
      <c r="DI89" s="227">
        <v>32</v>
      </c>
      <c r="DJ89" s="231">
        <v>12</v>
      </c>
      <c r="DK89" s="226">
        <v>11817</v>
      </c>
      <c r="DL89" s="227">
        <v>865</v>
      </c>
      <c r="DM89" s="231">
        <v>253</v>
      </c>
      <c r="DN89" s="226">
        <v>2055</v>
      </c>
      <c r="DO89" s="227">
        <v>31</v>
      </c>
      <c r="DP89" s="228">
        <v>7</v>
      </c>
      <c r="DQ89" s="226">
        <v>6408</v>
      </c>
      <c r="DR89" s="227">
        <v>140</v>
      </c>
      <c r="DS89" s="231">
        <v>43</v>
      </c>
      <c r="DT89" s="226">
        <v>2942</v>
      </c>
      <c r="DU89" s="227">
        <v>23</v>
      </c>
      <c r="DV89" s="231">
        <v>25</v>
      </c>
      <c r="DW89" s="226">
        <v>22448</v>
      </c>
      <c r="DX89" s="227">
        <v>1411</v>
      </c>
      <c r="DY89" s="229">
        <v>171</v>
      </c>
      <c r="DZ89" s="226">
        <v>1952</v>
      </c>
      <c r="EA89" s="227">
        <v>65</v>
      </c>
      <c r="EB89" s="231">
        <v>209</v>
      </c>
      <c r="EC89" s="226">
        <v>1836</v>
      </c>
      <c r="ED89" s="227">
        <v>9</v>
      </c>
      <c r="EE89" s="229">
        <v>66</v>
      </c>
      <c r="EF89" s="226">
        <v>230</v>
      </c>
      <c r="EG89" s="227">
        <v>25</v>
      </c>
      <c r="EH89" s="231">
        <v>13</v>
      </c>
      <c r="EI89" s="226">
        <v>785</v>
      </c>
      <c r="EJ89" s="128">
        <v>16</v>
      </c>
      <c r="EK89" s="17">
        <v>0</v>
      </c>
      <c r="EL89" s="237">
        <v>336</v>
      </c>
      <c r="EM89" s="50">
        <v>0</v>
      </c>
      <c r="EN89" s="231">
        <v>3</v>
      </c>
      <c r="EO89" s="237">
        <v>756</v>
      </c>
      <c r="EP89" s="227">
        <v>11</v>
      </c>
      <c r="EQ89" s="228">
        <v>10</v>
      </c>
      <c r="ER89" s="226">
        <v>4028</v>
      </c>
      <c r="ES89" s="227">
        <v>146</v>
      </c>
      <c r="ET89" s="228">
        <v>16</v>
      </c>
      <c r="EU89" s="236">
        <f>SuisseSwitzerland!B89</f>
        <v>16555</v>
      </c>
      <c r="EV89" s="234">
        <f>SuisseSwitzerland!C89</f>
        <v>405</v>
      </c>
      <c r="EW89" s="138">
        <f>SuisseSwitzerland!D89</f>
        <v>1004</v>
      </c>
      <c r="EX89" s="226">
        <v>480</v>
      </c>
      <c r="EY89" s="227">
        <v>11</v>
      </c>
      <c r="EZ89" s="231">
        <v>6</v>
      </c>
      <c r="FA89" s="226">
        <v>6</v>
      </c>
      <c r="FB89" s="50">
        <v>0</v>
      </c>
      <c r="FC89" s="52">
        <v>0</v>
      </c>
      <c r="FD89" s="248"/>
      <c r="FE89" s="249"/>
    </row>
    <row r="90" spans="1:161" ht="25.5">
      <c r="A90" s="252">
        <v>43921</v>
      </c>
      <c r="B90" s="89">
        <f t="shared" ref="B90:D90" si="170">SUM(J90,M90,P90,S90,V90,Y90,AB90,AE90,AH90,AK90,AN90,AQ90,AT90,AW90,AZ90,BC90,BF90,BI90,BL90,CA90,CD90,BO90,BR90,BU90,BX90,CG90,CJ90,CM90,CP90,CS90,CV90,DH90,CY90,DB90,DE90,DK90,DN90,DQ90,DT90,DW90,DZ90,EC90,EF90,EI90,EL90,EO90,ER90,EU90,EX90,FA90)</f>
        <v>452045</v>
      </c>
      <c r="C90" s="156">
        <f t="shared" si="170"/>
        <v>30303</v>
      </c>
      <c r="D90" s="157">
        <f t="shared" si="170"/>
        <v>66336</v>
      </c>
      <c r="E90" s="90">
        <f t="shared" si="1"/>
        <v>355406</v>
      </c>
      <c r="F90" s="158">
        <f t="shared" ref="F90:H90" si="171">SUM(P90,S90,V90,AE90,AH90,AK90,AN90,AQ90,AT90,AW90,AZ90,BF90,BL90,BR90,BX90,CG90,CM90,CP90,CV90,DK90,DN90,DQ90,DT90,DZ90,EL90,EO90,ER90)</f>
        <v>396769</v>
      </c>
      <c r="G90" s="159">
        <f t="shared" si="171"/>
        <v>27863</v>
      </c>
      <c r="H90" s="160">
        <f t="shared" si="171"/>
        <v>64324</v>
      </c>
      <c r="I90" s="161">
        <f t="shared" si="3"/>
        <v>304582</v>
      </c>
      <c r="J90" s="116">
        <v>376</v>
      </c>
      <c r="K90" s="166">
        <v>12</v>
      </c>
      <c r="L90" s="169">
        <v>10</v>
      </c>
      <c r="M90" s="116">
        <v>243</v>
      </c>
      <c r="N90" s="166">
        <v>15</v>
      </c>
      <c r="O90" s="169">
        <v>52</v>
      </c>
      <c r="P90" s="116">
        <v>71690</v>
      </c>
      <c r="Q90" s="163">
        <v>774</v>
      </c>
      <c r="R90" s="162">
        <v>16100</v>
      </c>
      <c r="S90" s="116">
        <v>10180</v>
      </c>
      <c r="T90" s="166">
        <v>128</v>
      </c>
      <c r="U90" s="169">
        <v>1095</v>
      </c>
      <c r="V90" s="116">
        <v>12775</v>
      </c>
      <c r="W90" s="166">
        <v>705</v>
      </c>
      <c r="X90" s="162">
        <v>1696</v>
      </c>
      <c r="Y90" s="116">
        <v>152</v>
      </c>
      <c r="Z90" s="166">
        <v>1</v>
      </c>
      <c r="AA90" s="169">
        <v>47</v>
      </c>
      <c r="AB90" s="116">
        <v>420</v>
      </c>
      <c r="AC90" s="166">
        <v>13</v>
      </c>
      <c r="AD90" s="169">
        <v>17</v>
      </c>
      <c r="AE90" s="116">
        <v>399</v>
      </c>
      <c r="AF90" s="166">
        <v>8</v>
      </c>
      <c r="AG90" s="169">
        <v>17</v>
      </c>
      <c r="AH90" s="116">
        <v>262</v>
      </c>
      <c r="AI90" s="166">
        <v>8</v>
      </c>
      <c r="AJ90" s="169">
        <v>23</v>
      </c>
      <c r="AK90" s="116">
        <v>867</v>
      </c>
      <c r="AL90" s="166">
        <v>6</v>
      </c>
      <c r="AM90" s="169">
        <v>67</v>
      </c>
      <c r="AN90" s="116">
        <v>3039</v>
      </c>
      <c r="AO90" s="166">
        <v>90</v>
      </c>
      <c r="AP90" s="169">
        <v>77</v>
      </c>
      <c r="AQ90" s="116">
        <v>95923</v>
      </c>
      <c r="AR90" s="166">
        <v>8464</v>
      </c>
      <c r="AS90" s="162">
        <v>19259</v>
      </c>
      <c r="AT90" s="116">
        <v>745</v>
      </c>
      <c r="AU90" s="166">
        <v>4</v>
      </c>
      <c r="AV90" s="169">
        <v>26</v>
      </c>
      <c r="AW90" s="116">
        <v>1418</v>
      </c>
      <c r="AX90" s="166">
        <v>17</v>
      </c>
      <c r="AY90" s="257">
        <v>10</v>
      </c>
      <c r="AZ90" s="116">
        <v>52128</v>
      </c>
      <c r="BA90" s="163">
        <v>3523</v>
      </c>
      <c r="BB90" s="162">
        <v>9444</v>
      </c>
      <c r="BC90" s="258">
        <v>1</v>
      </c>
      <c r="BD90" s="61">
        <v>0</v>
      </c>
      <c r="BE90" s="259">
        <v>0</v>
      </c>
      <c r="BF90" s="116">
        <v>1314</v>
      </c>
      <c r="BG90" s="166">
        <v>49</v>
      </c>
      <c r="BH90" s="169">
        <v>52</v>
      </c>
      <c r="BI90" s="116">
        <v>60</v>
      </c>
      <c r="BJ90" s="166">
        <v>1</v>
      </c>
      <c r="BK90" s="259">
        <v>0</v>
      </c>
      <c r="BL90" s="116">
        <v>492</v>
      </c>
      <c r="BM90" s="166">
        <v>16</v>
      </c>
      <c r="BN90" s="169">
        <v>37</v>
      </c>
      <c r="BO90" s="116">
        <v>169</v>
      </c>
      <c r="BP90" s="61">
        <v>0</v>
      </c>
      <c r="BQ90" s="259">
        <v>0</v>
      </c>
      <c r="BR90" s="116">
        <v>3235</v>
      </c>
      <c r="BS90" s="166">
        <v>71</v>
      </c>
      <c r="BT90" s="260">
        <v>5</v>
      </c>
      <c r="BU90" s="116">
        <v>1135</v>
      </c>
      <c r="BV90" s="261">
        <v>2</v>
      </c>
      <c r="BW90" s="169">
        <v>198</v>
      </c>
      <c r="BX90" s="116">
        <v>105792</v>
      </c>
      <c r="BY90" s="163">
        <v>12428</v>
      </c>
      <c r="BZ90" s="162">
        <v>15729</v>
      </c>
      <c r="CA90" s="116">
        <v>63</v>
      </c>
      <c r="CB90" s="166">
        <v>2</v>
      </c>
      <c r="CC90" s="259">
        <v>0</v>
      </c>
      <c r="CD90" s="116">
        <v>112</v>
      </c>
      <c r="CE90" s="166">
        <v>1</v>
      </c>
      <c r="CF90" s="169">
        <v>6</v>
      </c>
      <c r="CG90" s="116">
        <v>398</v>
      </c>
      <c r="CH90" s="61">
        <v>0</v>
      </c>
      <c r="CI90" s="260">
        <v>1</v>
      </c>
      <c r="CJ90" s="116">
        <v>68</v>
      </c>
      <c r="CK90" s="61">
        <v>0</v>
      </c>
      <c r="CL90" s="259">
        <v>0</v>
      </c>
      <c r="CM90" s="116">
        <v>537</v>
      </c>
      <c r="CN90" s="166">
        <v>8</v>
      </c>
      <c r="CO90" s="169">
        <v>7</v>
      </c>
      <c r="CP90" s="116">
        <v>2178</v>
      </c>
      <c r="CQ90" s="166">
        <v>23</v>
      </c>
      <c r="CR90" s="169">
        <v>80</v>
      </c>
      <c r="CS90" s="116">
        <v>329</v>
      </c>
      <c r="CT90" s="166">
        <v>9</v>
      </c>
      <c r="CU90" s="169">
        <v>12</v>
      </c>
      <c r="CV90" s="116">
        <v>167</v>
      </c>
      <c r="CW90" s="61">
        <v>0</v>
      </c>
      <c r="CX90" s="260">
        <v>2</v>
      </c>
      <c r="CY90" s="116">
        <v>353</v>
      </c>
      <c r="CZ90" s="166">
        <v>3</v>
      </c>
      <c r="DA90" s="169">
        <v>18</v>
      </c>
      <c r="DB90" s="116">
        <v>52</v>
      </c>
      <c r="DC90" s="166">
        <v>1</v>
      </c>
      <c r="DD90" s="169">
        <v>2</v>
      </c>
      <c r="DE90" s="116">
        <v>105</v>
      </c>
      <c r="DF90" s="166">
        <v>2</v>
      </c>
      <c r="DG90" s="259">
        <v>0</v>
      </c>
      <c r="DH90" s="116">
        <v>4641</v>
      </c>
      <c r="DI90" s="166">
        <v>39</v>
      </c>
      <c r="DJ90" s="169">
        <v>13</v>
      </c>
      <c r="DK90" s="116">
        <v>12667</v>
      </c>
      <c r="DL90" s="166">
        <v>1040</v>
      </c>
      <c r="DM90" s="169">
        <v>253</v>
      </c>
      <c r="DN90" s="116">
        <v>2311</v>
      </c>
      <c r="DO90" s="166">
        <v>33</v>
      </c>
      <c r="DP90" s="260">
        <v>7</v>
      </c>
      <c r="DQ90" s="116">
        <v>7443</v>
      </c>
      <c r="DR90" s="166">
        <v>160</v>
      </c>
      <c r="DS90" s="169">
        <v>43</v>
      </c>
      <c r="DT90" s="116">
        <v>3257</v>
      </c>
      <c r="DU90" s="166">
        <v>31</v>
      </c>
      <c r="DV90" s="169">
        <v>45</v>
      </c>
      <c r="DW90" s="116">
        <v>25479</v>
      </c>
      <c r="DX90" s="166">
        <v>1793</v>
      </c>
      <c r="DY90" s="162">
        <v>179</v>
      </c>
      <c r="DZ90" s="116">
        <v>1952</v>
      </c>
      <c r="EA90" s="166">
        <v>82</v>
      </c>
      <c r="EB90" s="169">
        <v>220</v>
      </c>
      <c r="EC90" s="116">
        <v>2337</v>
      </c>
      <c r="ED90" s="166">
        <v>17</v>
      </c>
      <c r="EE90" s="162">
        <v>121</v>
      </c>
      <c r="EF90" s="116">
        <v>236</v>
      </c>
      <c r="EG90" s="166">
        <v>26</v>
      </c>
      <c r="EH90" s="169">
        <v>13</v>
      </c>
      <c r="EI90" s="116">
        <v>785</v>
      </c>
      <c r="EJ90" s="166">
        <v>16</v>
      </c>
      <c r="EK90" s="24">
        <v>0</v>
      </c>
      <c r="EL90" s="92">
        <v>363</v>
      </c>
      <c r="EM90" s="61">
        <v>0</v>
      </c>
      <c r="EN90" s="169">
        <v>3</v>
      </c>
      <c r="EO90" s="92">
        <v>802</v>
      </c>
      <c r="EP90" s="166">
        <v>15</v>
      </c>
      <c r="EQ90" s="260">
        <v>10</v>
      </c>
      <c r="ER90" s="116">
        <v>4435</v>
      </c>
      <c r="ES90" s="166">
        <v>180</v>
      </c>
      <c r="ET90" s="260">
        <v>16</v>
      </c>
      <c r="EU90" s="262">
        <f>SuisseSwitzerland!B90</f>
        <v>17509</v>
      </c>
      <c r="EV90" s="261">
        <f>SuisseSwitzerland!C90</f>
        <v>470</v>
      </c>
      <c r="EW90" s="169">
        <f>SuisseSwitzerland!D90</f>
        <v>1314</v>
      </c>
      <c r="EX90" s="116">
        <v>645</v>
      </c>
      <c r="EY90" s="166">
        <v>17</v>
      </c>
      <c r="EZ90" s="169">
        <v>10</v>
      </c>
      <c r="FA90" s="116">
        <v>6</v>
      </c>
      <c r="FB90" s="61">
        <v>0</v>
      </c>
      <c r="FC90" s="259">
        <v>0</v>
      </c>
      <c r="FD90" s="263" t="s">
        <v>493</v>
      </c>
      <c r="FE90" s="264" t="s">
        <v>494</v>
      </c>
    </row>
    <row r="91" spans="1:161" ht="12.75">
      <c r="A91" s="221">
        <v>43922</v>
      </c>
      <c r="B91" s="222">
        <f t="shared" ref="B91:D91" si="172">SUM(J91,M91,P91,S91,V91,Y91,AB91,AE91,AH91,AK91,AN91,AQ91,AT91,AW91,AZ91,BC91,BF91,BI91,BL91,CA91,CD91,BO91,BR91,BU91,BX91,CG91,CJ91,CM91,CP91,CS91,CV91,DH91,CY91,DB91,DE91,DK91,DN91,DQ91,DT91,DW91,DZ91,EC91,EF91,EI91,EL91,EO91,ER91,EU91,EX91,FA91)</f>
        <v>488736</v>
      </c>
      <c r="C91" s="223">
        <f t="shared" si="172"/>
        <v>34059</v>
      </c>
      <c r="D91" s="224">
        <f t="shared" si="172"/>
        <v>76935</v>
      </c>
      <c r="E91" s="225">
        <f t="shared" si="1"/>
        <v>377742</v>
      </c>
      <c r="F91" s="152">
        <f t="shared" ref="F91:H91" si="173">SUM(P91,S91,V91,AE91,AH91,AK91,AN91,AQ91,AT91,AW91,AZ91,BF91,BL91,BR91,BX91,CG91,CM91,CP91,CV91,DK91,DN91,DQ91,DT91,DZ91,EL91,EO91,ER91)</f>
        <v>427026</v>
      </c>
      <c r="G91" s="148">
        <f t="shared" si="173"/>
        <v>30973</v>
      </c>
      <c r="H91" s="149">
        <f t="shared" si="173"/>
        <v>74708</v>
      </c>
      <c r="I91" s="153">
        <f t="shared" si="3"/>
        <v>321345</v>
      </c>
      <c r="J91" s="226">
        <v>390</v>
      </c>
      <c r="K91" s="227">
        <v>14</v>
      </c>
      <c r="L91" s="231">
        <v>10</v>
      </c>
      <c r="M91" s="226">
        <v>259</v>
      </c>
      <c r="N91" s="227">
        <v>15</v>
      </c>
      <c r="O91" s="231">
        <v>67</v>
      </c>
      <c r="P91" s="226">
        <v>77872</v>
      </c>
      <c r="Q91" s="135">
        <v>920</v>
      </c>
      <c r="R91" s="229">
        <v>18700</v>
      </c>
      <c r="S91" s="226">
        <v>10711</v>
      </c>
      <c r="T91" s="227">
        <v>146</v>
      </c>
      <c r="U91" s="231">
        <v>1436</v>
      </c>
      <c r="V91" s="226">
        <v>13964</v>
      </c>
      <c r="W91" s="227">
        <v>828</v>
      </c>
      <c r="X91" s="229">
        <v>2132</v>
      </c>
      <c r="Y91" s="226">
        <v>163</v>
      </c>
      <c r="Z91" s="227">
        <v>2</v>
      </c>
      <c r="AA91" s="231">
        <v>52</v>
      </c>
      <c r="AB91" s="226">
        <v>457</v>
      </c>
      <c r="AC91" s="227">
        <v>13</v>
      </c>
      <c r="AD91" s="231">
        <v>19</v>
      </c>
      <c r="AE91" s="226">
        <v>422</v>
      </c>
      <c r="AF91" s="227">
        <v>10</v>
      </c>
      <c r="AG91" s="231">
        <v>20</v>
      </c>
      <c r="AH91" s="226">
        <v>320</v>
      </c>
      <c r="AI91" s="227">
        <v>9</v>
      </c>
      <c r="AJ91" s="231">
        <v>28</v>
      </c>
      <c r="AK91" s="226">
        <v>963</v>
      </c>
      <c r="AL91" s="227">
        <v>6</v>
      </c>
      <c r="AM91" s="231">
        <v>73</v>
      </c>
      <c r="AN91" s="226">
        <v>3290</v>
      </c>
      <c r="AO91" s="227">
        <v>104</v>
      </c>
      <c r="AP91" s="231">
        <v>971</v>
      </c>
      <c r="AQ91" s="226">
        <v>104118</v>
      </c>
      <c r="AR91" s="227">
        <v>9387</v>
      </c>
      <c r="AS91" s="229">
        <v>22647</v>
      </c>
      <c r="AT91" s="226">
        <v>779</v>
      </c>
      <c r="AU91" s="227">
        <v>5</v>
      </c>
      <c r="AV91" s="231">
        <v>33</v>
      </c>
      <c r="AW91" s="226">
        <v>1446</v>
      </c>
      <c r="AX91" s="227">
        <v>17</v>
      </c>
      <c r="AY91" s="235">
        <v>10</v>
      </c>
      <c r="AZ91" s="226">
        <v>56989</v>
      </c>
      <c r="BA91" s="135">
        <f>4032+371</f>
        <v>4403</v>
      </c>
      <c r="BB91" s="229">
        <v>10935</v>
      </c>
      <c r="BC91" s="233">
        <v>1</v>
      </c>
      <c r="BD91" s="50">
        <v>0</v>
      </c>
      <c r="BE91" s="52">
        <v>0</v>
      </c>
      <c r="BF91" s="226">
        <v>1415</v>
      </c>
      <c r="BG91" s="227">
        <v>50</v>
      </c>
      <c r="BH91" s="231">
        <v>52</v>
      </c>
      <c r="BI91" s="226">
        <v>78</v>
      </c>
      <c r="BJ91" s="227">
        <v>1</v>
      </c>
      <c r="BK91" s="52">
        <v>0</v>
      </c>
      <c r="BL91" s="226">
        <v>525</v>
      </c>
      <c r="BM91" s="227">
        <v>20</v>
      </c>
      <c r="BN91" s="231">
        <v>40</v>
      </c>
      <c r="BO91" s="226">
        <v>173</v>
      </c>
      <c r="BP91" s="50">
        <v>0</v>
      </c>
      <c r="BQ91" s="52">
        <v>0</v>
      </c>
      <c r="BR91" s="226">
        <v>3447</v>
      </c>
      <c r="BS91" s="227">
        <v>85</v>
      </c>
      <c r="BT91" s="228">
        <v>5</v>
      </c>
      <c r="BU91" s="226">
        <v>1220</v>
      </c>
      <c r="BV91" s="234">
        <v>2</v>
      </c>
      <c r="BW91" s="231">
        <v>225</v>
      </c>
      <c r="BX91" s="226">
        <v>110574</v>
      </c>
      <c r="BY91" s="135">
        <v>13155</v>
      </c>
      <c r="BZ91" s="229">
        <v>16847</v>
      </c>
      <c r="CA91" s="226">
        <v>81</v>
      </c>
      <c r="CB91" s="227">
        <v>2</v>
      </c>
      <c r="CC91" s="52">
        <v>0</v>
      </c>
      <c r="CD91" s="105">
        <v>125</v>
      </c>
      <c r="CE91" s="227">
        <v>1</v>
      </c>
      <c r="CF91" s="138">
        <v>6</v>
      </c>
      <c r="CG91" s="226">
        <v>446</v>
      </c>
      <c r="CH91" s="50">
        <v>0</v>
      </c>
      <c r="CI91" s="228">
        <v>1</v>
      </c>
      <c r="CJ91" s="226">
        <v>68</v>
      </c>
      <c r="CK91" s="50">
        <v>0</v>
      </c>
      <c r="CL91" s="52">
        <v>0</v>
      </c>
      <c r="CM91" s="226">
        <v>581</v>
      </c>
      <c r="CN91" s="227">
        <v>8</v>
      </c>
      <c r="CO91" s="231">
        <v>7</v>
      </c>
      <c r="CP91" s="226">
        <v>2319</v>
      </c>
      <c r="CQ91" s="227">
        <v>29</v>
      </c>
      <c r="CR91" s="231">
        <v>80</v>
      </c>
      <c r="CS91" s="226">
        <v>354</v>
      </c>
      <c r="CT91" s="227">
        <v>11</v>
      </c>
      <c r="CU91" s="231">
        <v>17</v>
      </c>
      <c r="CV91" s="226">
        <v>188</v>
      </c>
      <c r="CW91" s="50">
        <v>0</v>
      </c>
      <c r="CX91" s="228">
        <v>2</v>
      </c>
      <c r="CY91" s="226">
        <v>423</v>
      </c>
      <c r="CZ91" s="227">
        <v>5</v>
      </c>
      <c r="DA91" s="231">
        <v>23</v>
      </c>
      <c r="DB91" s="226">
        <v>55</v>
      </c>
      <c r="DC91" s="227">
        <v>1</v>
      </c>
      <c r="DD91" s="231">
        <v>2</v>
      </c>
      <c r="DE91" s="226">
        <v>120</v>
      </c>
      <c r="DF91" s="227">
        <v>2</v>
      </c>
      <c r="DG91" s="52">
        <v>0</v>
      </c>
      <c r="DH91" s="226">
        <v>4863</v>
      </c>
      <c r="DI91" s="227">
        <v>44</v>
      </c>
      <c r="DJ91" s="231">
        <v>13</v>
      </c>
      <c r="DK91" s="226">
        <v>13696</v>
      </c>
      <c r="DL91" s="227">
        <v>1175</v>
      </c>
      <c r="DM91" s="231">
        <v>257</v>
      </c>
      <c r="DN91" s="226">
        <v>2554</v>
      </c>
      <c r="DO91" s="227">
        <v>43</v>
      </c>
      <c r="DP91" s="231">
        <v>47</v>
      </c>
      <c r="DQ91" s="226">
        <v>8251</v>
      </c>
      <c r="DR91" s="227">
        <v>187</v>
      </c>
      <c r="DS91" s="231">
        <v>43</v>
      </c>
      <c r="DT91" s="226">
        <v>3508</v>
      </c>
      <c r="DU91" s="227">
        <v>39</v>
      </c>
      <c r="DV91" s="231">
        <v>61</v>
      </c>
      <c r="DW91" s="226">
        <v>29865</v>
      </c>
      <c r="DX91" s="227">
        <v>2357</v>
      </c>
      <c r="DY91" s="229">
        <v>179</v>
      </c>
      <c r="DZ91" s="226">
        <v>2460</v>
      </c>
      <c r="EA91" s="227">
        <v>92</v>
      </c>
      <c r="EB91" s="231">
        <v>252</v>
      </c>
      <c r="EC91" s="226">
        <v>2337</v>
      </c>
      <c r="ED91" s="227">
        <v>17</v>
      </c>
      <c r="EE91" s="229">
        <v>121</v>
      </c>
      <c r="EF91" s="226">
        <v>236</v>
      </c>
      <c r="EG91" s="227">
        <v>26</v>
      </c>
      <c r="EH91" s="231">
        <v>13</v>
      </c>
      <c r="EI91" s="226">
        <v>1060</v>
      </c>
      <c r="EJ91" s="128">
        <v>28</v>
      </c>
      <c r="EK91" s="17">
        <v>0</v>
      </c>
      <c r="EL91" s="237">
        <v>400</v>
      </c>
      <c r="EM91" s="227">
        <v>1</v>
      </c>
      <c r="EN91" s="231">
        <v>3</v>
      </c>
      <c r="EO91" s="237">
        <v>841</v>
      </c>
      <c r="EP91" s="227">
        <v>15</v>
      </c>
      <c r="EQ91" s="228">
        <v>10</v>
      </c>
      <c r="ER91" s="226">
        <v>4947</v>
      </c>
      <c r="ES91" s="227">
        <v>239</v>
      </c>
      <c r="ET91" s="228">
        <v>16</v>
      </c>
      <c r="EU91" s="236">
        <f>SuisseSwitzerland!B91</f>
        <v>18582</v>
      </c>
      <c r="EV91" s="234">
        <f>SuisseSwitzerland!C91</f>
        <v>525</v>
      </c>
      <c r="EW91" s="138">
        <f>SuisseSwitzerland!D91</f>
        <v>1467</v>
      </c>
      <c r="EX91" s="226">
        <v>794</v>
      </c>
      <c r="EY91" s="227">
        <v>20</v>
      </c>
      <c r="EZ91" s="231">
        <v>13</v>
      </c>
      <c r="FA91" s="226">
        <v>6</v>
      </c>
      <c r="FB91" s="50">
        <v>0</v>
      </c>
      <c r="FC91" s="52">
        <v>0</v>
      </c>
      <c r="FD91" s="238" t="s">
        <v>497</v>
      </c>
      <c r="FE91" s="239" t="s">
        <v>498</v>
      </c>
    </row>
    <row r="92" spans="1:161" ht="12.75">
      <c r="A92" s="221">
        <v>43923</v>
      </c>
      <c r="B92" s="222">
        <f t="shared" ref="B92:D92" si="174">SUM(J92,M92,P92,S92,V92,Y92,AB92,AE92,AH92,AK92,AN92,AQ92,AT92,AW92,AZ92,BC92,BF92,BI92,BL92,CA92,CD92,BO92,BR92,BU92,BX92,CG92,CJ92,CM92,CP92,CS92,CV92,DH92,CY92,DB92,DE92,DK92,DN92,DQ92,DT92,DW92,DZ92,EC92,EF92,EI92,EL92,EO92,ER92,EU92,EX92,FA92)</f>
        <v>517638</v>
      </c>
      <c r="C92" s="223">
        <f t="shared" si="174"/>
        <v>37820</v>
      </c>
      <c r="D92" s="224">
        <f t="shared" si="174"/>
        <v>89440</v>
      </c>
      <c r="E92" s="225">
        <f t="shared" si="1"/>
        <v>390378</v>
      </c>
      <c r="F92" s="152">
        <f t="shared" ref="F92:H92" si="175">SUM(P92,S92,V92,AE92,AH92,AK92,AN92,AQ92,AT92,AW92,AZ92,BF92,BL92,BR92,BX92,CG92,CM92,CP92,CV92,DK92,DN92,DQ92,DT92,DZ92,EL92,EO92,ER92)</f>
        <v>448313</v>
      </c>
      <c r="G92" s="148">
        <f t="shared" si="175"/>
        <v>34065</v>
      </c>
      <c r="H92" s="149">
        <f t="shared" si="175"/>
        <v>86882</v>
      </c>
      <c r="I92" s="153">
        <f t="shared" si="3"/>
        <v>327366</v>
      </c>
      <c r="J92" s="226">
        <v>429</v>
      </c>
      <c r="K92" s="227">
        <v>15</v>
      </c>
      <c r="L92" s="231">
        <v>10</v>
      </c>
      <c r="M92" s="226">
        <v>277</v>
      </c>
      <c r="N92" s="227">
        <v>16</v>
      </c>
      <c r="O92" s="231">
        <v>76</v>
      </c>
      <c r="P92" s="226">
        <v>79696</v>
      </c>
      <c r="Q92" s="135">
        <v>1107</v>
      </c>
      <c r="R92" s="229">
        <v>22440</v>
      </c>
      <c r="S92" s="226">
        <v>11129</v>
      </c>
      <c r="T92" s="227">
        <v>158</v>
      </c>
      <c r="U92" s="231">
        <v>1749</v>
      </c>
      <c r="V92" s="226">
        <v>15348</v>
      </c>
      <c r="W92" s="227">
        <v>1011</v>
      </c>
      <c r="X92" s="229">
        <v>2495</v>
      </c>
      <c r="Y92" s="226">
        <v>254</v>
      </c>
      <c r="Z92" s="227">
        <v>4</v>
      </c>
      <c r="AA92" s="231">
        <v>52</v>
      </c>
      <c r="AB92" s="226">
        <v>521</v>
      </c>
      <c r="AC92" s="227">
        <v>16</v>
      </c>
      <c r="AD92" s="231">
        <v>20</v>
      </c>
      <c r="AE92" s="226">
        <v>457</v>
      </c>
      <c r="AF92" s="227">
        <v>10</v>
      </c>
      <c r="AG92" s="231">
        <v>25</v>
      </c>
      <c r="AH92" s="226">
        <v>356</v>
      </c>
      <c r="AI92" s="227">
        <v>9</v>
      </c>
      <c r="AJ92" s="231">
        <v>28</v>
      </c>
      <c r="AK92" s="226">
        <v>1011</v>
      </c>
      <c r="AL92" s="227">
        <v>7</v>
      </c>
      <c r="AM92" s="231">
        <v>88</v>
      </c>
      <c r="AN92" s="226">
        <v>3386</v>
      </c>
      <c r="AO92" s="227">
        <v>123</v>
      </c>
      <c r="AP92" s="231">
        <v>1172</v>
      </c>
      <c r="AQ92" s="226">
        <v>110238</v>
      </c>
      <c r="AR92" s="227">
        <v>10003</v>
      </c>
      <c r="AS92" s="229">
        <v>26743</v>
      </c>
      <c r="AT92" s="226">
        <v>858</v>
      </c>
      <c r="AU92" s="227">
        <v>11</v>
      </c>
      <c r="AV92" s="231">
        <v>45</v>
      </c>
      <c r="AW92" s="226">
        <v>1518</v>
      </c>
      <c r="AX92" s="227">
        <v>19</v>
      </c>
      <c r="AY92" s="229">
        <v>300</v>
      </c>
      <c r="AZ92" s="226">
        <v>59105</v>
      </c>
      <c r="BA92" s="135">
        <f>4503+884</f>
        <v>5387</v>
      </c>
      <c r="BB92" s="229">
        <v>12428</v>
      </c>
      <c r="BC92" s="233">
        <v>1</v>
      </c>
      <c r="BD92" s="50">
        <v>0</v>
      </c>
      <c r="BE92" s="52">
        <v>0</v>
      </c>
      <c r="BF92" s="226">
        <v>1544</v>
      </c>
      <c r="BG92" s="227">
        <v>53</v>
      </c>
      <c r="BH92" s="231">
        <v>61</v>
      </c>
      <c r="BI92" s="226">
        <v>91</v>
      </c>
      <c r="BJ92" s="227">
        <v>1</v>
      </c>
      <c r="BK92" s="52">
        <v>0</v>
      </c>
      <c r="BL92" s="226">
        <v>585</v>
      </c>
      <c r="BM92" s="227">
        <v>21</v>
      </c>
      <c r="BN92" s="231">
        <v>42</v>
      </c>
      <c r="BO92" s="226">
        <v>177</v>
      </c>
      <c r="BP92" s="50">
        <v>0</v>
      </c>
      <c r="BQ92" s="52">
        <v>0</v>
      </c>
      <c r="BR92" s="226">
        <v>3849</v>
      </c>
      <c r="BS92" s="227">
        <v>98</v>
      </c>
      <c r="BT92" s="228">
        <v>5</v>
      </c>
      <c r="BU92" s="226">
        <v>1319</v>
      </c>
      <c r="BV92" s="227">
        <v>4</v>
      </c>
      <c r="BW92" s="231">
        <v>284</v>
      </c>
      <c r="BX92" s="226">
        <v>115242</v>
      </c>
      <c r="BY92" s="135">
        <v>13917</v>
      </c>
      <c r="BZ92" s="229">
        <v>18278</v>
      </c>
      <c r="CA92" s="226">
        <v>81</v>
      </c>
      <c r="CB92" s="227">
        <v>2</v>
      </c>
      <c r="CC92" s="52">
        <v>0</v>
      </c>
      <c r="CD92" s="105">
        <v>126</v>
      </c>
      <c r="CE92" s="227">
        <v>1</v>
      </c>
      <c r="CF92" s="138">
        <v>10</v>
      </c>
      <c r="CG92" s="226">
        <v>458</v>
      </c>
      <c r="CH92" s="50">
        <v>0</v>
      </c>
      <c r="CI92" s="231">
        <v>1</v>
      </c>
      <c r="CJ92" s="226">
        <v>75</v>
      </c>
      <c r="CK92" s="50">
        <v>0</v>
      </c>
      <c r="CL92" s="52">
        <v>0</v>
      </c>
      <c r="CM92" s="226">
        <v>649</v>
      </c>
      <c r="CN92" s="227">
        <v>9</v>
      </c>
      <c r="CO92" s="231">
        <v>7</v>
      </c>
      <c r="CP92" s="226">
        <v>2487</v>
      </c>
      <c r="CQ92" s="227">
        <v>30</v>
      </c>
      <c r="CR92" s="231">
        <v>80</v>
      </c>
      <c r="CS92" s="226">
        <v>384</v>
      </c>
      <c r="CT92" s="227">
        <v>11</v>
      </c>
      <c r="CU92" s="231">
        <v>17</v>
      </c>
      <c r="CV92" s="226">
        <v>195</v>
      </c>
      <c r="CW92" s="50">
        <v>0</v>
      </c>
      <c r="CX92" s="228">
        <v>2</v>
      </c>
      <c r="CY92" s="226">
        <v>591</v>
      </c>
      <c r="CZ92" s="227">
        <v>8</v>
      </c>
      <c r="DA92" s="231">
        <v>23</v>
      </c>
      <c r="DB92" s="226">
        <v>60</v>
      </c>
      <c r="DC92" s="227">
        <v>1</v>
      </c>
      <c r="DD92" s="231">
        <v>2</v>
      </c>
      <c r="DE92" s="226">
        <v>140</v>
      </c>
      <c r="DF92" s="227">
        <v>2</v>
      </c>
      <c r="DG92" s="52">
        <v>0</v>
      </c>
      <c r="DH92" s="226">
        <v>5147</v>
      </c>
      <c r="DI92" s="227">
        <v>50</v>
      </c>
      <c r="DJ92" s="231">
        <v>32</v>
      </c>
      <c r="DK92" s="226">
        <v>14788</v>
      </c>
      <c r="DL92" s="227">
        <v>1341</v>
      </c>
      <c r="DM92" s="231">
        <v>257</v>
      </c>
      <c r="DN92" s="226">
        <v>2946</v>
      </c>
      <c r="DO92" s="227">
        <v>57</v>
      </c>
      <c r="DP92" s="231">
        <v>56</v>
      </c>
      <c r="DQ92" s="226">
        <v>9034</v>
      </c>
      <c r="DR92" s="227">
        <v>209</v>
      </c>
      <c r="DS92" s="231">
        <v>68</v>
      </c>
      <c r="DT92" s="226">
        <v>3805</v>
      </c>
      <c r="DU92" s="227">
        <v>44</v>
      </c>
      <c r="DV92" s="231">
        <v>67</v>
      </c>
      <c r="DW92" s="226">
        <v>34173</v>
      </c>
      <c r="DX92" s="227">
        <v>2926</v>
      </c>
      <c r="DY92" s="229">
        <v>192</v>
      </c>
      <c r="DZ92" s="226">
        <v>2738</v>
      </c>
      <c r="EA92" s="227">
        <v>115</v>
      </c>
      <c r="EB92" s="231">
        <v>267</v>
      </c>
      <c r="EC92" s="226">
        <v>3548</v>
      </c>
      <c r="ED92" s="227">
        <v>30</v>
      </c>
      <c r="EE92" s="229">
        <v>235</v>
      </c>
      <c r="EF92" s="226">
        <v>245</v>
      </c>
      <c r="EG92" s="227">
        <v>30</v>
      </c>
      <c r="EH92" s="231">
        <v>21</v>
      </c>
      <c r="EI92" s="226">
        <v>1171</v>
      </c>
      <c r="EJ92" s="128">
        <v>31</v>
      </c>
      <c r="EK92" s="17">
        <v>0</v>
      </c>
      <c r="EL92" s="237">
        <v>426</v>
      </c>
      <c r="EM92" s="227">
        <v>1</v>
      </c>
      <c r="EN92" s="231">
        <v>5</v>
      </c>
      <c r="EO92" s="237">
        <v>897</v>
      </c>
      <c r="EP92" s="227">
        <v>17</v>
      </c>
      <c r="EQ92" s="231">
        <v>70</v>
      </c>
      <c r="ER92" s="226">
        <v>5568</v>
      </c>
      <c r="ES92" s="227">
        <v>308</v>
      </c>
      <c r="ET92" s="231">
        <v>103</v>
      </c>
      <c r="EU92" s="236">
        <f>SuisseSwitzerland!B92</f>
        <v>19611</v>
      </c>
      <c r="EV92" s="234">
        <f>SuisseSwitzerland!C92</f>
        <v>585</v>
      </c>
      <c r="EW92" s="138">
        <f>SuisseSwitzerland!D92</f>
        <v>1565</v>
      </c>
      <c r="EX92" s="226">
        <v>897</v>
      </c>
      <c r="EY92" s="227">
        <v>22</v>
      </c>
      <c r="EZ92" s="231">
        <v>19</v>
      </c>
      <c r="FA92" s="226">
        <v>7</v>
      </c>
      <c r="FB92" s="50">
        <v>0</v>
      </c>
      <c r="FC92" s="52">
        <v>0</v>
      </c>
      <c r="FD92" s="238"/>
      <c r="FE92" s="239"/>
    </row>
    <row r="93" spans="1:161" ht="12.75">
      <c r="A93" s="221">
        <v>43924</v>
      </c>
      <c r="B93" s="222">
        <f t="shared" ref="B93:D93" si="176">SUM(J93,M93,P93,S93,V93,Y93,AB93,AE93,AH93,AK93,AN93,AQ93,AT93,AW93,AZ93,BC93,BF93,BI93,BL93,CA93,CD93,BO93,BR93,BU93,BX93,CG93,CJ93,CM93,CP93,CS93,CV93,DH93,CY93,DB93,DE93,DK93,DN93,DQ93,DT93,DW93,DZ93,EC93,EF93,EI93,EL93,EO93,ER93,EU93,EX93,FA93)</f>
        <v>562070</v>
      </c>
      <c r="C93" s="223">
        <f t="shared" si="176"/>
        <v>42325</v>
      </c>
      <c r="D93" s="224">
        <f t="shared" si="176"/>
        <v>96214</v>
      </c>
      <c r="E93" s="225">
        <f t="shared" si="1"/>
        <v>423531</v>
      </c>
      <c r="F93" s="152">
        <f t="shared" ref="F93:H93" si="177">SUM(P93,S93,V93,AE93,AH93,AK93,AN93,AQ93,AT93,AW93,AZ93,BF93,BL93,BR93,BX93,CG93,CM93,CP93,CV93,DK93,DN93,DQ93,DT93,DZ93,EL93,EO93,ER93)</f>
        <v>485672</v>
      </c>
      <c r="G93" s="148">
        <f t="shared" si="177"/>
        <v>37796</v>
      </c>
      <c r="H93" s="149">
        <f t="shared" si="177"/>
        <v>93396</v>
      </c>
      <c r="I93" s="153">
        <f t="shared" si="3"/>
        <v>354480</v>
      </c>
      <c r="J93" s="226">
        <v>439</v>
      </c>
      <c r="K93" s="227">
        <v>16</v>
      </c>
      <c r="L93" s="231">
        <v>16</v>
      </c>
      <c r="M93" s="226">
        <v>304</v>
      </c>
      <c r="N93" s="227">
        <v>17</v>
      </c>
      <c r="O93" s="231">
        <v>76</v>
      </c>
      <c r="P93" s="226">
        <v>91159</v>
      </c>
      <c r="Q93" s="135">
        <v>1275</v>
      </c>
      <c r="R93" s="229">
        <v>24575</v>
      </c>
      <c r="S93" s="226">
        <v>11506</v>
      </c>
      <c r="T93" s="227">
        <v>168</v>
      </c>
      <c r="U93" s="231">
        <v>2022</v>
      </c>
      <c r="V93" s="226">
        <v>16770</v>
      </c>
      <c r="W93" s="227">
        <v>1143</v>
      </c>
      <c r="X93" s="229">
        <v>2872</v>
      </c>
      <c r="Y93" s="226">
        <v>351</v>
      </c>
      <c r="Z93" s="227">
        <v>4</v>
      </c>
      <c r="AA93" s="231">
        <v>52</v>
      </c>
      <c r="AB93" s="226">
        <v>579</v>
      </c>
      <c r="AC93" s="227">
        <v>17</v>
      </c>
      <c r="AD93" s="231">
        <v>27</v>
      </c>
      <c r="AE93" s="226">
        <v>485</v>
      </c>
      <c r="AF93" s="227">
        <v>14</v>
      </c>
      <c r="AG93" s="231">
        <v>25</v>
      </c>
      <c r="AH93" s="226">
        <v>396</v>
      </c>
      <c r="AI93" s="227">
        <v>9</v>
      </c>
      <c r="AJ93" s="231">
        <v>28</v>
      </c>
      <c r="AK93" s="226">
        <v>1079</v>
      </c>
      <c r="AL93" s="227">
        <v>8</v>
      </c>
      <c r="AM93" s="231">
        <v>92</v>
      </c>
      <c r="AN93" s="226">
        <v>3946</v>
      </c>
      <c r="AO93" s="227">
        <v>139</v>
      </c>
      <c r="AP93" s="231">
        <v>1287</v>
      </c>
      <c r="AQ93" s="226">
        <v>119199</v>
      </c>
      <c r="AR93" s="227">
        <v>11198</v>
      </c>
      <c r="AS93" s="229">
        <v>26743</v>
      </c>
      <c r="AT93" s="226">
        <v>961</v>
      </c>
      <c r="AU93" s="227">
        <v>12</v>
      </c>
      <c r="AV93" s="231">
        <v>48</v>
      </c>
      <c r="AW93" s="226">
        <v>1615</v>
      </c>
      <c r="AX93" s="227">
        <v>20</v>
      </c>
      <c r="AY93" s="229">
        <v>300</v>
      </c>
      <c r="AZ93" s="226">
        <v>64338</v>
      </c>
      <c r="BA93" s="135">
        <f>5091+1416</f>
        <v>6507</v>
      </c>
      <c r="BB93" s="229">
        <v>14008</v>
      </c>
      <c r="BC93" s="233">
        <v>1</v>
      </c>
      <c r="BD93" s="50">
        <v>0</v>
      </c>
      <c r="BE93" s="52">
        <v>0</v>
      </c>
      <c r="BF93" s="226">
        <v>1613</v>
      </c>
      <c r="BG93" s="227">
        <v>63</v>
      </c>
      <c r="BH93" s="231">
        <v>61</v>
      </c>
      <c r="BI93" s="226">
        <v>91</v>
      </c>
      <c r="BJ93" s="227">
        <v>1</v>
      </c>
      <c r="BK93" s="52">
        <v>0</v>
      </c>
      <c r="BL93" s="226">
        <v>623</v>
      </c>
      <c r="BM93" s="227">
        <v>26</v>
      </c>
      <c r="BN93" s="231">
        <v>43</v>
      </c>
      <c r="BO93" s="226">
        <v>177</v>
      </c>
      <c r="BP93" s="50">
        <v>0</v>
      </c>
      <c r="BQ93" s="52">
        <v>0</v>
      </c>
      <c r="BR93" s="226">
        <v>4273</v>
      </c>
      <c r="BS93" s="227">
        <v>120</v>
      </c>
      <c r="BT93" s="228">
        <v>5</v>
      </c>
      <c r="BU93" s="226">
        <v>1364</v>
      </c>
      <c r="BV93" s="227">
        <v>4</v>
      </c>
      <c r="BW93" s="231">
        <v>309</v>
      </c>
      <c r="BX93" s="226">
        <v>119827</v>
      </c>
      <c r="BY93" s="135">
        <v>14681</v>
      </c>
      <c r="BZ93" s="229">
        <v>19758</v>
      </c>
      <c r="CA93" s="226">
        <v>81</v>
      </c>
      <c r="CB93" s="227">
        <v>2</v>
      </c>
      <c r="CC93" s="52">
        <v>0</v>
      </c>
      <c r="CD93" s="105">
        <v>126</v>
      </c>
      <c r="CE93" s="227">
        <v>1</v>
      </c>
      <c r="CF93" s="138">
        <v>10</v>
      </c>
      <c r="CG93" s="226">
        <v>493</v>
      </c>
      <c r="CH93" s="227">
        <v>1</v>
      </c>
      <c r="CI93" s="231">
        <v>1</v>
      </c>
      <c r="CJ93" s="226">
        <v>75</v>
      </c>
      <c r="CK93" s="50">
        <v>0</v>
      </c>
      <c r="CL93" s="52">
        <v>0</v>
      </c>
      <c r="CM93" s="226">
        <v>696</v>
      </c>
      <c r="CN93" s="227">
        <v>9</v>
      </c>
      <c r="CO93" s="231">
        <v>7</v>
      </c>
      <c r="CP93" s="226">
        <v>2612</v>
      </c>
      <c r="CQ93" s="227">
        <v>31</v>
      </c>
      <c r="CR93" s="231">
        <v>500</v>
      </c>
      <c r="CS93" s="226">
        <v>430</v>
      </c>
      <c r="CT93" s="227">
        <v>12</v>
      </c>
      <c r="CU93" s="231">
        <v>20</v>
      </c>
      <c r="CV93" s="226">
        <v>202</v>
      </c>
      <c r="CW93" s="50">
        <v>0</v>
      </c>
      <c r="CX93" s="228">
        <v>2</v>
      </c>
      <c r="CY93" s="226">
        <v>591</v>
      </c>
      <c r="CZ93" s="227">
        <v>8</v>
      </c>
      <c r="DA93" s="231">
        <v>26</v>
      </c>
      <c r="DB93" s="226">
        <v>64</v>
      </c>
      <c r="DC93" s="227">
        <v>1</v>
      </c>
      <c r="DD93" s="231">
        <v>3</v>
      </c>
      <c r="DE93" s="226">
        <v>174</v>
      </c>
      <c r="DF93" s="227">
        <v>2</v>
      </c>
      <c r="DG93" s="231">
        <v>1</v>
      </c>
      <c r="DH93" s="226">
        <v>5370</v>
      </c>
      <c r="DI93" s="227">
        <v>59</v>
      </c>
      <c r="DJ93" s="231">
        <v>32</v>
      </c>
      <c r="DK93" s="226">
        <v>15821</v>
      </c>
      <c r="DL93" s="227">
        <v>1490</v>
      </c>
      <c r="DM93" s="231">
        <v>257</v>
      </c>
      <c r="DN93" s="226">
        <v>3383</v>
      </c>
      <c r="DO93" s="227">
        <v>71</v>
      </c>
      <c r="DP93" s="231">
        <v>56</v>
      </c>
      <c r="DQ93" s="226">
        <v>9886</v>
      </c>
      <c r="DR93" s="227">
        <v>246</v>
      </c>
      <c r="DS93" s="231">
        <v>68</v>
      </c>
      <c r="DT93" s="226">
        <v>4091</v>
      </c>
      <c r="DU93" s="227">
        <v>53</v>
      </c>
      <c r="DV93" s="231">
        <v>72</v>
      </c>
      <c r="DW93" s="226">
        <v>38688</v>
      </c>
      <c r="DX93" s="227">
        <v>3611</v>
      </c>
      <c r="DY93" s="229">
        <v>208</v>
      </c>
      <c r="DZ93" s="226">
        <v>3183</v>
      </c>
      <c r="EA93" s="227">
        <v>133</v>
      </c>
      <c r="EB93" s="231">
        <v>283</v>
      </c>
      <c r="EC93" s="226">
        <v>4149</v>
      </c>
      <c r="ED93" s="227">
        <v>34</v>
      </c>
      <c r="EE93" s="229">
        <v>281</v>
      </c>
      <c r="EF93" s="226">
        <v>245</v>
      </c>
      <c r="EG93" s="227">
        <v>30</v>
      </c>
      <c r="EH93" s="231">
        <v>21</v>
      </c>
      <c r="EI93" s="226">
        <v>1476</v>
      </c>
      <c r="EJ93" s="128">
        <v>39</v>
      </c>
      <c r="EK93" s="17">
        <v>0</v>
      </c>
      <c r="EL93" s="237">
        <v>450</v>
      </c>
      <c r="EM93" s="227">
        <v>1</v>
      </c>
      <c r="EN93" s="231">
        <v>8</v>
      </c>
      <c r="EO93" s="237">
        <v>934</v>
      </c>
      <c r="EP93" s="227">
        <v>20</v>
      </c>
      <c r="EQ93" s="231">
        <v>70</v>
      </c>
      <c r="ER93" s="226">
        <v>6131</v>
      </c>
      <c r="ES93" s="227">
        <v>358</v>
      </c>
      <c r="ET93" s="231">
        <v>205</v>
      </c>
      <c r="EU93" s="236">
        <f>SuisseSwitzerland!B93</f>
        <v>20544</v>
      </c>
      <c r="EV93" s="234">
        <f>SuisseSwitzerland!C93</f>
        <v>644</v>
      </c>
      <c r="EW93" s="138">
        <f>SuisseSwitzerland!D93</f>
        <v>1714</v>
      </c>
      <c r="EX93" s="226">
        <v>1072</v>
      </c>
      <c r="EY93" s="227">
        <v>27</v>
      </c>
      <c r="EZ93" s="231">
        <v>22</v>
      </c>
      <c r="FA93" s="226">
        <v>7</v>
      </c>
      <c r="FB93" s="50">
        <v>0</v>
      </c>
      <c r="FC93" s="52">
        <v>0</v>
      </c>
      <c r="FD93" s="238" t="s">
        <v>509</v>
      </c>
      <c r="FE93" s="239"/>
    </row>
    <row r="94" spans="1:161" ht="12.75">
      <c r="A94" s="221">
        <v>43925</v>
      </c>
      <c r="B94" s="222">
        <f t="shared" ref="B94:D94" si="178">SUM(J94,M94,P94,S94,V94,Y94,AB94,AE94,AH94,AK94,AN94,AQ94,AT94,AW94,AZ94,BC94,BF94,BI94,BL94,CA94,CD94,BO94,BR94,BU94,BX94,CG94,CJ94,CM94,CP94,CS94,CV94,DH94,CY94,DB94,DE94,DK94,DN94,DQ94,DT94,DW94,DZ94,EC94,EF94,EI94,EL94,EO94,ER94,EU94,EX94,FA94)</f>
        <v>595214</v>
      </c>
      <c r="C94" s="223">
        <f t="shared" si="178"/>
        <v>46226</v>
      </c>
      <c r="D94" s="224">
        <f t="shared" si="178"/>
        <v>109712</v>
      </c>
      <c r="E94" s="225">
        <f t="shared" si="1"/>
        <v>439276</v>
      </c>
      <c r="F94" s="152">
        <f t="shared" ref="F94:H94" si="179">SUM(P94,S94,V94,AE94,AH94,AK94,AN94,AQ94,AT94,AW94,AZ94,BF94,BL94,BR94,BX94,CG94,CM94,CP94,CV94,DK94,DN94,DQ94,DT94,DZ94,EL94,EO94,ER94)</f>
        <v>512875</v>
      </c>
      <c r="G94" s="148">
        <f t="shared" si="179"/>
        <v>40883</v>
      </c>
      <c r="H94" s="149">
        <f t="shared" si="179"/>
        <v>106549</v>
      </c>
      <c r="I94" s="153">
        <f t="shared" si="3"/>
        <v>365443</v>
      </c>
      <c r="J94" s="226">
        <v>466</v>
      </c>
      <c r="K94" s="227">
        <v>17</v>
      </c>
      <c r="L94" s="231">
        <v>21</v>
      </c>
      <c r="M94" s="226">
        <v>333</v>
      </c>
      <c r="N94" s="227">
        <v>19</v>
      </c>
      <c r="O94" s="231">
        <v>99</v>
      </c>
      <c r="P94" s="226">
        <v>96092</v>
      </c>
      <c r="Q94" s="135">
        <v>1444</v>
      </c>
      <c r="R94" s="229">
        <v>26400</v>
      </c>
      <c r="S94" s="226">
        <v>11781</v>
      </c>
      <c r="T94" s="227">
        <v>168</v>
      </c>
      <c r="U94" s="231">
        <v>2507</v>
      </c>
      <c r="V94" s="226">
        <v>18431</v>
      </c>
      <c r="W94" s="227">
        <v>1283</v>
      </c>
      <c r="X94" s="229">
        <v>3247</v>
      </c>
      <c r="Y94" s="226">
        <v>440</v>
      </c>
      <c r="Z94" s="227">
        <v>5</v>
      </c>
      <c r="AA94" s="231">
        <v>52</v>
      </c>
      <c r="AB94" s="226">
        <v>624</v>
      </c>
      <c r="AC94" s="227">
        <v>21</v>
      </c>
      <c r="AD94" s="231">
        <v>30</v>
      </c>
      <c r="AE94" s="226">
        <v>503</v>
      </c>
      <c r="AF94" s="227">
        <v>17</v>
      </c>
      <c r="AG94" s="231">
        <v>34</v>
      </c>
      <c r="AH94" s="226">
        <v>426</v>
      </c>
      <c r="AI94" s="227">
        <v>9</v>
      </c>
      <c r="AJ94" s="231">
        <v>33</v>
      </c>
      <c r="AK94" s="226">
        <v>1126</v>
      </c>
      <c r="AL94" s="227">
        <v>12</v>
      </c>
      <c r="AM94" s="231">
        <v>119</v>
      </c>
      <c r="AN94" s="226">
        <v>4269</v>
      </c>
      <c r="AO94" s="227">
        <v>161</v>
      </c>
      <c r="AP94" s="231">
        <v>1379</v>
      </c>
      <c r="AQ94" s="226">
        <v>126168</v>
      </c>
      <c r="AR94" s="227">
        <v>11947</v>
      </c>
      <c r="AS94" s="229">
        <v>34219</v>
      </c>
      <c r="AT94" s="226">
        <v>1039</v>
      </c>
      <c r="AU94" s="227">
        <v>13</v>
      </c>
      <c r="AV94" s="231">
        <v>59</v>
      </c>
      <c r="AW94" s="226">
        <v>1882</v>
      </c>
      <c r="AX94" s="227">
        <v>25</v>
      </c>
      <c r="AY94" s="229">
        <v>300</v>
      </c>
      <c r="AZ94" s="226">
        <v>68605</v>
      </c>
      <c r="BA94" s="135">
        <f>5532+2028</f>
        <v>7560</v>
      </c>
      <c r="BB94" s="229">
        <v>15438</v>
      </c>
      <c r="BC94" s="233">
        <v>1</v>
      </c>
      <c r="BD94" s="50">
        <v>0</v>
      </c>
      <c r="BE94" s="52">
        <v>0</v>
      </c>
      <c r="BF94" s="226">
        <v>1673</v>
      </c>
      <c r="BG94" s="227">
        <v>68</v>
      </c>
      <c r="BH94" s="231">
        <v>78</v>
      </c>
      <c r="BI94" s="226">
        <v>91</v>
      </c>
      <c r="BJ94" s="227">
        <v>1</v>
      </c>
      <c r="BK94" s="52">
        <v>0</v>
      </c>
      <c r="BL94" s="226">
        <v>678</v>
      </c>
      <c r="BM94" s="227">
        <v>32</v>
      </c>
      <c r="BN94" s="231">
        <v>58</v>
      </c>
      <c r="BO94" s="226">
        <v>177</v>
      </c>
      <c r="BP94" s="50">
        <v>0</v>
      </c>
      <c r="BQ94" s="52">
        <v>0</v>
      </c>
      <c r="BR94" s="226">
        <v>4604</v>
      </c>
      <c r="BS94" s="227">
        <v>137</v>
      </c>
      <c r="BT94" s="231">
        <v>25</v>
      </c>
      <c r="BU94" s="226">
        <v>1417</v>
      </c>
      <c r="BV94" s="227">
        <v>4</v>
      </c>
      <c r="BW94" s="231">
        <v>396</v>
      </c>
      <c r="BX94" s="226">
        <v>124632</v>
      </c>
      <c r="BY94" s="135">
        <v>15362</v>
      </c>
      <c r="BZ94" s="229">
        <v>20996</v>
      </c>
      <c r="CA94" s="226">
        <v>81</v>
      </c>
      <c r="CB94" s="227">
        <v>2</v>
      </c>
      <c r="CC94" s="52">
        <v>0</v>
      </c>
      <c r="CD94" s="105">
        <v>135</v>
      </c>
      <c r="CE94" s="227">
        <v>1</v>
      </c>
      <c r="CF94" s="138">
        <v>16</v>
      </c>
      <c r="CG94" s="226">
        <v>509</v>
      </c>
      <c r="CH94" s="227">
        <v>1</v>
      </c>
      <c r="CI94" s="231">
        <v>1</v>
      </c>
      <c r="CJ94" s="226">
        <v>77</v>
      </c>
      <c r="CK94" s="227">
        <v>1</v>
      </c>
      <c r="CL94" s="52">
        <v>0</v>
      </c>
      <c r="CM94" s="226">
        <v>771</v>
      </c>
      <c r="CN94" s="227">
        <v>11</v>
      </c>
      <c r="CO94" s="231">
        <v>7</v>
      </c>
      <c r="CP94" s="226">
        <v>2729</v>
      </c>
      <c r="CQ94" s="227">
        <v>31</v>
      </c>
      <c r="CR94" s="231">
        <v>500</v>
      </c>
      <c r="CS94" s="226">
        <v>483</v>
      </c>
      <c r="CT94" s="227">
        <v>17</v>
      </c>
      <c r="CU94" s="231">
        <v>20</v>
      </c>
      <c r="CV94" s="226">
        <v>213</v>
      </c>
      <c r="CW94" s="50">
        <v>0</v>
      </c>
      <c r="CX94" s="228">
        <v>2</v>
      </c>
      <c r="CY94" s="226">
        <v>752</v>
      </c>
      <c r="CZ94" s="227">
        <v>12</v>
      </c>
      <c r="DA94" s="231">
        <v>29</v>
      </c>
      <c r="DB94" s="226">
        <v>66</v>
      </c>
      <c r="DC94" s="227">
        <v>1</v>
      </c>
      <c r="DD94" s="231">
        <v>3</v>
      </c>
      <c r="DE94" s="226">
        <v>201</v>
      </c>
      <c r="DF94" s="227">
        <v>2</v>
      </c>
      <c r="DG94" s="231">
        <v>1</v>
      </c>
      <c r="DH94" s="226">
        <v>5550</v>
      </c>
      <c r="DI94" s="227">
        <v>62</v>
      </c>
      <c r="DJ94" s="231">
        <v>32</v>
      </c>
      <c r="DK94" s="226">
        <v>16727</v>
      </c>
      <c r="DL94" s="227">
        <v>1656</v>
      </c>
      <c r="DM94" s="231">
        <v>257</v>
      </c>
      <c r="DN94" s="226">
        <v>3627</v>
      </c>
      <c r="DO94" s="227">
        <v>79</v>
      </c>
      <c r="DP94" s="231">
        <v>116</v>
      </c>
      <c r="DQ94" s="226">
        <v>10524</v>
      </c>
      <c r="DR94" s="227">
        <v>266</v>
      </c>
      <c r="DS94" s="231">
        <v>75</v>
      </c>
      <c r="DT94" s="226">
        <v>4362</v>
      </c>
      <c r="DU94" s="227">
        <v>59</v>
      </c>
      <c r="DV94" s="231">
        <v>78</v>
      </c>
      <c r="DW94" s="226">
        <v>42449</v>
      </c>
      <c r="DX94" s="227">
        <v>4320</v>
      </c>
      <c r="DY94" s="229">
        <v>215</v>
      </c>
      <c r="DZ94" s="226">
        <v>3613</v>
      </c>
      <c r="EA94" s="227">
        <v>146</v>
      </c>
      <c r="EB94" s="231">
        <v>329</v>
      </c>
      <c r="EC94" s="226">
        <v>4731</v>
      </c>
      <c r="ED94" s="227">
        <v>43</v>
      </c>
      <c r="EE94" s="229">
        <v>333</v>
      </c>
      <c r="EF94" s="226">
        <v>251</v>
      </c>
      <c r="EG94" s="227">
        <v>32</v>
      </c>
      <c r="EH94" s="231">
        <v>26</v>
      </c>
      <c r="EI94" s="226">
        <v>1624</v>
      </c>
      <c r="EJ94" s="128">
        <v>44</v>
      </c>
      <c r="EK94" s="17">
        <v>0</v>
      </c>
      <c r="EL94" s="237">
        <v>471</v>
      </c>
      <c r="EM94" s="227">
        <v>1</v>
      </c>
      <c r="EN94" s="231">
        <v>8</v>
      </c>
      <c r="EO94" s="237">
        <v>977</v>
      </c>
      <c r="EP94" s="227">
        <v>22</v>
      </c>
      <c r="EQ94" s="231">
        <v>79</v>
      </c>
      <c r="ER94" s="226">
        <v>6443</v>
      </c>
      <c r="ES94" s="227">
        <v>373</v>
      </c>
      <c r="ET94" s="231">
        <v>205</v>
      </c>
      <c r="EU94" s="236">
        <f>SuisseSwitzerland!B94</f>
        <v>21158</v>
      </c>
      <c r="EV94" s="234">
        <f>SuisseSwitzerland!C94</f>
        <v>707</v>
      </c>
      <c r="EW94" s="138">
        <f>SuisseSwitzerland!D94</f>
        <v>1865</v>
      </c>
      <c r="EX94" s="226">
        <v>1225</v>
      </c>
      <c r="EY94" s="227">
        <v>32</v>
      </c>
      <c r="EZ94" s="231">
        <v>25</v>
      </c>
      <c r="FA94" s="226">
        <v>7</v>
      </c>
      <c r="FB94" s="50">
        <v>0</v>
      </c>
      <c r="FC94" s="52">
        <v>0</v>
      </c>
      <c r="FD94" s="238" t="s">
        <v>524</v>
      </c>
      <c r="FE94" s="239" t="s">
        <v>525</v>
      </c>
    </row>
    <row r="95" spans="1:161" ht="12.75">
      <c r="A95" s="221">
        <v>43926</v>
      </c>
      <c r="B95" s="222">
        <f t="shared" ref="B95:D95" si="180">SUM(J95,M95,P95,S95,V95,Y95,AB95,AE95,AH95,AK95,AN95,AQ95,AT95,AW95,AZ95,BC95,BF95,BI95,BL95,CA95,CD95,BO95,BR95,BU95,BX95,CG95,CJ95,CM95,CP95,CS95,CV95,DH95,CY95,DB95,DE95,DK95,DN95,DQ95,DT95,DW95,DZ95,EC95,EF95,EI95,EL95,EO95,ER95,EU95,EX95,FA95)</f>
        <v>624916</v>
      </c>
      <c r="C95" s="223">
        <f t="shared" si="180"/>
        <v>49266</v>
      </c>
      <c r="D95" s="224">
        <f t="shared" si="180"/>
        <v>118835</v>
      </c>
      <c r="E95" s="225">
        <f t="shared" si="1"/>
        <v>456815</v>
      </c>
      <c r="F95" s="152">
        <f t="shared" ref="F95:H95" si="181">SUM(P95,S95,V95,AE95,AH95,AK95,AN95,AQ95,AT95,AW95,AZ95,BF95,BL95,BR95,BX95,CG95,CM95,CP95,CV95,DK95,DN95,DQ95,DT95,DZ95,EL95,EO95,ER95)</f>
        <v>534447</v>
      </c>
      <c r="G95" s="148">
        <f t="shared" si="181"/>
        <v>43216</v>
      </c>
      <c r="H95" s="149">
        <f t="shared" si="181"/>
        <v>115427</v>
      </c>
      <c r="I95" s="153">
        <f t="shared" si="3"/>
        <v>375804</v>
      </c>
      <c r="J95" s="226">
        <v>501</v>
      </c>
      <c r="K95" s="227">
        <v>18</v>
      </c>
      <c r="L95" s="231">
        <v>26</v>
      </c>
      <c r="M95" s="226">
        <v>361</v>
      </c>
      <c r="N95" s="227">
        <v>20</v>
      </c>
      <c r="O95" s="231">
        <v>104</v>
      </c>
      <c r="P95" s="226">
        <v>100024</v>
      </c>
      <c r="Q95" s="135">
        <v>1576</v>
      </c>
      <c r="R95" s="229">
        <v>28700</v>
      </c>
      <c r="S95" s="226">
        <v>12051</v>
      </c>
      <c r="T95" s="227">
        <v>204</v>
      </c>
      <c r="U95" s="231">
        <v>2998</v>
      </c>
      <c r="V95" s="226">
        <v>19691</v>
      </c>
      <c r="W95" s="227">
        <v>1447</v>
      </c>
      <c r="X95" s="229">
        <v>3751</v>
      </c>
      <c r="Y95" s="226">
        <v>562</v>
      </c>
      <c r="Z95" s="227">
        <v>8</v>
      </c>
      <c r="AA95" s="231">
        <v>52</v>
      </c>
      <c r="AB95" s="226">
        <v>654</v>
      </c>
      <c r="AC95" s="227">
        <v>23</v>
      </c>
      <c r="AD95" s="231">
        <v>30</v>
      </c>
      <c r="AE95" s="226">
        <v>531</v>
      </c>
      <c r="AF95" s="227">
        <v>20</v>
      </c>
      <c r="AG95" s="231">
        <v>37</v>
      </c>
      <c r="AH95" s="226">
        <v>446</v>
      </c>
      <c r="AI95" s="227">
        <v>9</v>
      </c>
      <c r="AJ95" s="231">
        <v>37</v>
      </c>
      <c r="AK95" s="226">
        <v>1182</v>
      </c>
      <c r="AL95" s="227">
        <v>15</v>
      </c>
      <c r="AM95" s="231">
        <v>125</v>
      </c>
      <c r="AN95" s="226">
        <v>4561</v>
      </c>
      <c r="AO95" s="227">
        <v>179</v>
      </c>
      <c r="AP95" s="231">
        <v>1429</v>
      </c>
      <c r="AQ95" s="226">
        <v>131646</v>
      </c>
      <c r="AR95" s="227">
        <v>12641</v>
      </c>
      <c r="AS95" s="229">
        <v>38080</v>
      </c>
      <c r="AT95" s="226">
        <v>1097</v>
      </c>
      <c r="AU95" s="227">
        <v>15</v>
      </c>
      <c r="AV95" s="231">
        <v>62</v>
      </c>
      <c r="AW95" s="226">
        <v>1927</v>
      </c>
      <c r="AX95" s="227">
        <v>27</v>
      </c>
      <c r="AY95" s="229">
        <v>300</v>
      </c>
      <c r="AZ95" s="226">
        <v>70478</v>
      </c>
      <c r="BA95" s="135">
        <f>5889+2189</f>
        <v>8078</v>
      </c>
      <c r="BB95" s="229">
        <v>16183</v>
      </c>
      <c r="BC95" s="233">
        <v>1</v>
      </c>
      <c r="BD95" s="50">
        <v>0</v>
      </c>
      <c r="BE95" s="52">
        <v>0</v>
      </c>
      <c r="BF95" s="226">
        <v>1735</v>
      </c>
      <c r="BG95" s="227">
        <v>73</v>
      </c>
      <c r="BH95" s="231">
        <v>78</v>
      </c>
      <c r="BI95" s="226">
        <v>91</v>
      </c>
      <c r="BJ95" s="227">
        <v>1</v>
      </c>
      <c r="BK95" s="52">
        <v>0</v>
      </c>
      <c r="BL95" s="226">
        <v>733</v>
      </c>
      <c r="BM95" s="227">
        <v>34</v>
      </c>
      <c r="BN95" s="231">
        <v>66</v>
      </c>
      <c r="BO95" s="226">
        <v>177</v>
      </c>
      <c r="BP95" s="50">
        <v>0</v>
      </c>
      <c r="BQ95" s="52">
        <v>0</v>
      </c>
      <c r="BR95" s="226">
        <v>4994</v>
      </c>
      <c r="BS95" s="227">
        <v>158</v>
      </c>
      <c r="BT95" s="231">
        <v>25</v>
      </c>
      <c r="BU95" s="226">
        <v>1486</v>
      </c>
      <c r="BV95" s="227">
        <v>4</v>
      </c>
      <c r="BW95" s="231">
        <v>428</v>
      </c>
      <c r="BX95" s="226">
        <v>128948</v>
      </c>
      <c r="BY95" s="135">
        <v>15887</v>
      </c>
      <c r="BZ95" s="229">
        <v>21815</v>
      </c>
      <c r="CA95" s="226">
        <v>81</v>
      </c>
      <c r="CB95" s="227">
        <v>2</v>
      </c>
      <c r="CC95" s="52">
        <v>0</v>
      </c>
      <c r="CD95" s="105">
        <v>145</v>
      </c>
      <c r="CE95" s="227">
        <v>1</v>
      </c>
      <c r="CF95" s="138">
        <v>16</v>
      </c>
      <c r="CG95" s="226">
        <v>509</v>
      </c>
      <c r="CH95" s="227">
        <v>1</v>
      </c>
      <c r="CI95" s="231">
        <v>1</v>
      </c>
      <c r="CJ95" s="226">
        <v>77</v>
      </c>
      <c r="CK95" s="227">
        <v>1</v>
      </c>
      <c r="CL95" s="52">
        <v>0</v>
      </c>
      <c r="CM95" s="226">
        <v>811</v>
      </c>
      <c r="CN95" s="227">
        <v>13</v>
      </c>
      <c r="CO95" s="231">
        <v>7</v>
      </c>
      <c r="CP95" s="226">
        <v>2804</v>
      </c>
      <c r="CQ95" s="227">
        <v>36</v>
      </c>
      <c r="CR95" s="231">
        <v>500</v>
      </c>
      <c r="CS95" s="226">
        <v>555</v>
      </c>
      <c r="CT95" s="227">
        <v>18</v>
      </c>
      <c r="CU95" s="231">
        <v>23</v>
      </c>
      <c r="CV95" s="226">
        <v>227</v>
      </c>
      <c r="CW95" s="50">
        <v>0</v>
      </c>
      <c r="CX95" s="231">
        <v>5</v>
      </c>
      <c r="CY95" s="226">
        <v>864</v>
      </c>
      <c r="CZ95" s="227">
        <v>15</v>
      </c>
      <c r="DA95" s="231">
        <v>30</v>
      </c>
      <c r="DB95" s="226">
        <v>73</v>
      </c>
      <c r="DC95" s="227">
        <v>1</v>
      </c>
      <c r="DD95" s="231">
        <v>3</v>
      </c>
      <c r="DE95" s="226">
        <v>214</v>
      </c>
      <c r="DF95" s="227">
        <v>2</v>
      </c>
      <c r="DG95" s="231">
        <v>1</v>
      </c>
      <c r="DH95" s="226">
        <v>5687</v>
      </c>
      <c r="DI95" s="227">
        <v>71</v>
      </c>
      <c r="DJ95" s="231">
        <v>32</v>
      </c>
      <c r="DK95" s="226">
        <v>17953</v>
      </c>
      <c r="DL95" s="227">
        <v>1766</v>
      </c>
      <c r="DM95" s="231">
        <v>257</v>
      </c>
      <c r="DN95" s="226">
        <v>4102</v>
      </c>
      <c r="DO95" s="227">
        <v>94</v>
      </c>
      <c r="DP95" s="231">
        <v>134</v>
      </c>
      <c r="DQ95" s="226">
        <v>11278</v>
      </c>
      <c r="DR95" s="227">
        <v>295</v>
      </c>
      <c r="DS95" s="231">
        <v>75</v>
      </c>
      <c r="DT95" s="226">
        <v>4543</v>
      </c>
      <c r="DU95" s="227">
        <v>67</v>
      </c>
      <c r="DV95" s="231">
        <v>96</v>
      </c>
      <c r="DW95" s="226">
        <v>48436</v>
      </c>
      <c r="DX95" s="227">
        <v>4943</v>
      </c>
      <c r="DY95" s="229">
        <v>229</v>
      </c>
      <c r="DZ95" s="226">
        <v>3864</v>
      </c>
      <c r="EA95" s="227">
        <v>151</v>
      </c>
      <c r="EB95" s="231">
        <v>374</v>
      </c>
      <c r="EC95" s="226">
        <v>5389</v>
      </c>
      <c r="ED95" s="227">
        <v>45</v>
      </c>
      <c r="EE95" s="229">
        <v>355</v>
      </c>
      <c r="EF95" s="226">
        <v>266</v>
      </c>
      <c r="EG95" s="227">
        <v>32</v>
      </c>
      <c r="EH95" s="231">
        <v>26</v>
      </c>
      <c r="EI95" s="226">
        <v>1908</v>
      </c>
      <c r="EJ95" s="128">
        <v>51</v>
      </c>
      <c r="EK95" s="17">
        <v>0</v>
      </c>
      <c r="EL95" s="237">
        <v>485</v>
      </c>
      <c r="EM95" s="227">
        <v>1</v>
      </c>
      <c r="EN95" s="231">
        <v>8</v>
      </c>
      <c r="EO95" s="237">
        <v>997</v>
      </c>
      <c r="EP95" s="227">
        <v>28</v>
      </c>
      <c r="EQ95" s="231">
        <v>79</v>
      </c>
      <c r="ER95" s="226">
        <v>6830</v>
      </c>
      <c r="ES95" s="227">
        <v>401</v>
      </c>
      <c r="ET95" s="231">
        <v>205</v>
      </c>
      <c r="EU95" s="236">
        <f>SuisseSwitzerland!B95</f>
        <v>21626</v>
      </c>
      <c r="EV95" s="234">
        <f>SuisseSwitzerland!C95</f>
        <v>757</v>
      </c>
      <c r="EW95" s="138">
        <f>SuisseSwitzerland!D95</f>
        <v>2025</v>
      </c>
      <c r="EX95" s="226">
        <v>1308</v>
      </c>
      <c r="EY95" s="227">
        <v>37</v>
      </c>
      <c r="EZ95" s="231">
        <v>28</v>
      </c>
      <c r="FA95" s="226">
        <v>7</v>
      </c>
      <c r="FB95" s="50">
        <v>0</v>
      </c>
      <c r="FC95" s="52">
        <v>0</v>
      </c>
      <c r="FD95" s="238"/>
      <c r="FE95" s="239"/>
    </row>
    <row r="96" spans="1:161" ht="12.75">
      <c r="A96" s="221">
        <v>43927</v>
      </c>
      <c r="B96" s="222">
        <f t="shared" ref="B96:D96" si="182">SUM(J96,M96,P96,S96,V96,Y96,AB96,AE96,AH96,AK96,AN96,AQ96,AT96,AW96,AZ96,BC96,BF96,BI96,BL96,CA96,CD96,BO96,BR96,BU96,BX96,CG96,CJ96,CM96,CP96,CS96,CV96,DH96,CY96,DB96,DE96,DK96,DN96,DQ96,DT96,DW96,DZ96,EC96,EF96,EI96,EL96,EO96,ER96,EU96,EX96,FA96)</f>
        <v>649060</v>
      </c>
      <c r="C96" s="223">
        <f t="shared" si="182"/>
        <v>52413</v>
      </c>
      <c r="D96" s="224">
        <f t="shared" si="182"/>
        <v>124748</v>
      </c>
      <c r="E96" s="225">
        <f t="shared" si="1"/>
        <v>471899</v>
      </c>
      <c r="F96" s="152">
        <f t="shared" ref="F96:H96" si="183">SUM(P96,S96,V96,AE96,AH96,AK96,AN96,AQ96,AT96,AW96,AZ96,BF96,BL96,BR96,BX96,CG96,CM96,CP96,CV96,DK96,DN96,DQ96,DT96,DZ96,EL96,EO96,ER96)</f>
        <v>552408</v>
      </c>
      <c r="G96" s="148">
        <f t="shared" si="183"/>
        <v>45833</v>
      </c>
      <c r="H96" s="149">
        <f t="shared" si="183"/>
        <v>121030</v>
      </c>
      <c r="I96" s="153">
        <f t="shared" si="3"/>
        <v>385545</v>
      </c>
      <c r="J96" s="226">
        <v>501</v>
      </c>
      <c r="K96" s="227">
        <v>18</v>
      </c>
      <c r="L96" s="231">
        <v>26</v>
      </c>
      <c r="M96" s="226">
        <v>377</v>
      </c>
      <c r="N96" s="227">
        <v>21</v>
      </c>
      <c r="O96" s="231">
        <v>116</v>
      </c>
      <c r="P96" s="226">
        <v>102024</v>
      </c>
      <c r="Q96" s="135">
        <v>1695</v>
      </c>
      <c r="R96" s="229">
        <v>28700</v>
      </c>
      <c r="S96" s="226">
        <v>12293</v>
      </c>
      <c r="T96" s="227">
        <v>220</v>
      </c>
      <c r="U96" s="231">
        <v>3463</v>
      </c>
      <c r="V96" s="226">
        <v>20814</v>
      </c>
      <c r="W96" s="227">
        <v>1632</v>
      </c>
      <c r="X96" s="229">
        <v>3986</v>
      </c>
      <c r="Y96" s="226">
        <v>700</v>
      </c>
      <c r="Z96" s="227">
        <v>13</v>
      </c>
      <c r="AA96" s="231">
        <v>52</v>
      </c>
      <c r="AB96" s="226">
        <v>674</v>
      </c>
      <c r="AC96" s="227">
        <v>29</v>
      </c>
      <c r="AD96" s="231">
        <v>47</v>
      </c>
      <c r="AE96" s="226">
        <v>531</v>
      </c>
      <c r="AF96" s="227">
        <v>22</v>
      </c>
      <c r="AG96" s="231">
        <v>39</v>
      </c>
      <c r="AH96" s="226">
        <v>465</v>
      </c>
      <c r="AI96" s="227">
        <v>9</v>
      </c>
      <c r="AJ96" s="231">
        <v>45</v>
      </c>
      <c r="AK96" s="226">
        <v>1222</v>
      </c>
      <c r="AL96" s="227">
        <v>16</v>
      </c>
      <c r="AM96" s="231">
        <v>130</v>
      </c>
      <c r="AN96" s="226">
        <v>4875</v>
      </c>
      <c r="AO96" s="227">
        <v>187</v>
      </c>
      <c r="AP96" s="231">
        <v>1489</v>
      </c>
      <c r="AQ96" s="226">
        <v>135032</v>
      </c>
      <c r="AR96" s="227">
        <v>13169</v>
      </c>
      <c r="AS96" s="229">
        <v>40437</v>
      </c>
      <c r="AT96" s="226">
        <v>1108</v>
      </c>
      <c r="AU96" s="227">
        <v>19</v>
      </c>
      <c r="AV96" s="231">
        <v>62</v>
      </c>
      <c r="AW96" s="226">
        <v>2176</v>
      </c>
      <c r="AX96" s="227">
        <v>27</v>
      </c>
      <c r="AY96" s="229">
        <v>300</v>
      </c>
      <c r="AZ96" s="226">
        <v>74390</v>
      </c>
      <c r="BA96" s="135">
        <f>6494+2417</f>
        <v>8911</v>
      </c>
      <c r="BB96" s="229">
        <v>17250</v>
      </c>
      <c r="BC96" s="233">
        <v>1</v>
      </c>
      <c r="BD96" s="50">
        <v>0</v>
      </c>
      <c r="BE96" s="52">
        <v>0</v>
      </c>
      <c r="BF96" s="226">
        <v>1755</v>
      </c>
      <c r="BG96" s="227">
        <v>79</v>
      </c>
      <c r="BH96" s="231">
        <v>269</v>
      </c>
      <c r="BI96" s="226">
        <v>91</v>
      </c>
      <c r="BJ96" s="227">
        <v>1</v>
      </c>
      <c r="BK96" s="52">
        <v>0</v>
      </c>
      <c r="BL96" s="226">
        <v>744</v>
      </c>
      <c r="BM96" s="227">
        <v>38</v>
      </c>
      <c r="BN96" s="231">
        <v>67</v>
      </c>
      <c r="BO96" s="226">
        <v>177</v>
      </c>
      <c r="BP96" s="50">
        <v>0</v>
      </c>
      <c r="BQ96" s="52">
        <v>0</v>
      </c>
      <c r="BR96" s="226">
        <v>5364</v>
      </c>
      <c r="BS96" s="227">
        <v>174</v>
      </c>
      <c r="BT96" s="231">
        <v>25</v>
      </c>
      <c r="BU96" s="226">
        <v>1562</v>
      </c>
      <c r="BV96" s="227">
        <v>6</v>
      </c>
      <c r="BW96" s="231">
        <v>460</v>
      </c>
      <c r="BX96" s="226">
        <v>132547</v>
      </c>
      <c r="BY96" s="135">
        <v>16523</v>
      </c>
      <c r="BZ96" s="229">
        <v>22837</v>
      </c>
      <c r="CA96" s="226">
        <v>81</v>
      </c>
      <c r="CB96" s="227">
        <v>2</v>
      </c>
      <c r="CC96" s="52">
        <v>0</v>
      </c>
      <c r="CD96" s="105">
        <v>145</v>
      </c>
      <c r="CE96" s="227">
        <v>1</v>
      </c>
      <c r="CF96" s="138">
        <v>23</v>
      </c>
      <c r="CG96" s="226">
        <v>543</v>
      </c>
      <c r="CH96" s="227">
        <v>1</v>
      </c>
      <c r="CI96" s="231">
        <v>16</v>
      </c>
      <c r="CJ96" s="226">
        <v>77</v>
      </c>
      <c r="CK96" s="227">
        <v>1</v>
      </c>
      <c r="CL96" s="231">
        <v>55</v>
      </c>
      <c r="CM96" s="226">
        <v>843</v>
      </c>
      <c r="CN96" s="227">
        <v>15</v>
      </c>
      <c r="CO96" s="231">
        <v>8</v>
      </c>
      <c r="CP96" s="226">
        <v>2843</v>
      </c>
      <c r="CQ96" s="227">
        <v>41</v>
      </c>
      <c r="CR96" s="231">
        <v>500</v>
      </c>
      <c r="CS96" s="226">
        <v>570</v>
      </c>
      <c r="CT96" s="227">
        <v>21</v>
      </c>
      <c r="CU96" s="231">
        <v>30</v>
      </c>
      <c r="CV96" s="226">
        <v>241</v>
      </c>
      <c r="CW96" s="50">
        <v>0</v>
      </c>
      <c r="CX96" s="231">
        <v>5</v>
      </c>
      <c r="CY96" s="226">
        <v>965</v>
      </c>
      <c r="CZ96" s="227">
        <v>19</v>
      </c>
      <c r="DA96" s="231">
        <v>37</v>
      </c>
      <c r="DB96" s="226">
        <v>77</v>
      </c>
      <c r="DC96" s="227">
        <v>1</v>
      </c>
      <c r="DD96" s="231">
        <v>4</v>
      </c>
      <c r="DE96" s="226">
        <v>233</v>
      </c>
      <c r="DF96" s="227">
        <v>2</v>
      </c>
      <c r="DG96" s="231">
        <v>1</v>
      </c>
      <c r="DH96" s="226">
        <v>5763</v>
      </c>
      <c r="DI96" s="227">
        <v>76</v>
      </c>
      <c r="DJ96" s="231">
        <v>32</v>
      </c>
      <c r="DK96" s="226">
        <v>18926</v>
      </c>
      <c r="DL96" s="227">
        <v>1874</v>
      </c>
      <c r="DM96" s="231">
        <v>258</v>
      </c>
      <c r="DN96" s="226">
        <v>4413</v>
      </c>
      <c r="DO96" s="227">
        <v>107</v>
      </c>
      <c r="DP96" s="231">
        <v>162</v>
      </c>
      <c r="DQ96" s="226">
        <v>11730</v>
      </c>
      <c r="DR96" s="227">
        <v>311</v>
      </c>
      <c r="DS96" s="231">
        <v>140</v>
      </c>
      <c r="DT96" s="226">
        <v>4735</v>
      </c>
      <c r="DU96" s="227">
        <v>78</v>
      </c>
      <c r="DV96" s="231">
        <v>121</v>
      </c>
      <c r="DW96" s="226">
        <v>52274</v>
      </c>
      <c r="DX96" s="227">
        <v>5383</v>
      </c>
      <c r="DY96" s="229">
        <v>229</v>
      </c>
      <c r="DZ96" s="226">
        <v>4057</v>
      </c>
      <c r="EA96" s="227">
        <v>176</v>
      </c>
      <c r="EB96" s="231">
        <v>406</v>
      </c>
      <c r="EC96" s="226">
        <v>6343</v>
      </c>
      <c r="ED96" s="227">
        <v>47</v>
      </c>
      <c r="EE96" s="229">
        <v>406</v>
      </c>
      <c r="EF96" s="226">
        <v>266</v>
      </c>
      <c r="EG96" s="227">
        <v>32</v>
      </c>
      <c r="EH96" s="231">
        <v>35</v>
      </c>
      <c r="EI96" s="226">
        <v>2200</v>
      </c>
      <c r="EJ96" s="128">
        <v>58</v>
      </c>
      <c r="EK96" s="17">
        <v>0</v>
      </c>
      <c r="EL96" s="237">
        <v>534</v>
      </c>
      <c r="EM96" s="227">
        <v>2</v>
      </c>
      <c r="EN96" s="231">
        <v>8</v>
      </c>
      <c r="EO96" s="237">
        <v>997</v>
      </c>
      <c r="EP96" s="227">
        <v>30</v>
      </c>
      <c r="EQ96" s="231">
        <v>102</v>
      </c>
      <c r="ER96" s="226">
        <v>7206</v>
      </c>
      <c r="ES96" s="227">
        <v>477</v>
      </c>
      <c r="ET96" s="231">
        <v>205</v>
      </c>
      <c r="EU96" s="236">
        <f>SuisseSwitzerland!B96</f>
        <v>22249</v>
      </c>
      <c r="EV96" s="234">
        <f>SuisseSwitzerland!C96</f>
        <v>811</v>
      </c>
      <c r="EW96" s="138">
        <f>SuisseSwitzerland!D96</f>
        <v>2137</v>
      </c>
      <c r="EX96" s="226">
        <v>1319</v>
      </c>
      <c r="EY96" s="227">
        <v>38</v>
      </c>
      <c r="EZ96" s="231">
        <v>28</v>
      </c>
      <c r="FA96" s="226">
        <v>7</v>
      </c>
      <c r="FB96" s="50">
        <v>0</v>
      </c>
      <c r="FC96" s="52">
        <v>0</v>
      </c>
      <c r="FD96" s="238"/>
      <c r="FE96" s="239"/>
    </row>
    <row r="97" spans="1:161" ht="12.75">
      <c r="A97" s="221">
        <v>43928</v>
      </c>
      <c r="B97" s="222">
        <f t="shared" ref="B97:D97" si="184">SUM(J97,M97,P97,S97,V97,Y97,AB97,AE97,AH97,AK97,AN97,AQ97,AT97,AW97,AZ97,BC97,BF97,BI97,BL97,CA97,CD97,BO97,BR97,BU97,BX97,CG97,CJ97,CM97,CP97,CS97,CV97,DH97,CY97,DB97,DE97,DK97,DN97,DQ97,DT97,DW97,DZ97,EC97,EF97,EI97,EL97,EO97,ER97,EU97,EX97,FA97)</f>
        <v>679665</v>
      </c>
      <c r="C97" s="223">
        <f t="shared" si="184"/>
        <v>57315</v>
      </c>
      <c r="D97" s="224">
        <f t="shared" si="184"/>
        <v>140349</v>
      </c>
      <c r="E97" s="225">
        <f t="shared" si="1"/>
        <v>482001</v>
      </c>
      <c r="F97" s="152">
        <f t="shared" ref="F97:H97" si="185">SUM(P97,S97,V97,AE97,AH97,AK97,AN97,AQ97,AT97,AW97,AZ97,BF97,BL97,BR97,BX97,CG97,CM97,CP97,CV97,DK97,DN97,DQ97,DT97,DZ97,EL97,EO97,ER97)</f>
        <v>576475</v>
      </c>
      <c r="G97" s="148">
        <f t="shared" si="185"/>
        <v>49831</v>
      </c>
      <c r="H97" s="149">
        <f t="shared" si="185"/>
        <v>135960</v>
      </c>
      <c r="I97" s="153">
        <f t="shared" si="3"/>
        <v>390684</v>
      </c>
      <c r="J97" s="226">
        <v>525</v>
      </c>
      <c r="K97" s="227">
        <v>21</v>
      </c>
      <c r="L97" s="231">
        <v>31</v>
      </c>
      <c r="M97" s="226">
        <v>383</v>
      </c>
      <c r="N97" s="227">
        <v>22</v>
      </c>
      <c r="O97" s="231">
        <v>131</v>
      </c>
      <c r="P97" s="226">
        <v>107458</v>
      </c>
      <c r="Q97" s="135">
        <v>1983</v>
      </c>
      <c r="R97" s="229">
        <v>36081</v>
      </c>
      <c r="S97" s="226">
        <v>12635</v>
      </c>
      <c r="T97" s="227">
        <v>243</v>
      </c>
      <c r="U97" s="231">
        <v>4046</v>
      </c>
      <c r="V97" s="226">
        <v>22194</v>
      </c>
      <c r="W97" s="227">
        <v>2035</v>
      </c>
      <c r="X97" s="229">
        <v>4157</v>
      </c>
      <c r="Y97" s="226">
        <v>861</v>
      </c>
      <c r="Z97" s="227">
        <v>13</v>
      </c>
      <c r="AA97" s="231">
        <v>54</v>
      </c>
      <c r="AB97" s="226">
        <v>764</v>
      </c>
      <c r="AC97" s="227">
        <v>33</v>
      </c>
      <c r="AD97" s="231">
        <v>68</v>
      </c>
      <c r="AE97" s="226">
        <v>577</v>
      </c>
      <c r="AF97" s="227">
        <v>23</v>
      </c>
      <c r="AG97" s="231">
        <v>42</v>
      </c>
      <c r="AH97" s="226">
        <v>494</v>
      </c>
      <c r="AI97" s="227">
        <v>9</v>
      </c>
      <c r="AJ97" s="231">
        <v>47</v>
      </c>
      <c r="AK97" s="226">
        <v>1282</v>
      </c>
      <c r="AL97" s="227">
        <v>18</v>
      </c>
      <c r="AM97" s="231">
        <v>167</v>
      </c>
      <c r="AN97" s="226">
        <v>5266</v>
      </c>
      <c r="AO97" s="227">
        <v>203</v>
      </c>
      <c r="AP97" s="231">
        <v>1621</v>
      </c>
      <c r="AQ97" s="226">
        <v>140617</v>
      </c>
      <c r="AR97" s="227">
        <v>13912</v>
      </c>
      <c r="AS97" s="229">
        <v>43208</v>
      </c>
      <c r="AT97" s="226">
        <v>1149</v>
      </c>
      <c r="AU97" s="227">
        <v>21</v>
      </c>
      <c r="AV97" s="231">
        <v>69</v>
      </c>
      <c r="AW97" s="226">
        <v>2308</v>
      </c>
      <c r="AX97" s="227">
        <v>34</v>
      </c>
      <c r="AY97" s="229">
        <v>300</v>
      </c>
      <c r="AZ97" s="226">
        <v>78167</v>
      </c>
      <c r="BA97" s="135">
        <f>7091+3237</f>
        <v>10328</v>
      </c>
      <c r="BB97" s="229">
        <v>19337</v>
      </c>
      <c r="BC97" s="233">
        <v>1</v>
      </c>
      <c r="BD97" s="50">
        <v>0</v>
      </c>
      <c r="BE97" s="52">
        <v>0</v>
      </c>
      <c r="BF97" s="226">
        <v>1832</v>
      </c>
      <c r="BG97" s="227">
        <v>81</v>
      </c>
      <c r="BH97" s="231">
        <v>269</v>
      </c>
      <c r="BI97" s="226">
        <v>91</v>
      </c>
      <c r="BJ97" s="227">
        <v>1</v>
      </c>
      <c r="BK97" s="52">
        <v>0</v>
      </c>
      <c r="BL97" s="226">
        <v>817</v>
      </c>
      <c r="BM97" s="227">
        <v>47</v>
      </c>
      <c r="BN97" s="231">
        <v>71</v>
      </c>
      <c r="BO97" s="226">
        <v>177</v>
      </c>
      <c r="BP97" s="50">
        <v>0</v>
      </c>
      <c r="BQ97" s="52">
        <v>0</v>
      </c>
      <c r="BR97" s="226">
        <v>5709</v>
      </c>
      <c r="BS97" s="227">
        <v>210</v>
      </c>
      <c r="BT97" s="231">
        <v>25</v>
      </c>
      <c r="BU97" s="226">
        <v>1586</v>
      </c>
      <c r="BV97" s="227">
        <v>6</v>
      </c>
      <c r="BW97" s="231">
        <v>559</v>
      </c>
      <c r="BX97" s="226">
        <v>135586</v>
      </c>
      <c r="BY97" s="135">
        <v>17127</v>
      </c>
      <c r="BZ97" s="229">
        <v>24392</v>
      </c>
      <c r="CA97" s="226">
        <v>81</v>
      </c>
      <c r="CB97" s="227">
        <v>2</v>
      </c>
      <c r="CC97" s="52">
        <v>0</v>
      </c>
      <c r="CD97" s="105">
        <v>170</v>
      </c>
      <c r="CE97" s="227">
        <v>4</v>
      </c>
      <c r="CF97" s="138">
        <v>24</v>
      </c>
      <c r="CG97" s="226">
        <v>548</v>
      </c>
      <c r="CH97" s="227">
        <v>2</v>
      </c>
      <c r="CI97" s="231">
        <v>16</v>
      </c>
      <c r="CJ97" s="226">
        <v>78</v>
      </c>
      <c r="CK97" s="227">
        <v>1</v>
      </c>
      <c r="CL97" s="231">
        <v>55</v>
      </c>
      <c r="CM97" s="226">
        <v>880</v>
      </c>
      <c r="CN97" s="227">
        <v>15</v>
      </c>
      <c r="CO97" s="231">
        <v>8</v>
      </c>
      <c r="CP97" s="226">
        <v>2970</v>
      </c>
      <c r="CQ97" s="227">
        <v>44</v>
      </c>
      <c r="CR97" s="231">
        <v>500</v>
      </c>
      <c r="CS97" s="226">
        <v>599</v>
      </c>
      <c r="CT97" s="227">
        <v>26</v>
      </c>
      <c r="CU97" s="231">
        <v>30</v>
      </c>
      <c r="CV97" s="226">
        <v>293</v>
      </c>
      <c r="CW97" s="50">
        <v>0</v>
      </c>
      <c r="CX97" s="231">
        <v>5</v>
      </c>
      <c r="CY97" s="226">
        <v>1056</v>
      </c>
      <c r="CZ97" s="227">
        <v>22</v>
      </c>
      <c r="DA97" s="231">
        <v>40</v>
      </c>
      <c r="DB97" s="226">
        <v>79</v>
      </c>
      <c r="DC97" s="227">
        <v>1</v>
      </c>
      <c r="DD97" s="231">
        <v>4</v>
      </c>
      <c r="DE97" s="226">
        <v>241</v>
      </c>
      <c r="DF97" s="227">
        <v>2</v>
      </c>
      <c r="DG97" s="231">
        <v>4</v>
      </c>
      <c r="DH97" s="226">
        <v>5903</v>
      </c>
      <c r="DI97" s="227">
        <v>89</v>
      </c>
      <c r="DJ97" s="231">
        <v>32</v>
      </c>
      <c r="DK97" s="226">
        <v>19709</v>
      </c>
      <c r="DL97" s="227">
        <v>2108</v>
      </c>
      <c r="DM97" s="231">
        <v>272</v>
      </c>
      <c r="DN97" s="226">
        <v>4848</v>
      </c>
      <c r="DO97" s="227">
        <v>129</v>
      </c>
      <c r="DP97" s="231">
        <v>191</v>
      </c>
      <c r="DQ97" s="226">
        <v>12442</v>
      </c>
      <c r="DR97" s="227">
        <v>345</v>
      </c>
      <c r="DS97" s="231">
        <v>184</v>
      </c>
      <c r="DT97" s="226">
        <v>4944</v>
      </c>
      <c r="DU97" s="227">
        <v>88</v>
      </c>
      <c r="DV97" s="231">
        <v>172</v>
      </c>
      <c r="DW97" s="226">
        <v>55946</v>
      </c>
      <c r="DX97" s="227">
        <v>6171</v>
      </c>
      <c r="DY97" s="229">
        <v>320</v>
      </c>
      <c r="DZ97" s="226">
        <v>4417</v>
      </c>
      <c r="EA97" s="227">
        <v>197</v>
      </c>
      <c r="EB97" s="231">
        <v>460</v>
      </c>
      <c r="EC97" s="226">
        <v>7497</v>
      </c>
      <c r="ED97" s="227">
        <v>58</v>
      </c>
      <c r="EE97" s="229">
        <v>494</v>
      </c>
      <c r="EF97" s="226">
        <v>277</v>
      </c>
      <c r="EG97" s="227">
        <v>32</v>
      </c>
      <c r="EH97" s="231">
        <v>35</v>
      </c>
      <c r="EI97" s="226">
        <v>2447</v>
      </c>
      <c r="EJ97" s="128">
        <v>61</v>
      </c>
      <c r="EK97" s="17">
        <v>0</v>
      </c>
      <c r="EL97" s="237">
        <v>581</v>
      </c>
      <c r="EM97" s="227">
        <v>2</v>
      </c>
      <c r="EN97" s="231">
        <v>13</v>
      </c>
      <c r="EO97" s="237">
        <v>1059</v>
      </c>
      <c r="EP97" s="227">
        <v>36</v>
      </c>
      <c r="EQ97" s="231">
        <v>102</v>
      </c>
      <c r="ER97" s="226">
        <v>7693</v>
      </c>
      <c r="ES97" s="227">
        <v>591</v>
      </c>
      <c r="ET97" s="231">
        <v>205</v>
      </c>
      <c r="EU97" s="236">
        <f>SuisseSwitzerland!B97</f>
        <v>22959</v>
      </c>
      <c r="EV97" s="234">
        <f>SuisseSwitzerland!C97</f>
        <v>874</v>
      </c>
      <c r="EW97" s="138">
        <f>SuisseSwitzerland!D97</f>
        <v>2480</v>
      </c>
      <c r="EX97" s="226">
        <v>1462</v>
      </c>
      <c r="EY97" s="227">
        <v>45</v>
      </c>
      <c r="EZ97" s="231">
        <v>28</v>
      </c>
      <c r="FA97" s="226">
        <v>7</v>
      </c>
      <c r="FB97" s="50">
        <v>0</v>
      </c>
      <c r="FC97" s="52">
        <v>0</v>
      </c>
      <c r="FD97" s="238"/>
      <c r="FE97" s="239"/>
    </row>
    <row r="98" spans="1:161" ht="12.75">
      <c r="A98" s="221">
        <v>43929</v>
      </c>
      <c r="B98" s="222">
        <f t="shared" ref="B98:D98" si="186">SUM(J98,M98,P98,S98,V98,Y98,AB98,AE98,AH98,AK98,AN98,AQ98,AT98,AW98,AZ98,BC98,BF98,BI98,BL98,CA98,CD98,BO98,BR98,BU98,BX98,CG98,CJ98,CM98,CP98,CS98,CV98,DH98,CY98,DB98,DE98,DK98,DN98,DQ98,DT98,DW98,DZ98,EC98,EF98,EI98,EL98,EO98,ER98,EU98,EX98,FA98)</f>
        <v>715551</v>
      </c>
      <c r="C98" s="223">
        <f t="shared" si="186"/>
        <v>61339</v>
      </c>
      <c r="D98" s="224">
        <f t="shared" si="186"/>
        <v>151123</v>
      </c>
      <c r="E98" s="225">
        <f t="shared" si="1"/>
        <v>503089</v>
      </c>
      <c r="F98" s="152">
        <f t="shared" ref="F98:H98" si="187">SUM(P98,S98,V98,AE98,AH98,AK98,AN98,AQ98,AT98,AW98,AZ98,BF98,BL98,BR98,BX98,CG98,CM98,CP98,CV98,DK98,DN98,DQ98,DT98,DZ98,EL98,EO98,ER98)</f>
        <v>603939</v>
      </c>
      <c r="G98" s="148">
        <f t="shared" si="187"/>
        <v>52808</v>
      </c>
      <c r="H98" s="149">
        <f t="shared" si="187"/>
        <v>146168</v>
      </c>
      <c r="I98" s="153">
        <f t="shared" si="3"/>
        <v>404963</v>
      </c>
      <c r="J98" s="226">
        <v>564</v>
      </c>
      <c r="K98" s="227">
        <v>23</v>
      </c>
      <c r="L98" s="231">
        <v>52</v>
      </c>
      <c r="M98" s="226">
        <v>383</v>
      </c>
      <c r="N98" s="227">
        <v>22</v>
      </c>
      <c r="O98" s="231">
        <v>131</v>
      </c>
      <c r="P98" s="226">
        <v>113296</v>
      </c>
      <c r="Q98" s="135">
        <v>2349</v>
      </c>
      <c r="R98" s="229">
        <v>36081</v>
      </c>
      <c r="S98" s="226">
        <v>12942</v>
      </c>
      <c r="T98" s="227">
        <v>273</v>
      </c>
      <c r="U98" s="231">
        <v>4512</v>
      </c>
      <c r="V98" s="226">
        <v>23403</v>
      </c>
      <c r="W98" s="227">
        <v>2240</v>
      </c>
      <c r="X98" s="229">
        <v>4681</v>
      </c>
      <c r="Y98" s="226">
        <v>1066</v>
      </c>
      <c r="Z98" s="227">
        <v>13</v>
      </c>
      <c r="AA98" s="231">
        <v>77</v>
      </c>
      <c r="AB98" s="226">
        <v>804</v>
      </c>
      <c r="AC98" s="227">
        <v>34</v>
      </c>
      <c r="AD98" s="231">
        <v>79</v>
      </c>
      <c r="AE98" s="226">
        <v>593</v>
      </c>
      <c r="AF98" s="227">
        <v>24</v>
      </c>
      <c r="AG98" s="231">
        <v>42</v>
      </c>
      <c r="AH98" s="226">
        <v>526</v>
      </c>
      <c r="AI98" s="227">
        <v>9</v>
      </c>
      <c r="AJ98" s="231">
        <v>52</v>
      </c>
      <c r="AK98" s="226">
        <v>1343</v>
      </c>
      <c r="AL98" s="227">
        <v>19</v>
      </c>
      <c r="AM98" s="231">
        <v>179</v>
      </c>
      <c r="AN98" s="226">
        <v>5597</v>
      </c>
      <c r="AO98" s="227">
        <v>218</v>
      </c>
      <c r="AP98" s="231">
        <v>1763</v>
      </c>
      <c r="AQ98" s="226">
        <v>148220</v>
      </c>
      <c r="AR98" s="227">
        <v>14792</v>
      </c>
      <c r="AS98" s="229">
        <v>48021</v>
      </c>
      <c r="AT98" s="226">
        <v>1185</v>
      </c>
      <c r="AU98" s="227">
        <v>24</v>
      </c>
      <c r="AV98" s="231">
        <v>72</v>
      </c>
      <c r="AW98" s="226">
        <v>2487</v>
      </c>
      <c r="AX98" s="227">
        <v>40</v>
      </c>
      <c r="AY98" s="229">
        <v>300</v>
      </c>
      <c r="AZ98" s="226">
        <v>82048</v>
      </c>
      <c r="BA98" s="135">
        <f>7632+3237</f>
        <v>10869</v>
      </c>
      <c r="BB98" s="229">
        <v>21254</v>
      </c>
      <c r="BC98" s="233">
        <v>1</v>
      </c>
      <c r="BD98" s="50">
        <v>0</v>
      </c>
      <c r="BE98" s="52">
        <v>0</v>
      </c>
      <c r="BF98" s="226">
        <v>1884</v>
      </c>
      <c r="BG98" s="227">
        <v>83</v>
      </c>
      <c r="BH98" s="231">
        <v>269</v>
      </c>
      <c r="BI98" s="226">
        <v>91</v>
      </c>
      <c r="BJ98" s="227">
        <v>1</v>
      </c>
      <c r="BK98" s="52">
        <v>0</v>
      </c>
      <c r="BL98" s="226">
        <v>895</v>
      </c>
      <c r="BM98" s="227">
        <v>58</v>
      </c>
      <c r="BN98" s="231">
        <v>94</v>
      </c>
      <c r="BO98" s="226">
        <v>177</v>
      </c>
      <c r="BP98" s="50">
        <v>0</v>
      </c>
      <c r="BQ98" s="52">
        <v>0</v>
      </c>
      <c r="BR98" s="226">
        <v>6074</v>
      </c>
      <c r="BS98" s="227">
        <v>235</v>
      </c>
      <c r="BT98" s="231">
        <v>25</v>
      </c>
      <c r="BU98" s="226">
        <v>1616</v>
      </c>
      <c r="BV98" s="227">
        <v>6</v>
      </c>
      <c r="BW98" s="231">
        <v>633</v>
      </c>
      <c r="BX98" s="226">
        <v>139422</v>
      </c>
      <c r="BY98" s="135">
        <v>17669</v>
      </c>
      <c r="BZ98" s="229">
        <v>26491</v>
      </c>
      <c r="CA98" s="226">
        <v>81</v>
      </c>
      <c r="CB98" s="227">
        <v>2</v>
      </c>
      <c r="CC98" s="52">
        <v>0</v>
      </c>
      <c r="CD98" s="105">
        <v>184</v>
      </c>
      <c r="CE98" s="227">
        <v>5</v>
      </c>
      <c r="CF98" s="138">
        <v>30</v>
      </c>
      <c r="CG98" s="226">
        <v>577</v>
      </c>
      <c r="CH98" s="227">
        <v>2</v>
      </c>
      <c r="CI98" s="231">
        <v>16</v>
      </c>
      <c r="CJ98" s="226">
        <v>78</v>
      </c>
      <c r="CK98" s="227">
        <v>1</v>
      </c>
      <c r="CL98" s="231">
        <v>55</v>
      </c>
      <c r="CM98" s="226">
        <v>912</v>
      </c>
      <c r="CN98" s="227">
        <v>15</v>
      </c>
      <c r="CO98" s="231">
        <v>8</v>
      </c>
      <c r="CP98" s="226">
        <v>3034</v>
      </c>
      <c r="CQ98" s="227">
        <v>46</v>
      </c>
      <c r="CR98" s="231">
        <v>500</v>
      </c>
      <c r="CS98" s="226">
        <v>617</v>
      </c>
      <c r="CT98" s="227">
        <v>29</v>
      </c>
      <c r="CU98" s="231">
        <v>35</v>
      </c>
      <c r="CV98" s="226">
        <v>299</v>
      </c>
      <c r="CW98" s="227">
        <v>1</v>
      </c>
      <c r="CX98" s="231">
        <v>16</v>
      </c>
      <c r="CY98" s="226">
        <v>1174</v>
      </c>
      <c r="CZ98" s="227">
        <v>27</v>
      </c>
      <c r="DA98" s="231">
        <v>40</v>
      </c>
      <c r="DB98" s="226">
        <v>81</v>
      </c>
      <c r="DC98" s="227">
        <v>1</v>
      </c>
      <c r="DD98" s="231">
        <v>4</v>
      </c>
      <c r="DE98" s="226">
        <v>248</v>
      </c>
      <c r="DF98" s="227">
        <v>2</v>
      </c>
      <c r="DG98" s="231">
        <v>4</v>
      </c>
      <c r="DH98" s="226">
        <v>6086</v>
      </c>
      <c r="DI98" s="227">
        <v>101</v>
      </c>
      <c r="DJ98" s="231">
        <v>32</v>
      </c>
      <c r="DK98" s="226">
        <v>20682</v>
      </c>
      <c r="DL98" s="227">
        <v>2255</v>
      </c>
      <c r="DM98" s="231">
        <v>272</v>
      </c>
      <c r="DN98" s="226">
        <v>5205</v>
      </c>
      <c r="DO98" s="227">
        <v>159</v>
      </c>
      <c r="DP98" s="231">
        <v>222</v>
      </c>
      <c r="DQ98" s="226">
        <v>13141</v>
      </c>
      <c r="DR98" s="227">
        <v>380</v>
      </c>
      <c r="DS98" s="231">
        <v>196</v>
      </c>
      <c r="DT98" s="226">
        <v>5221</v>
      </c>
      <c r="DU98" s="227">
        <v>99</v>
      </c>
      <c r="DV98" s="231">
        <v>233</v>
      </c>
      <c r="DW98" s="226">
        <v>61474</v>
      </c>
      <c r="DX98" s="227">
        <v>7111</v>
      </c>
      <c r="DY98" s="229">
        <v>320</v>
      </c>
      <c r="DZ98" s="226">
        <v>4761</v>
      </c>
      <c r="EA98" s="227">
        <v>220</v>
      </c>
      <c r="EB98" s="231">
        <v>528</v>
      </c>
      <c r="EC98" s="226">
        <v>8672</v>
      </c>
      <c r="ED98" s="227">
        <v>63</v>
      </c>
      <c r="EE98" s="229">
        <v>580</v>
      </c>
      <c r="EF98" s="226">
        <v>279</v>
      </c>
      <c r="EG98" s="227">
        <v>34</v>
      </c>
      <c r="EH98" s="231">
        <v>40</v>
      </c>
      <c r="EI98" s="226">
        <v>2666</v>
      </c>
      <c r="EJ98" s="128">
        <v>65</v>
      </c>
      <c r="EK98" s="17">
        <v>0</v>
      </c>
      <c r="EL98" s="237">
        <v>682</v>
      </c>
      <c r="EM98" s="227">
        <v>2</v>
      </c>
      <c r="EN98" s="231">
        <v>16</v>
      </c>
      <c r="EO98" s="237">
        <v>1091</v>
      </c>
      <c r="EP98" s="227">
        <v>40</v>
      </c>
      <c r="EQ98" s="231">
        <v>120</v>
      </c>
      <c r="ER98" s="226">
        <v>8419</v>
      </c>
      <c r="ES98" s="227">
        <v>687</v>
      </c>
      <c r="ET98" s="231">
        <v>205</v>
      </c>
      <c r="EU98" s="236">
        <f>SuisseSwitzerland!B98</f>
        <v>23594</v>
      </c>
      <c r="EV98" s="234">
        <f>SuisseSwitzerland!C98</f>
        <v>939</v>
      </c>
      <c r="EW98" s="138">
        <f>SuisseSwitzerland!D98</f>
        <v>2806</v>
      </c>
      <c r="EX98" s="226">
        <v>1668</v>
      </c>
      <c r="EY98" s="227">
        <v>52</v>
      </c>
      <c r="EZ98" s="231">
        <v>35</v>
      </c>
      <c r="FA98" s="226">
        <v>8</v>
      </c>
      <c r="FB98" s="50">
        <v>0</v>
      </c>
      <c r="FC98" s="231">
        <v>2</v>
      </c>
      <c r="FD98" s="238" t="s">
        <v>549</v>
      </c>
      <c r="FE98" s="77" t="s">
        <v>550</v>
      </c>
    </row>
    <row r="99" spans="1:161" ht="12.75">
      <c r="A99" s="221">
        <v>43930</v>
      </c>
      <c r="B99" s="222">
        <f t="shared" ref="B99:D99" si="188">SUM(J99,M99,P99,S99,V99,Y99,AB99,AE99,AH99,AK99,AN99,AQ99,AT99,AW99,AZ99,BC99,BF99,BI99,BL99,CA99,CD99,BO99,BR99,BU99,BX99,CG99,CJ99,CM99,CP99,CS99,CV99,DH99,CY99,DB99,DE99,DK99,DN99,DQ99,DT99,DW99,DZ99,EC99,EF99,EI99,EL99,EO99,ER99,EU99,EX99,FA99)</f>
        <v>746639</v>
      </c>
      <c r="C99" s="223">
        <f t="shared" si="188"/>
        <v>65533</v>
      </c>
      <c r="D99" s="224">
        <f t="shared" si="188"/>
        <v>177665</v>
      </c>
      <c r="E99" s="225">
        <f t="shared" si="1"/>
        <v>503441</v>
      </c>
      <c r="F99" s="152">
        <f t="shared" ref="F99:H99" si="189">SUM(P99,S99,V99,AE99,AH99,AK99,AN99,AQ99,AT99,AW99,AZ99,BF99,BL99,BR99,BX99,CG99,CM99,CP99,CV99,DK99,DN99,DQ99,DT99,DZ99,EL99,EO99,ER99)</f>
        <v>627239</v>
      </c>
      <c r="G99" s="148">
        <f t="shared" si="189"/>
        <v>56026</v>
      </c>
      <c r="H99" s="149">
        <f t="shared" si="189"/>
        <v>172239</v>
      </c>
      <c r="I99" s="153">
        <f t="shared" si="3"/>
        <v>398974</v>
      </c>
      <c r="J99" s="226">
        <v>583</v>
      </c>
      <c r="K99" s="227">
        <v>25</v>
      </c>
      <c r="L99" s="231">
        <v>58</v>
      </c>
      <c r="M99" s="226">
        <v>409</v>
      </c>
      <c r="N99" s="227">
        <v>23</v>
      </c>
      <c r="O99" s="231">
        <v>165</v>
      </c>
      <c r="P99" s="226">
        <v>116801</v>
      </c>
      <c r="Q99" s="135">
        <v>2451</v>
      </c>
      <c r="R99" s="229">
        <v>52407</v>
      </c>
      <c r="S99" s="226">
        <v>13244</v>
      </c>
      <c r="T99" s="227">
        <v>295</v>
      </c>
      <c r="U99" s="231">
        <v>5240</v>
      </c>
      <c r="V99" s="226">
        <v>24983</v>
      </c>
      <c r="W99" s="227">
        <v>2523</v>
      </c>
      <c r="X99" s="229">
        <v>5164</v>
      </c>
      <c r="Y99" s="226">
        <v>1486</v>
      </c>
      <c r="Z99" s="227">
        <v>16</v>
      </c>
      <c r="AA99" s="231">
        <v>139</v>
      </c>
      <c r="AB99" s="226">
        <v>858</v>
      </c>
      <c r="AC99" s="227">
        <v>35</v>
      </c>
      <c r="AD99" s="231">
        <v>101</v>
      </c>
      <c r="AE99" s="226">
        <v>618</v>
      </c>
      <c r="AF99" s="227">
        <v>24</v>
      </c>
      <c r="AG99" s="231">
        <v>48</v>
      </c>
      <c r="AH99" s="226">
        <v>564</v>
      </c>
      <c r="AI99" s="227">
        <v>10</v>
      </c>
      <c r="AJ99" s="231">
        <v>53</v>
      </c>
      <c r="AK99" s="226">
        <v>1407</v>
      </c>
      <c r="AL99" s="227">
        <v>20</v>
      </c>
      <c r="AM99" s="231">
        <v>219</v>
      </c>
      <c r="AN99" s="226">
        <v>5830</v>
      </c>
      <c r="AO99" s="227">
        <v>237</v>
      </c>
      <c r="AP99" s="231">
        <v>1883</v>
      </c>
      <c r="AQ99" s="226">
        <v>152446</v>
      </c>
      <c r="AR99" s="227">
        <v>15238</v>
      </c>
      <c r="AS99" s="229">
        <v>52165</v>
      </c>
      <c r="AT99" s="226">
        <v>1207</v>
      </c>
      <c r="AU99" s="227">
        <v>24</v>
      </c>
      <c r="AV99" s="231">
        <v>83</v>
      </c>
      <c r="AW99" s="226">
        <v>2605</v>
      </c>
      <c r="AX99" s="227">
        <v>42</v>
      </c>
      <c r="AY99" s="229">
        <v>300</v>
      </c>
      <c r="AZ99" s="226">
        <v>86334</v>
      </c>
      <c r="BA99" s="135">
        <f>8044+4166</f>
        <v>12210</v>
      </c>
      <c r="BB99" s="229">
        <v>23206</v>
      </c>
      <c r="BC99" s="233">
        <v>1</v>
      </c>
      <c r="BD99" s="50">
        <v>0</v>
      </c>
      <c r="BE99" s="52">
        <v>0</v>
      </c>
      <c r="BF99" s="226">
        <v>1955</v>
      </c>
      <c r="BG99" s="227">
        <v>87</v>
      </c>
      <c r="BH99" s="231">
        <v>269</v>
      </c>
      <c r="BI99" s="226">
        <v>91</v>
      </c>
      <c r="BJ99" s="227">
        <v>1</v>
      </c>
      <c r="BK99" s="52">
        <v>0</v>
      </c>
      <c r="BL99" s="226">
        <v>980</v>
      </c>
      <c r="BM99" s="227">
        <v>66</v>
      </c>
      <c r="BN99" s="231">
        <v>96</v>
      </c>
      <c r="BO99" s="226">
        <v>177</v>
      </c>
      <c r="BP99" s="50">
        <v>0</v>
      </c>
      <c r="BQ99" s="52">
        <v>0</v>
      </c>
      <c r="BR99" s="226">
        <v>6574</v>
      </c>
      <c r="BS99" s="227">
        <v>263</v>
      </c>
      <c r="BT99" s="231">
        <v>25</v>
      </c>
      <c r="BU99" s="226">
        <v>1648</v>
      </c>
      <c r="BV99" s="227">
        <v>6</v>
      </c>
      <c r="BW99" s="231">
        <v>688</v>
      </c>
      <c r="BX99" s="226">
        <v>143626</v>
      </c>
      <c r="BY99" s="135">
        <v>18279</v>
      </c>
      <c r="BZ99" s="229">
        <v>28470</v>
      </c>
      <c r="CA99" s="226">
        <v>81</v>
      </c>
      <c r="CB99" s="227">
        <v>2</v>
      </c>
      <c r="CC99" s="52">
        <v>0</v>
      </c>
      <c r="CD99" s="105">
        <v>184</v>
      </c>
      <c r="CE99" s="227">
        <v>5</v>
      </c>
      <c r="CF99" s="138">
        <v>30</v>
      </c>
      <c r="CG99" s="226">
        <v>589</v>
      </c>
      <c r="CH99" s="227">
        <v>3</v>
      </c>
      <c r="CI99" s="231">
        <v>16</v>
      </c>
      <c r="CJ99" s="226">
        <v>78</v>
      </c>
      <c r="CK99" s="227">
        <v>1</v>
      </c>
      <c r="CL99" s="231">
        <v>55</v>
      </c>
      <c r="CM99" s="226">
        <v>955</v>
      </c>
      <c r="CN99" s="227">
        <v>16</v>
      </c>
      <c r="CO99" s="231">
        <v>8</v>
      </c>
      <c r="CP99" s="226">
        <v>3115</v>
      </c>
      <c r="CQ99" s="227">
        <v>52</v>
      </c>
      <c r="CR99" s="231">
        <v>500</v>
      </c>
      <c r="CS99" s="226">
        <v>663</v>
      </c>
      <c r="CT99" s="227">
        <v>30</v>
      </c>
      <c r="CU99" s="231">
        <v>37</v>
      </c>
      <c r="CV99" s="226">
        <v>337</v>
      </c>
      <c r="CW99" s="227">
        <v>2</v>
      </c>
      <c r="CX99" s="231">
        <v>16</v>
      </c>
      <c r="CY99" s="226">
        <v>1289</v>
      </c>
      <c r="CZ99" s="227">
        <v>29</v>
      </c>
      <c r="DA99" s="231">
        <v>50</v>
      </c>
      <c r="DB99" s="226">
        <v>84</v>
      </c>
      <c r="DC99" s="227">
        <v>1</v>
      </c>
      <c r="DD99" s="231">
        <v>5</v>
      </c>
      <c r="DE99" s="226">
        <v>252</v>
      </c>
      <c r="DF99" s="227">
        <v>2</v>
      </c>
      <c r="DG99" s="231">
        <v>4</v>
      </c>
      <c r="DH99" s="226">
        <v>6162</v>
      </c>
      <c r="DI99" s="227">
        <v>108</v>
      </c>
      <c r="DJ99" s="231">
        <v>32</v>
      </c>
      <c r="DK99" s="226">
        <v>21903</v>
      </c>
      <c r="DL99" s="227">
        <v>2403</v>
      </c>
      <c r="DM99" s="231">
        <v>278</v>
      </c>
      <c r="DN99" s="226">
        <v>5575</v>
      </c>
      <c r="DO99" s="227">
        <v>174</v>
      </c>
      <c r="DP99" s="231">
        <v>284</v>
      </c>
      <c r="DQ99" s="226">
        <v>13956</v>
      </c>
      <c r="DR99" s="227">
        <v>409</v>
      </c>
      <c r="DS99" s="231">
        <v>205</v>
      </c>
      <c r="DT99" s="226">
        <v>5467</v>
      </c>
      <c r="DU99" s="227">
        <v>112</v>
      </c>
      <c r="DV99" s="231">
        <v>301</v>
      </c>
      <c r="DW99" s="226">
        <v>65863</v>
      </c>
      <c r="DX99" s="227">
        <v>7992</v>
      </c>
      <c r="DY99" s="229">
        <v>320</v>
      </c>
      <c r="DZ99" s="226">
        <v>5202</v>
      </c>
      <c r="EA99" s="227">
        <v>248</v>
      </c>
      <c r="EB99" s="231">
        <v>647</v>
      </c>
      <c r="EC99" s="226">
        <v>10131</v>
      </c>
      <c r="ED99" s="227">
        <v>76</v>
      </c>
      <c r="EE99" s="229">
        <v>698</v>
      </c>
      <c r="EF99" s="226">
        <v>333</v>
      </c>
      <c r="EG99" s="227">
        <v>34</v>
      </c>
      <c r="EH99" s="231">
        <v>49</v>
      </c>
      <c r="EI99" s="226">
        <v>2867</v>
      </c>
      <c r="EJ99" s="128">
        <v>66</v>
      </c>
      <c r="EK99" s="17">
        <v>0</v>
      </c>
      <c r="EL99" s="237">
        <v>701</v>
      </c>
      <c r="EM99" s="227">
        <v>2</v>
      </c>
      <c r="EN99" s="231">
        <v>23</v>
      </c>
      <c r="EO99" s="237">
        <v>1124</v>
      </c>
      <c r="EP99" s="227">
        <v>43</v>
      </c>
      <c r="EQ99" s="231">
        <v>128</v>
      </c>
      <c r="ER99" s="226">
        <v>9141</v>
      </c>
      <c r="ES99" s="227">
        <v>793</v>
      </c>
      <c r="ET99" s="231">
        <v>205</v>
      </c>
      <c r="EU99" s="236">
        <f>SuisseSwitzerland!B99</f>
        <v>24260</v>
      </c>
      <c r="EV99" s="234">
        <f>SuisseSwitzerland!C99</f>
        <v>998</v>
      </c>
      <c r="EW99" s="138">
        <f>SuisseSwitzerland!D99</f>
        <v>2948</v>
      </c>
      <c r="EX99" s="226">
        <v>1892</v>
      </c>
      <c r="EY99" s="227">
        <v>57</v>
      </c>
      <c r="EZ99" s="231">
        <v>45</v>
      </c>
      <c r="FA99" s="226">
        <v>8</v>
      </c>
      <c r="FB99" s="50">
        <v>0</v>
      </c>
      <c r="FC99" s="231">
        <v>2</v>
      </c>
      <c r="FD99" s="238"/>
      <c r="FE99" s="127"/>
    </row>
    <row r="100" spans="1:161" ht="12.75">
      <c r="A100" s="221">
        <v>43931</v>
      </c>
      <c r="B100" s="222">
        <f t="shared" ref="B100:D100" si="190">SUM(J100,M100,P100,S100,V100,Y100,AB100,AE100,AH100,AK100,AN100,AQ100,AT100,AW100,AZ100,BC100,BF100,BI100,BL100,CA100,CD100,BO100,BR100,BU100,BX100,CG100,CJ100,CM100,CP100,CS100,CV100,DH100,CY100,DB100,DE100,DK100,DN100,DQ100,DT100,DW100,DZ100,EC100,EF100,EI100,EL100,EO100,ER100,EU100,EX100,FA100)</f>
        <v>784234</v>
      </c>
      <c r="C100" s="223">
        <f t="shared" si="190"/>
        <v>69990</v>
      </c>
      <c r="D100" s="224">
        <f t="shared" si="190"/>
        <v>188514</v>
      </c>
      <c r="E100" s="225">
        <f t="shared" si="1"/>
        <v>525730</v>
      </c>
      <c r="F100" s="152">
        <f t="shared" ref="F100:H100" si="191">SUM(P100,S100,V100,AE100,AH100,AK100,AN100,AQ100,AT100,AW100,AZ100,BF100,BL100,BR100,BX100,CG100,CM100,CP100,CV100,DK100,DN100,DQ100,DT100,DZ100,EL100,EO100,ER100)</f>
        <v>652302</v>
      </c>
      <c r="G100" s="148">
        <f t="shared" si="191"/>
        <v>59395</v>
      </c>
      <c r="H100" s="149">
        <f t="shared" si="191"/>
        <v>182711</v>
      </c>
      <c r="I100" s="153">
        <f t="shared" si="3"/>
        <v>410196</v>
      </c>
      <c r="J100" s="226">
        <v>601</v>
      </c>
      <c r="K100" s="227">
        <v>26</v>
      </c>
      <c r="L100" s="231">
        <v>71</v>
      </c>
      <c r="M100" s="226">
        <v>416</v>
      </c>
      <c r="N100" s="227">
        <v>23</v>
      </c>
      <c r="O100" s="231">
        <v>182</v>
      </c>
      <c r="P100" s="226">
        <v>120157</v>
      </c>
      <c r="Q100" s="135">
        <v>2688</v>
      </c>
      <c r="R100" s="229">
        <v>53913</v>
      </c>
      <c r="S100" s="226">
        <v>13555</v>
      </c>
      <c r="T100" s="227">
        <v>319</v>
      </c>
      <c r="U100" s="231">
        <v>6064</v>
      </c>
      <c r="V100" s="226">
        <v>26667</v>
      </c>
      <c r="W100" s="227">
        <v>3019</v>
      </c>
      <c r="X100" s="229">
        <v>5568</v>
      </c>
      <c r="Y100" s="226">
        <v>1981</v>
      </c>
      <c r="Z100" s="227">
        <v>19</v>
      </c>
      <c r="AA100" s="231">
        <v>169</v>
      </c>
      <c r="AB100" s="226">
        <v>901</v>
      </c>
      <c r="AC100" s="227">
        <v>36</v>
      </c>
      <c r="AD100" s="231">
        <v>129</v>
      </c>
      <c r="AE100" s="226">
        <v>635</v>
      </c>
      <c r="AF100" s="227">
        <v>25</v>
      </c>
      <c r="AG100" s="231">
        <v>54</v>
      </c>
      <c r="AH100" s="226">
        <v>595</v>
      </c>
      <c r="AI100" s="227">
        <v>10</v>
      </c>
      <c r="AJ100" s="231">
        <v>58</v>
      </c>
      <c r="AK100" s="226">
        <v>1495</v>
      </c>
      <c r="AL100" s="227">
        <v>20</v>
      </c>
      <c r="AM100" s="231">
        <v>231</v>
      </c>
      <c r="AN100" s="226">
        <v>6014</v>
      </c>
      <c r="AO100" s="227">
        <v>247</v>
      </c>
      <c r="AP100" s="231">
        <v>1929</v>
      </c>
      <c r="AQ100" s="226">
        <v>157053</v>
      </c>
      <c r="AR100" s="227">
        <v>15970</v>
      </c>
      <c r="AS100" s="229">
        <v>55668</v>
      </c>
      <c r="AT100" s="226">
        <v>1258</v>
      </c>
      <c r="AU100" s="227">
        <v>24</v>
      </c>
      <c r="AV100" s="231">
        <v>93</v>
      </c>
      <c r="AW100" s="226">
        <v>2769</v>
      </c>
      <c r="AX100" s="227">
        <v>48</v>
      </c>
      <c r="AY100" s="229">
        <v>300</v>
      </c>
      <c r="AZ100" s="226">
        <v>90676</v>
      </c>
      <c r="BA100" s="135">
        <f>8598+4599</f>
        <v>13197</v>
      </c>
      <c r="BB100" s="229">
        <v>24932</v>
      </c>
      <c r="BC100" s="233">
        <v>1</v>
      </c>
      <c r="BD100" s="50">
        <v>0</v>
      </c>
      <c r="BE100" s="52">
        <v>0</v>
      </c>
      <c r="BF100" s="226">
        <v>2011</v>
      </c>
      <c r="BG100" s="227">
        <v>92</v>
      </c>
      <c r="BH100" s="231">
        <v>269</v>
      </c>
      <c r="BI100" s="226">
        <v>91</v>
      </c>
      <c r="BJ100" s="227">
        <v>1</v>
      </c>
      <c r="BK100" s="52">
        <v>0</v>
      </c>
      <c r="BL100" s="226">
        <v>1190</v>
      </c>
      <c r="BM100" s="227">
        <v>77</v>
      </c>
      <c r="BN100" s="231">
        <v>112</v>
      </c>
      <c r="BO100" s="226">
        <v>177</v>
      </c>
      <c r="BP100" s="50">
        <v>0</v>
      </c>
      <c r="BQ100" s="52">
        <v>0</v>
      </c>
      <c r="BR100" s="226">
        <v>8089</v>
      </c>
      <c r="BS100" s="227">
        <v>287</v>
      </c>
      <c r="BT100" s="231">
        <v>25</v>
      </c>
      <c r="BU100" s="226">
        <v>1675</v>
      </c>
      <c r="BV100" s="227">
        <v>7</v>
      </c>
      <c r="BW100" s="231">
        <v>751</v>
      </c>
      <c r="BX100" s="226">
        <v>147577</v>
      </c>
      <c r="BY100" s="135">
        <v>18849</v>
      </c>
      <c r="BZ100" s="229">
        <v>30455</v>
      </c>
      <c r="CA100" s="226">
        <v>81</v>
      </c>
      <c r="CB100" s="227">
        <v>2</v>
      </c>
      <c r="CC100" s="52">
        <v>0</v>
      </c>
      <c r="CD100" s="105">
        <v>184</v>
      </c>
      <c r="CE100" s="227">
        <v>5</v>
      </c>
      <c r="CF100" s="138">
        <v>30</v>
      </c>
      <c r="CG100" s="226">
        <v>612</v>
      </c>
      <c r="CH100" s="227">
        <v>3</v>
      </c>
      <c r="CI100" s="231">
        <v>16</v>
      </c>
      <c r="CJ100" s="226">
        <v>79</v>
      </c>
      <c r="CK100" s="227">
        <v>1</v>
      </c>
      <c r="CL100" s="231">
        <v>55</v>
      </c>
      <c r="CM100" s="226">
        <v>999</v>
      </c>
      <c r="CN100" s="227">
        <v>22</v>
      </c>
      <c r="CO100" s="231">
        <v>54</v>
      </c>
      <c r="CP100" s="226">
        <v>3223</v>
      </c>
      <c r="CQ100" s="227">
        <v>54</v>
      </c>
      <c r="CR100" s="231">
        <v>500</v>
      </c>
      <c r="CS100" s="226">
        <v>711</v>
      </c>
      <c r="CT100" s="227">
        <v>32</v>
      </c>
      <c r="CU100" s="231">
        <v>37</v>
      </c>
      <c r="CV100" s="226">
        <v>350</v>
      </c>
      <c r="CW100" s="227">
        <v>2</v>
      </c>
      <c r="CX100" s="231">
        <v>16</v>
      </c>
      <c r="CY100" s="226">
        <v>1438</v>
      </c>
      <c r="CZ100" s="227">
        <v>29</v>
      </c>
      <c r="DA100" s="231">
        <v>56</v>
      </c>
      <c r="DB100" s="226">
        <v>90</v>
      </c>
      <c r="DC100" s="227">
        <v>1</v>
      </c>
      <c r="DD100" s="231">
        <v>5</v>
      </c>
      <c r="DE100" s="226">
        <v>255</v>
      </c>
      <c r="DF100" s="227">
        <v>2</v>
      </c>
      <c r="DG100" s="231">
        <v>4</v>
      </c>
      <c r="DH100" s="226">
        <v>6314</v>
      </c>
      <c r="DI100" s="227">
        <v>113</v>
      </c>
      <c r="DJ100" s="231">
        <v>32</v>
      </c>
      <c r="DK100" s="226">
        <v>23249</v>
      </c>
      <c r="DL100" s="227">
        <v>2520</v>
      </c>
      <c r="DM100" s="231">
        <v>287</v>
      </c>
      <c r="DN100" s="226">
        <v>5955</v>
      </c>
      <c r="DO100" s="227">
        <v>181</v>
      </c>
      <c r="DP100" s="231">
        <v>318</v>
      </c>
      <c r="DQ100" s="226">
        <v>15472</v>
      </c>
      <c r="DR100" s="227">
        <v>435</v>
      </c>
      <c r="DS100" s="231">
        <v>233</v>
      </c>
      <c r="DT100" s="226">
        <v>5674</v>
      </c>
      <c r="DU100" s="227">
        <v>119</v>
      </c>
      <c r="DV100" s="231">
        <v>346</v>
      </c>
      <c r="DW100" s="226">
        <v>74605</v>
      </c>
      <c r="DX100" s="227">
        <v>8974</v>
      </c>
      <c r="DY100" s="229">
        <v>320</v>
      </c>
      <c r="DZ100" s="226">
        <v>5467</v>
      </c>
      <c r="EA100" s="227">
        <v>270</v>
      </c>
      <c r="EB100" s="231">
        <v>729</v>
      </c>
      <c r="EC100" s="226">
        <v>11917</v>
      </c>
      <c r="ED100" s="227">
        <v>94</v>
      </c>
      <c r="EE100" s="229">
        <v>795</v>
      </c>
      <c r="EF100" s="226">
        <v>344</v>
      </c>
      <c r="EG100" s="227">
        <v>34</v>
      </c>
      <c r="EH100" s="231">
        <v>50</v>
      </c>
      <c r="EI100" s="226">
        <v>3105</v>
      </c>
      <c r="EJ100" s="128">
        <v>71</v>
      </c>
      <c r="EK100" s="17">
        <v>0</v>
      </c>
      <c r="EL100" s="237">
        <v>715</v>
      </c>
      <c r="EM100" s="227">
        <v>2</v>
      </c>
      <c r="EN100" s="231">
        <v>23</v>
      </c>
      <c r="EO100" s="237">
        <v>1160</v>
      </c>
      <c r="EP100" s="227">
        <v>45</v>
      </c>
      <c r="EQ100" s="231">
        <v>137</v>
      </c>
      <c r="ER100" s="226">
        <v>9685</v>
      </c>
      <c r="ES100" s="227">
        <v>870</v>
      </c>
      <c r="ET100" s="231">
        <v>381</v>
      </c>
      <c r="EU100" s="236">
        <f>SuisseSwitzerland!B100</f>
        <v>24755</v>
      </c>
      <c r="EV100" s="234">
        <f>SuisseSwitzerland!C100</f>
        <v>1056</v>
      </c>
      <c r="EW100" s="138">
        <f>SuisseSwitzerland!D100</f>
        <v>3054</v>
      </c>
      <c r="EX100" s="226">
        <v>2203</v>
      </c>
      <c r="EY100" s="227">
        <v>69</v>
      </c>
      <c r="EZ100" s="231">
        <v>61</v>
      </c>
      <c r="FA100" s="226">
        <v>8</v>
      </c>
      <c r="FB100" s="50">
        <v>0</v>
      </c>
      <c r="FC100" s="231">
        <v>2</v>
      </c>
      <c r="FD100" s="238"/>
      <c r="FE100" s="127"/>
    </row>
    <row r="101" spans="1:161" ht="12.75">
      <c r="A101" s="221">
        <v>43932</v>
      </c>
      <c r="B101" s="222">
        <f t="shared" ref="B101:D101" si="192">SUM(J101,M101,P101,S101,V101,Y101,AB101,AE101,AH101,AK101,AN101,AQ101,AT101,AW101,AZ101,BC101,BF101,BI101,BL101,CA101,CD101,BO101,BR101,BU101,BX101,CG101,CJ101,CM101,CP101,CS101,CV101,DH101,CY101,DB101,DE101,DK101,DN101,DQ101,DT101,DW101,DZ101,EC101,EF101,EI101,EL101,EO101,ER101,EU101,EX101,FA101)</f>
        <v>816228</v>
      </c>
      <c r="C101" s="223">
        <f t="shared" si="192"/>
        <v>73448</v>
      </c>
      <c r="D101" s="224">
        <f t="shared" si="192"/>
        <v>201026</v>
      </c>
      <c r="E101" s="225">
        <f t="shared" si="1"/>
        <v>541754</v>
      </c>
      <c r="F101" s="152">
        <f t="shared" ref="F101:H101" si="193">SUM(P101,S101,V101,AE101,AH101,AK101,AN101,AQ101,AT101,AW101,AZ101,BF101,BL101,BR101,BX101,CG101,CM101,CP101,CV101,DK101,DN101,DQ101,DT101,DZ101,EL101,EO101,ER101)</f>
        <v>675646</v>
      </c>
      <c r="G101" s="148">
        <f t="shared" si="193"/>
        <v>61870</v>
      </c>
      <c r="H101" s="149">
        <f t="shared" si="193"/>
        <v>194622</v>
      </c>
      <c r="I101" s="153">
        <f t="shared" si="3"/>
        <v>419154</v>
      </c>
      <c r="J101" s="226">
        <v>601</v>
      </c>
      <c r="K101" s="227">
        <v>26</v>
      </c>
      <c r="L101" s="231">
        <v>71</v>
      </c>
      <c r="M101" s="226">
        <v>433</v>
      </c>
      <c r="N101" s="227">
        <v>23</v>
      </c>
      <c r="O101" s="231">
        <v>197</v>
      </c>
      <c r="P101" s="226">
        <v>124288</v>
      </c>
      <c r="Q101" s="135">
        <v>2736</v>
      </c>
      <c r="R101" s="229">
        <v>57400</v>
      </c>
      <c r="S101" s="226">
        <v>13799</v>
      </c>
      <c r="T101" s="227">
        <v>337</v>
      </c>
      <c r="U101" s="231">
        <v>6604</v>
      </c>
      <c r="V101" s="226">
        <v>28018</v>
      </c>
      <c r="W101" s="227">
        <v>3346</v>
      </c>
      <c r="X101" s="229">
        <v>5986</v>
      </c>
      <c r="Y101" s="226">
        <v>2226</v>
      </c>
      <c r="Z101" s="227">
        <v>23</v>
      </c>
      <c r="AA101" s="231">
        <v>172</v>
      </c>
      <c r="AB101" s="226">
        <v>946</v>
      </c>
      <c r="AC101" s="227">
        <v>37</v>
      </c>
      <c r="AD101" s="231">
        <v>139</v>
      </c>
      <c r="AE101" s="226">
        <v>661</v>
      </c>
      <c r="AF101" s="227">
        <v>28</v>
      </c>
      <c r="AG101" s="231">
        <v>62</v>
      </c>
      <c r="AH101" s="226">
        <v>616</v>
      </c>
      <c r="AI101" s="227">
        <v>10</v>
      </c>
      <c r="AJ101" s="231">
        <v>61</v>
      </c>
      <c r="AK101" s="226">
        <v>1534</v>
      </c>
      <c r="AL101" s="227">
        <v>21</v>
      </c>
      <c r="AM101" s="231">
        <v>323</v>
      </c>
      <c r="AN101" s="226">
        <v>6191</v>
      </c>
      <c r="AO101" s="227">
        <v>260</v>
      </c>
      <c r="AP101" s="231">
        <v>2111</v>
      </c>
      <c r="AQ101" s="226">
        <v>161852</v>
      </c>
      <c r="AR101" s="227">
        <v>16480</v>
      </c>
      <c r="AS101" s="229">
        <v>59109</v>
      </c>
      <c r="AT101" s="226">
        <v>1304</v>
      </c>
      <c r="AU101" s="227">
        <v>24</v>
      </c>
      <c r="AV101" s="231">
        <v>93</v>
      </c>
      <c r="AW101" s="226">
        <v>2905</v>
      </c>
      <c r="AX101" s="227">
        <v>49</v>
      </c>
      <c r="AY101" s="229">
        <v>300</v>
      </c>
      <c r="AZ101" s="226">
        <v>93790</v>
      </c>
      <c r="BA101" s="135">
        <f>8943+4889</f>
        <v>13832</v>
      </c>
      <c r="BB101" s="229">
        <v>26391</v>
      </c>
      <c r="BC101" s="233">
        <v>1</v>
      </c>
      <c r="BD101" s="50">
        <v>0</v>
      </c>
      <c r="BE101" s="52">
        <v>0</v>
      </c>
      <c r="BF101" s="226">
        <v>2081</v>
      </c>
      <c r="BG101" s="227">
        <v>93</v>
      </c>
      <c r="BH101" s="231">
        <v>269</v>
      </c>
      <c r="BI101" s="226">
        <v>91</v>
      </c>
      <c r="BJ101" s="227">
        <v>1</v>
      </c>
      <c r="BK101" s="52">
        <v>0</v>
      </c>
      <c r="BL101" s="226">
        <v>1310</v>
      </c>
      <c r="BM101" s="227">
        <v>85</v>
      </c>
      <c r="BN101" s="231">
        <v>115</v>
      </c>
      <c r="BO101" s="226">
        <v>177</v>
      </c>
      <c r="BP101" s="50">
        <v>0</v>
      </c>
      <c r="BQ101" s="52">
        <v>0</v>
      </c>
      <c r="BR101" s="226">
        <v>8928</v>
      </c>
      <c r="BS101" s="227">
        <v>320</v>
      </c>
      <c r="BT101" s="231">
        <v>25</v>
      </c>
      <c r="BU101" s="226">
        <v>1689</v>
      </c>
      <c r="BV101" s="227">
        <v>8</v>
      </c>
      <c r="BW101" s="231">
        <v>841</v>
      </c>
      <c r="BX101" s="226">
        <v>152271</v>
      </c>
      <c r="BY101" s="135">
        <v>19468</v>
      </c>
      <c r="BZ101" s="229">
        <v>32534</v>
      </c>
      <c r="CA101" s="226">
        <v>81</v>
      </c>
      <c r="CB101" s="227">
        <v>2</v>
      </c>
      <c r="CC101" s="52">
        <v>0</v>
      </c>
      <c r="CD101" s="105">
        <v>250</v>
      </c>
      <c r="CE101" s="227">
        <v>7</v>
      </c>
      <c r="CF101" s="138">
        <v>52</v>
      </c>
      <c r="CG101" s="226">
        <v>630</v>
      </c>
      <c r="CH101" s="227">
        <v>3</v>
      </c>
      <c r="CI101" s="231">
        <v>16</v>
      </c>
      <c r="CJ101" s="226">
        <v>79</v>
      </c>
      <c r="CK101" s="227">
        <v>1</v>
      </c>
      <c r="CL101" s="231">
        <v>55</v>
      </c>
      <c r="CM101" s="226">
        <v>1026</v>
      </c>
      <c r="CN101" s="227">
        <v>23</v>
      </c>
      <c r="CO101" s="231">
        <v>54</v>
      </c>
      <c r="CP101" s="226">
        <v>3270</v>
      </c>
      <c r="CQ101" s="227">
        <v>62</v>
      </c>
      <c r="CR101" s="231">
        <v>500</v>
      </c>
      <c r="CS101" s="226">
        <v>760</v>
      </c>
      <c r="CT101" s="227">
        <v>34</v>
      </c>
      <c r="CU101" s="231">
        <v>41</v>
      </c>
      <c r="CV101" s="226">
        <v>370</v>
      </c>
      <c r="CW101" s="227">
        <v>3</v>
      </c>
      <c r="CX101" s="231">
        <v>16</v>
      </c>
      <c r="CY101" s="226">
        <v>1560</v>
      </c>
      <c r="CZ101" s="227">
        <v>30</v>
      </c>
      <c r="DA101" s="231">
        <v>75</v>
      </c>
      <c r="DB101" s="226">
        <v>92</v>
      </c>
      <c r="DC101" s="227">
        <v>1</v>
      </c>
      <c r="DD101" s="231">
        <v>5</v>
      </c>
      <c r="DE101" s="226">
        <v>263</v>
      </c>
      <c r="DF101" s="227">
        <v>2</v>
      </c>
      <c r="DG101" s="231">
        <v>5</v>
      </c>
      <c r="DH101" s="226">
        <v>6408</v>
      </c>
      <c r="DI101" s="227">
        <v>118</v>
      </c>
      <c r="DJ101" s="231">
        <v>32</v>
      </c>
      <c r="DK101" s="226">
        <v>24571</v>
      </c>
      <c r="DL101" s="227">
        <v>2653</v>
      </c>
      <c r="DM101" s="231">
        <v>291</v>
      </c>
      <c r="DN101" s="226">
        <v>6356</v>
      </c>
      <c r="DO101" s="227">
        <v>208</v>
      </c>
      <c r="DP101" s="231">
        <v>375</v>
      </c>
      <c r="DQ101" s="226">
        <v>15987</v>
      </c>
      <c r="DR101" s="227">
        <v>470</v>
      </c>
      <c r="DS101" s="231">
        <v>266</v>
      </c>
      <c r="DT101" s="226">
        <v>5831</v>
      </c>
      <c r="DU101" s="227">
        <v>129</v>
      </c>
      <c r="DV101" s="231">
        <v>411</v>
      </c>
      <c r="DW101" s="226">
        <v>79865</v>
      </c>
      <c r="DX101" s="227">
        <v>9892</v>
      </c>
      <c r="DY101" s="229">
        <v>320</v>
      </c>
      <c r="DZ101" s="226">
        <v>5990</v>
      </c>
      <c r="EA101" s="227">
        <v>291</v>
      </c>
      <c r="EB101" s="231">
        <v>758</v>
      </c>
      <c r="EC101" s="226">
        <v>13584</v>
      </c>
      <c r="ED101" s="227">
        <v>106</v>
      </c>
      <c r="EE101" s="229">
        <v>1045</v>
      </c>
      <c r="EF101" s="226">
        <v>356</v>
      </c>
      <c r="EG101" s="227">
        <v>35</v>
      </c>
      <c r="EH101" s="231">
        <v>53</v>
      </c>
      <c r="EI101" s="226">
        <v>3380</v>
      </c>
      <c r="EJ101" s="128">
        <v>74</v>
      </c>
      <c r="EK101" s="17">
        <v>0</v>
      </c>
      <c r="EL101" s="237">
        <v>728</v>
      </c>
      <c r="EM101" s="227">
        <v>2</v>
      </c>
      <c r="EN101" s="231">
        <v>23</v>
      </c>
      <c r="EO101" s="237">
        <v>1188</v>
      </c>
      <c r="EP101" s="227">
        <v>50</v>
      </c>
      <c r="EQ101" s="231">
        <v>148</v>
      </c>
      <c r="ER101" s="226">
        <v>10151</v>
      </c>
      <c r="ES101" s="227">
        <v>887</v>
      </c>
      <c r="ET101" s="231">
        <v>381</v>
      </c>
      <c r="EU101" s="236">
        <f>SuisseSwitzerland!B101</f>
        <v>25221</v>
      </c>
      <c r="EV101" s="234">
        <f>SuisseSwitzerland!C101</f>
        <v>1085</v>
      </c>
      <c r="EW101" s="138">
        <f>SuisseSwitzerland!D101</f>
        <v>3220</v>
      </c>
      <c r="EX101" s="226">
        <v>2511</v>
      </c>
      <c r="EY101" s="227">
        <v>73</v>
      </c>
      <c r="EZ101" s="231">
        <v>79</v>
      </c>
      <c r="FA101" s="226">
        <v>8</v>
      </c>
      <c r="FB101" s="50">
        <v>0</v>
      </c>
      <c r="FC101" s="231">
        <v>2</v>
      </c>
      <c r="FD101" s="238"/>
      <c r="FE101" s="127"/>
    </row>
    <row r="102" spans="1:161" ht="12.75">
      <c r="A102" s="292">
        <v>43933</v>
      </c>
      <c r="B102" s="293">
        <f t="shared" ref="B102:D102" si="194">SUM(J102,M102,P102,S102,V102,Y102,AB102,AE102,AH102,AK102,AN102,AQ102,AT102,AW102,AZ102,BC102,BF102,BI102,BL102,CA102,CD102,BO102,BR102,BU102,BX102,CG102,CJ102,CM102,CP102,CS102,CV102,DH102,CY102,DB102,DE102,DK102,DN102,DQ102,DT102,DW102,DZ102,EC102,EF102,EI102,EL102,EO102,ER102,EU102,EX102,FA102)</f>
        <v>844315</v>
      </c>
      <c r="C102" s="294">
        <f t="shared" si="194"/>
        <v>76540</v>
      </c>
      <c r="D102" s="295">
        <f t="shared" si="194"/>
        <v>211636</v>
      </c>
      <c r="E102" s="296">
        <f t="shared" si="1"/>
        <v>556139</v>
      </c>
      <c r="F102" s="152">
        <f t="shared" ref="F102:H102" si="195">SUM(P102,S102,V102,AE102,AH102,AK102,AN102,AQ102,AT102,AW102,AZ102,BF102,BL102,BR102,BX102,CG102,CM102,CP102,CV102,DK102,DN102,DQ102,DT102,DZ102,EL102,EO102,ER102)</f>
        <v>694598</v>
      </c>
      <c r="G102" s="148">
        <f t="shared" si="195"/>
        <v>64111</v>
      </c>
      <c r="H102" s="149">
        <f t="shared" si="195"/>
        <v>204639</v>
      </c>
      <c r="I102" s="153">
        <f t="shared" si="3"/>
        <v>425848</v>
      </c>
      <c r="J102" s="297">
        <v>638</v>
      </c>
      <c r="K102" s="298">
        <v>29</v>
      </c>
      <c r="L102" s="299">
        <v>128</v>
      </c>
      <c r="M102" s="297">
        <v>446</v>
      </c>
      <c r="N102" s="300">
        <v>23</v>
      </c>
      <c r="O102" s="299">
        <v>217</v>
      </c>
      <c r="P102" s="297">
        <v>127459</v>
      </c>
      <c r="Q102" s="301">
        <v>2961</v>
      </c>
      <c r="R102" s="302">
        <v>60300</v>
      </c>
      <c r="S102" s="297">
        <v>13945</v>
      </c>
      <c r="T102" s="298">
        <v>350</v>
      </c>
      <c r="U102" s="299">
        <v>6987</v>
      </c>
      <c r="V102" s="297">
        <v>29647</v>
      </c>
      <c r="W102" s="298">
        <v>3600</v>
      </c>
      <c r="X102" s="302">
        <v>6463</v>
      </c>
      <c r="Y102" s="297">
        <v>2578</v>
      </c>
      <c r="Z102" s="298">
        <v>26</v>
      </c>
      <c r="AA102" s="299">
        <v>203</v>
      </c>
      <c r="AB102" s="297">
        <v>1004</v>
      </c>
      <c r="AC102" s="298">
        <v>39</v>
      </c>
      <c r="AD102" s="299">
        <v>193</v>
      </c>
      <c r="AE102" s="297">
        <v>675</v>
      </c>
      <c r="AF102" s="298">
        <v>29</v>
      </c>
      <c r="AG102" s="299">
        <v>68</v>
      </c>
      <c r="AH102" s="297">
        <v>633</v>
      </c>
      <c r="AI102" s="298">
        <v>11</v>
      </c>
      <c r="AJ102" s="299">
        <v>65</v>
      </c>
      <c r="AK102" s="297">
        <v>1600</v>
      </c>
      <c r="AL102" s="298">
        <v>23</v>
      </c>
      <c r="AM102" s="299">
        <v>373</v>
      </c>
      <c r="AN102" s="297">
        <v>6369</v>
      </c>
      <c r="AO102" s="298">
        <v>273</v>
      </c>
      <c r="AP102" s="299">
        <v>2291</v>
      </c>
      <c r="AQ102" s="297">
        <v>166019</v>
      </c>
      <c r="AR102" s="298">
        <v>16972</v>
      </c>
      <c r="AS102" s="302">
        <v>62391</v>
      </c>
      <c r="AT102" s="297">
        <v>1309</v>
      </c>
      <c r="AU102" s="298">
        <v>25</v>
      </c>
      <c r="AV102" s="299">
        <v>98</v>
      </c>
      <c r="AW102" s="297">
        <v>2974</v>
      </c>
      <c r="AX102" s="298">
        <v>56</v>
      </c>
      <c r="AY102" s="303">
        <v>300</v>
      </c>
      <c r="AZ102" s="297">
        <v>95403</v>
      </c>
      <c r="BA102" s="304">
        <f>9253+5140</f>
        <v>14393</v>
      </c>
      <c r="BB102" s="302">
        <v>27186</v>
      </c>
      <c r="BC102" s="305">
        <v>1</v>
      </c>
      <c r="BD102" s="306">
        <v>0</v>
      </c>
      <c r="BE102" s="307">
        <v>0</v>
      </c>
      <c r="BF102" s="297">
        <v>2114</v>
      </c>
      <c r="BG102" s="298">
        <v>98</v>
      </c>
      <c r="BH102" s="308">
        <v>269</v>
      </c>
      <c r="BI102" s="305">
        <v>91</v>
      </c>
      <c r="BJ102" s="300">
        <v>1</v>
      </c>
      <c r="BK102" s="307">
        <v>0</v>
      </c>
      <c r="BL102" s="297">
        <v>1410</v>
      </c>
      <c r="BM102" s="298">
        <v>99</v>
      </c>
      <c r="BN102" s="299">
        <v>118</v>
      </c>
      <c r="BO102" s="305">
        <v>177</v>
      </c>
      <c r="BP102" s="306">
        <v>0</v>
      </c>
      <c r="BQ102" s="307">
        <v>0</v>
      </c>
      <c r="BR102" s="297">
        <v>9655</v>
      </c>
      <c r="BS102" s="298">
        <v>334</v>
      </c>
      <c r="BT102" s="308">
        <v>25</v>
      </c>
      <c r="BU102" s="297">
        <v>1701</v>
      </c>
      <c r="BV102" s="300">
        <v>8</v>
      </c>
      <c r="BW102" s="299">
        <v>889</v>
      </c>
      <c r="BX102" s="297">
        <v>156363</v>
      </c>
      <c r="BY102" s="301">
        <v>19899</v>
      </c>
      <c r="BZ102" s="302">
        <v>34211</v>
      </c>
      <c r="CA102" s="305">
        <v>81</v>
      </c>
      <c r="CB102" s="300">
        <v>2</v>
      </c>
      <c r="CC102" s="307">
        <v>0</v>
      </c>
      <c r="CD102" s="226">
        <v>283</v>
      </c>
      <c r="CE102" s="300">
        <v>7</v>
      </c>
      <c r="CF102" s="231">
        <v>58</v>
      </c>
      <c r="CG102" s="297">
        <v>651</v>
      </c>
      <c r="CH102" s="298">
        <v>5</v>
      </c>
      <c r="CI102" s="308">
        <v>16</v>
      </c>
      <c r="CJ102" s="297">
        <v>80</v>
      </c>
      <c r="CK102" s="300">
        <v>1</v>
      </c>
      <c r="CL102" s="308">
        <v>55</v>
      </c>
      <c r="CM102" s="305">
        <v>1026</v>
      </c>
      <c r="CN102" s="300">
        <v>23</v>
      </c>
      <c r="CO102" s="308">
        <v>54</v>
      </c>
      <c r="CP102" s="297">
        <v>3281</v>
      </c>
      <c r="CQ102" s="298">
        <v>66</v>
      </c>
      <c r="CR102" s="308">
        <v>500</v>
      </c>
      <c r="CS102" s="297">
        <v>828</v>
      </c>
      <c r="CT102" s="300">
        <v>34</v>
      </c>
      <c r="CU102" s="308">
        <v>41</v>
      </c>
      <c r="CV102" s="297">
        <v>378</v>
      </c>
      <c r="CW102" s="300">
        <v>3</v>
      </c>
      <c r="CX102" s="299">
        <v>44</v>
      </c>
      <c r="CY102" s="297">
        <v>1662</v>
      </c>
      <c r="CZ102" s="298">
        <v>31</v>
      </c>
      <c r="DA102" s="299">
        <v>94</v>
      </c>
      <c r="DB102" s="305">
        <v>92</v>
      </c>
      <c r="DC102" s="300">
        <v>1</v>
      </c>
      <c r="DD102" s="308">
        <v>5</v>
      </c>
      <c r="DE102" s="297">
        <v>272</v>
      </c>
      <c r="DF102" s="298">
        <v>3</v>
      </c>
      <c r="DG102" s="308">
        <v>5</v>
      </c>
      <c r="DH102" s="297">
        <v>6485</v>
      </c>
      <c r="DI102" s="298">
        <v>128</v>
      </c>
      <c r="DJ102" s="308">
        <v>32</v>
      </c>
      <c r="DK102" s="297">
        <v>25746</v>
      </c>
      <c r="DL102" s="298">
        <v>2747</v>
      </c>
      <c r="DM102" s="299">
        <v>294</v>
      </c>
      <c r="DN102" s="297">
        <v>6674</v>
      </c>
      <c r="DO102" s="298">
        <v>232</v>
      </c>
      <c r="DP102" s="299">
        <v>439</v>
      </c>
      <c r="DQ102" s="297">
        <v>16585</v>
      </c>
      <c r="DR102" s="298">
        <v>504</v>
      </c>
      <c r="DS102" s="299">
        <v>277</v>
      </c>
      <c r="DT102" s="297">
        <v>5952</v>
      </c>
      <c r="DU102" s="298">
        <v>138</v>
      </c>
      <c r="DV102" s="299">
        <v>464</v>
      </c>
      <c r="DW102" s="297">
        <v>85199</v>
      </c>
      <c r="DX102" s="298">
        <v>10629</v>
      </c>
      <c r="DY102" s="229">
        <v>320</v>
      </c>
      <c r="DZ102" s="297">
        <v>6300</v>
      </c>
      <c r="EA102" s="298">
        <v>316</v>
      </c>
      <c r="EB102" s="299">
        <v>852</v>
      </c>
      <c r="EC102" s="297">
        <v>15770</v>
      </c>
      <c r="ED102" s="298">
        <v>130</v>
      </c>
      <c r="EE102" s="302">
        <v>1291</v>
      </c>
      <c r="EF102" s="305">
        <v>356</v>
      </c>
      <c r="EG102" s="300">
        <v>35</v>
      </c>
      <c r="EH102" s="308">
        <v>53</v>
      </c>
      <c r="EI102" s="297">
        <v>3630</v>
      </c>
      <c r="EJ102" s="227">
        <v>80</v>
      </c>
      <c r="EK102" s="52">
        <v>0</v>
      </c>
      <c r="EL102" s="309">
        <v>742</v>
      </c>
      <c r="EM102" s="300">
        <v>2</v>
      </c>
      <c r="EN102" s="308">
        <v>23</v>
      </c>
      <c r="EO102" s="309">
        <v>1205</v>
      </c>
      <c r="EP102" s="298">
        <v>53</v>
      </c>
      <c r="EQ102" s="299">
        <v>150</v>
      </c>
      <c r="ER102" s="297">
        <v>10483</v>
      </c>
      <c r="ES102" s="298">
        <v>899</v>
      </c>
      <c r="ET102" s="308">
        <v>381</v>
      </c>
      <c r="EU102" s="310">
        <f>SuisseSwitzerland!B102</f>
        <v>25558</v>
      </c>
      <c r="EV102" s="300">
        <f>SuisseSwitzerland!C102</f>
        <v>1139</v>
      </c>
      <c r="EW102" s="138">
        <f>SuisseSwitzerland!D102</f>
        <v>3322</v>
      </c>
      <c r="EX102" s="297">
        <v>2777</v>
      </c>
      <c r="EY102" s="298">
        <v>83</v>
      </c>
      <c r="EZ102" s="299">
        <v>89</v>
      </c>
      <c r="FA102" s="305">
        <v>8</v>
      </c>
      <c r="FB102" s="306">
        <v>0</v>
      </c>
      <c r="FC102" s="308">
        <v>2</v>
      </c>
      <c r="FD102" s="311"/>
      <c r="FE102" s="311"/>
    </row>
    <row r="103" spans="1:161" ht="12.75">
      <c r="A103" s="292">
        <v>43934</v>
      </c>
      <c r="B103" s="293">
        <f t="shared" ref="B103:D103" si="196">SUM(J103,M103,P103,S103,V103,Y103,AB103,AE103,AH103,AK103,AN103,AQ103,AT103,AW103,AZ103,BC103,BF103,BI103,BL103,CA103,CD103,BO103,BR103,BU103,BX103,CG103,CJ103,CM103,CP103,CS103,CV103,DH103,CY103,DB103,DE103,DK103,DN103,DQ103,DT103,DW103,DZ103,EC103,EF103,EI103,EL103,EO103,ER103,EU103,EX103,FA103)</f>
        <v>867875</v>
      </c>
      <c r="C103" s="294">
        <f t="shared" si="196"/>
        <v>79636</v>
      </c>
      <c r="D103" s="295">
        <f t="shared" si="196"/>
        <v>221131</v>
      </c>
      <c r="E103" s="296">
        <f t="shared" si="1"/>
        <v>567108</v>
      </c>
      <c r="F103" s="152">
        <f t="shared" ref="F103:H103" si="197">SUM(P103,S103,V103,AE103,AH103,AK103,AN103,AQ103,AT103,AW103,AZ103,BF103,BL103,BR103,BX103,CG103,CM103,CP103,CV103,DK103,DN103,DQ103,DT103,DZ103,EL103,EO103,ER103)</f>
        <v>709684</v>
      </c>
      <c r="G103" s="148">
        <f t="shared" si="197"/>
        <v>66411</v>
      </c>
      <c r="H103" s="149">
        <f t="shared" si="197"/>
        <v>213778</v>
      </c>
      <c r="I103" s="153">
        <f t="shared" si="3"/>
        <v>429495</v>
      </c>
      <c r="J103" s="297">
        <v>646</v>
      </c>
      <c r="K103" s="298">
        <v>29</v>
      </c>
      <c r="L103" s="299">
        <v>128</v>
      </c>
      <c r="M103" s="297">
        <v>467</v>
      </c>
      <c r="N103" s="300">
        <v>23</v>
      </c>
      <c r="O103" s="299">
        <v>232</v>
      </c>
      <c r="P103" s="297">
        <v>128208</v>
      </c>
      <c r="Q103" s="301">
        <v>3043</v>
      </c>
      <c r="R103" s="302">
        <v>64300</v>
      </c>
      <c r="S103" s="297">
        <v>14041</v>
      </c>
      <c r="T103" s="298">
        <v>368</v>
      </c>
      <c r="U103" s="299">
        <v>7343</v>
      </c>
      <c r="V103" s="297">
        <v>30589</v>
      </c>
      <c r="W103" s="298">
        <v>3903</v>
      </c>
      <c r="X103" s="302">
        <v>6707</v>
      </c>
      <c r="Y103" s="297">
        <v>2919</v>
      </c>
      <c r="Z103" s="298">
        <v>29</v>
      </c>
      <c r="AA103" s="299">
        <v>203</v>
      </c>
      <c r="AB103" s="297">
        <v>1037</v>
      </c>
      <c r="AC103" s="298">
        <v>39</v>
      </c>
      <c r="AD103" s="299">
        <v>206</v>
      </c>
      <c r="AE103" s="297">
        <v>685</v>
      </c>
      <c r="AF103" s="298">
        <v>32</v>
      </c>
      <c r="AG103" s="299">
        <v>71</v>
      </c>
      <c r="AH103" s="297">
        <v>662</v>
      </c>
      <c r="AI103" s="298">
        <v>12</v>
      </c>
      <c r="AJ103" s="299">
        <v>65</v>
      </c>
      <c r="AK103" s="297">
        <v>1650</v>
      </c>
      <c r="AL103" s="298">
        <v>25</v>
      </c>
      <c r="AM103" s="299">
        <v>400</v>
      </c>
      <c r="AN103" s="297">
        <v>6513</v>
      </c>
      <c r="AO103" s="298">
        <v>285</v>
      </c>
      <c r="AP103" s="299">
        <v>2403</v>
      </c>
      <c r="AQ103" s="297">
        <v>169496</v>
      </c>
      <c r="AR103" s="298">
        <v>17489</v>
      </c>
      <c r="AS103" s="302">
        <v>64727</v>
      </c>
      <c r="AT103" s="297">
        <v>1332</v>
      </c>
      <c r="AU103" s="298">
        <v>28</v>
      </c>
      <c r="AV103" s="299">
        <v>102</v>
      </c>
      <c r="AW103" s="297">
        <v>3064</v>
      </c>
      <c r="AX103" s="298">
        <v>59</v>
      </c>
      <c r="AY103" s="303">
        <v>300</v>
      </c>
      <c r="AZ103" s="297">
        <v>98076</v>
      </c>
      <c r="BA103" s="304">
        <f>9588+5379</f>
        <v>14967</v>
      </c>
      <c r="BB103" s="302">
        <v>27718</v>
      </c>
      <c r="BC103" s="305">
        <v>1</v>
      </c>
      <c r="BD103" s="306">
        <v>0</v>
      </c>
      <c r="BE103" s="307">
        <v>0</v>
      </c>
      <c r="BF103" s="297">
        <v>2145</v>
      </c>
      <c r="BG103" s="298">
        <v>99</v>
      </c>
      <c r="BH103" s="308">
        <v>269</v>
      </c>
      <c r="BI103" s="305">
        <v>91</v>
      </c>
      <c r="BJ103" s="300">
        <v>1</v>
      </c>
      <c r="BK103" s="307">
        <v>0</v>
      </c>
      <c r="BL103" s="297">
        <v>1458</v>
      </c>
      <c r="BM103" s="298">
        <v>109</v>
      </c>
      <c r="BN103" s="299">
        <v>120</v>
      </c>
      <c r="BO103" s="305">
        <v>177</v>
      </c>
      <c r="BP103" s="306">
        <v>0</v>
      </c>
      <c r="BQ103" s="307">
        <v>0</v>
      </c>
      <c r="BR103" s="297">
        <v>10647</v>
      </c>
      <c r="BS103" s="298">
        <v>365</v>
      </c>
      <c r="BT103" s="308">
        <v>25</v>
      </c>
      <c r="BU103" s="297">
        <v>1711</v>
      </c>
      <c r="BV103" s="300">
        <v>8</v>
      </c>
      <c r="BW103" s="299">
        <v>933</v>
      </c>
      <c r="BX103" s="297">
        <v>159516</v>
      </c>
      <c r="BY103" s="301">
        <v>20465</v>
      </c>
      <c r="BZ103" s="302">
        <v>35435</v>
      </c>
      <c r="CA103" s="305">
        <v>81</v>
      </c>
      <c r="CB103" s="300">
        <v>2</v>
      </c>
      <c r="CC103" s="307">
        <v>0</v>
      </c>
      <c r="CD103" s="226">
        <v>283</v>
      </c>
      <c r="CE103" s="300">
        <v>7</v>
      </c>
      <c r="CF103" s="231">
        <v>58</v>
      </c>
      <c r="CG103" s="297">
        <v>655</v>
      </c>
      <c r="CH103" s="298">
        <v>5</v>
      </c>
      <c r="CI103" s="308">
        <v>16</v>
      </c>
      <c r="CJ103" s="297">
        <v>80</v>
      </c>
      <c r="CK103" s="300">
        <v>1</v>
      </c>
      <c r="CL103" s="308">
        <v>55</v>
      </c>
      <c r="CM103" s="297">
        <v>1062</v>
      </c>
      <c r="CN103" s="298">
        <v>24</v>
      </c>
      <c r="CO103" s="299">
        <v>101</v>
      </c>
      <c r="CP103" s="297">
        <v>3292</v>
      </c>
      <c r="CQ103" s="298">
        <v>67</v>
      </c>
      <c r="CR103" s="308">
        <v>500</v>
      </c>
      <c r="CS103" s="297">
        <v>854</v>
      </c>
      <c r="CT103" s="298">
        <v>38</v>
      </c>
      <c r="CU103" s="299">
        <v>44</v>
      </c>
      <c r="CV103" s="297">
        <v>384</v>
      </c>
      <c r="CW103" s="300">
        <v>3</v>
      </c>
      <c r="CX103" s="299">
        <v>44</v>
      </c>
      <c r="CY103" s="297">
        <v>1712</v>
      </c>
      <c r="CZ103" s="298">
        <v>35</v>
      </c>
      <c r="DA103" s="299">
        <v>107</v>
      </c>
      <c r="DB103" s="297">
        <v>93</v>
      </c>
      <c r="DC103" s="300">
        <v>1</v>
      </c>
      <c r="DD103" s="299">
        <v>6</v>
      </c>
      <c r="DE103" s="297">
        <v>274</v>
      </c>
      <c r="DF103" s="298">
        <v>3</v>
      </c>
      <c r="DG103" s="308">
        <v>5</v>
      </c>
      <c r="DH103" s="297">
        <v>6551</v>
      </c>
      <c r="DI103" s="298">
        <v>134</v>
      </c>
      <c r="DJ103" s="308">
        <v>32</v>
      </c>
      <c r="DK103" s="297">
        <v>26710</v>
      </c>
      <c r="DL103" s="298">
        <v>2833</v>
      </c>
      <c r="DM103" s="299">
        <v>295</v>
      </c>
      <c r="DN103" s="297">
        <v>6934</v>
      </c>
      <c r="DO103" s="298">
        <v>245</v>
      </c>
      <c r="DP103" s="299">
        <v>487</v>
      </c>
      <c r="DQ103" s="297">
        <v>16934</v>
      </c>
      <c r="DR103" s="298">
        <v>535</v>
      </c>
      <c r="DS103" s="299">
        <v>277</v>
      </c>
      <c r="DT103" s="297">
        <v>6022</v>
      </c>
      <c r="DU103" s="298">
        <v>143</v>
      </c>
      <c r="DV103" s="299">
        <v>519</v>
      </c>
      <c r="DW103" s="297">
        <v>89569</v>
      </c>
      <c r="DX103" s="298">
        <v>11346</v>
      </c>
      <c r="DY103" s="229">
        <v>320</v>
      </c>
      <c r="DZ103" s="297">
        <v>6633</v>
      </c>
      <c r="EA103" s="298">
        <v>331</v>
      </c>
      <c r="EB103" s="299">
        <v>914</v>
      </c>
      <c r="EC103" s="297">
        <v>18328</v>
      </c>
      <c r="ED103" s="298">
        <v>148</v>
      </c>
      <c r="EE103" s="302">
        <v>1470</v>
      </c>
      <c r="EF103" s="305">
        <v>356</v>
      </c>
      <c r="EG103" s="300">
        <v>35</v>
      </c>
      <c r="EH103" s="308">
        <v>53</v>
      </c>
      <c r="EI103" s="297">
        <v>4054</v>
      </c>
      <c r="EJ103" s="227">
        <v>85</v>
      </c>
      <c r="EK103" s="52">
        <v>0</v>
      </c>
      <c r="EL103" s="309">
        <v>816</v>
      </c>
      <c r="EM103" s="300">
        <v>2</v>
      </c>
      <c r="EN103" s="299">
        <v>107</v>
      </c>
      <c r="EO103" s="309">
        <v>1212</v>
      </c>
      <c r="EP103" s="298">
        <v>55</v>
      </c>
      <c r="EQ103" s="299">
        <v>152</v>
      </c>
      <c r="ER103" s="297">
        <v>10948</v>
      </c>
      <c r="ES103" s="298">
        <v>919</v>
      </c>
      <c r="ET103" s="308">
        <v>381</v>
      </c>
      <c r="EU103" s="310">
        <f>SuisseSwitzerland!B103</f>
        <v>25797</v>
      </c>
      <c r="EV103" s="300">
        <f>SuisseSwitzerland!C103</f>
        <v>1168</v>
      </c>
      <c r="EW103" s="138">
        <f>SuisseSwitzerland!D103</f>
        <v>3402</v>
      </c>
      <c r="EX103" s="297">
        <v>3102</v>
      </c>
      <c r="EY103" s="298">
        <v>93</v>
      </c>
      <c r="EZ103" s="299">
        <v>97</v>
      </c>
      <c r="FA103" s="305">
        <v>8</v>
      </c>
      <c r="FB103" s="306">
        <v>0</v>
      </c>
      <c r="FC103" s="308">
        <v>2</v>
      </c>
      <c r="FD103" s="311"/>
      <c r="FE103" s="311"/>
    </row>
    <row r="104" spans="1:161" ht="12.75">
      <c r="A104" s="292">
        <v>43935</v>
      </c>
      <c r="B104" s="293">
        <f t="shared" ref="B104:D104" si="198">SUM(J104,M104,P104,S104,V104,Y104,AB104,AE104,AH104,AK104,AN104,AQ104,AT104,AW104,AZ104,BC104,BF104,BI104,BL104,CA104,CD104,BO104,BR104,BU104,BX104,CG104,CJ104,CM104,CP104,CS104,CV104,DH104,CY104,DB104,DE104,DK104,DN104,DQ104,DT104,DW104,DZ104,EC104,EF104,EI104,EL104,EO104,ER104,EU104,EX104,FA104)</f>
        <v>896971</v>
      </c>
      <c r="C104" s="294">
        <f t="shared" si="198"/>
        <v>83394</v>
      </c>
      <c r="D104" s="295">
        <f t="shared" si="198"/>
        <v>232279</v>
      </c>
      <c r="E104" s="296">
        <f t="shared" si="1"/>
        <v>581298</v>
      </c>
      <c r="F104" s="152">
        <f t="shared" ref="F104:H104" si="199">SUM(P104,S104,V104,AE104,AH104,AK104,AN104,AQ104,AT104,AW104,AZ104,BF104,BL104,BR104,BX104,CG104,CM104,CP104,CV104,DK104,DN104,DQ104,DT104,DZ104,EL104,EO104,ER104)</f>
        <v>728925</v>
      </c>
      <c r="G104" s="148">
        <f t="shared" si="199"/>
        <v>69280</v>
      </c>
      <c r="H104" s="149">
        <f t="shared" si="199"/>
        <v>224403</v>
      </c>
      <c r="I104" s="153">
        <f t="shared" si="3"/>
        <v>435242</v>
      </c>
      <c r="J104" s="297">
        <v>659</v>
      </c>
      <c r="K104" s="298">
        <v>31</v>
      </c>
      <c r="L104" s="299">
        <v>128</v>
      </c>
      <c r="M104" s="297">
        <v>475</v>
      </c>
      <c r="N104" s="298">
        <v>24</v>
      </c>
      <c r="O104" s="299">
        <v>248</v>
      </c>
      <c r="P104" s="297">
        <v>131359</v>
      </c>
      <c r="Q104" s="301">
        <v>3294</v>
      </c>
      <c r="R104" s="302">
        <v>68200</v>
      </c>
      <c r="S104" s="297">
        <v>14226</v>
      </c>
      <c r="T104" s="298">
        <v>384</v>
      </c>
      <c r="U104" s="299">
        <v>7633</v>
      </c>
      <c r="V104" s="297">
        <v>31119</v>
      </c>
      <c r="W104" s="298">
        <v>4157</v>
      </c>
      <c r="X104" s="302">
        <v>6868</v>
      </c>
      <c r="Y104" s="297">
        <v>3281</v>
      </c>
      <c r="Z104" s="298">
        <v>33</v>
      </c>
      <c r="AA104" s="299">
        <v>203</v>
      </c>
      <c r="AB104" s="297">
        <v>1083</v>
      </c>
      <c r="AC104" s="298">
        <v>40</v>
      </c>
      <c r="AD104" s="299">
        <v>236</v>
      </c>
      <c r="AE104" s="297">
        <v>713</v>
      </c>
      <c r="AF104" s="298">
        <v>35</v>
      </c>
      <c r="AG104" s="299">
        <v>71</v>
      </c>
      <c r="AH104" s="297">
        <v>695</v>
      </c>
      <c r="AI104" s="298">
        <v>12</v>
      </c>
      <c r="AJ104" s="299">
        <v>65</v>
      </c>
      <c r="AK104" s="297">
        <v>1704</v>
      </c>
      <c r="AL104" s="298">
        <v>31</v>
      </c>
      <c r="AM104" s="299">
        <v>415</v>
      </c>
      <c r="AN104" s="297">
        <v>6706</v>
      </c>
      <c r="AO104" s="298">
        <v>299</v>
      </c>
      <c r="AP104" s="299">
        <v>2689</v>
      </c>
      <c r="AQ104" s="297">
        <v>172541</v>
      </c>
      <c r="AR104" s="298">
        <v>18056</v>
      </c>
      <c r="AS104" s="302">
        <v>67504</v>
      </c>
      <c r="AT104" s="297">
        <v>1332</v>
      </c>
      <c r="AU104" s="298">
        <v>31</v>
      </c>
      <c r="AV104" s="299">
        <v>115</v>
      </c>
      <c r="AW104" s="297">
        <v>3161</v>
      </c>
      <c r="AX104" s="298">
        <v>64</v>
      </c>
      <c r="AY104" s="303">
        <v>300</v>
      </c>
      <c r="AZ104" s="297">
        <v>103573</v>
      </c>
      <c r="BA104" s="304">
        <f>10129+5600</f>
        <v>15729</v>
      </c>
      <c r="BB104" s="302">
        <v>28805</v>
      </c>
      <c r="BC104" s="305">
        <v>1</v>
      </c>
      <c r="BD104" s="306">
        <v>0</v>
      </c>
      <c r="BE104" s="307">
        <v>0</v>
      </c>
      <c r="BF104" s="297">
        <v>2170</v>
      </c>
      <c r="BG104" s="298">
        <v>101</v>
      </c>
      <c r="BH104" s="308">
        <v>269</v>
      </c>
      <c r="BI104" s="305">
        <v>91</v>
      </c>
      <c r="BJ104" s="300">
        <v>1</v>
      </c>
      <c r="BK104" s="307">
        <v>0</v>
      </c>
      <c r="BL104" s="297">
        <v>1512</v>
      </c>
      <c r="BM104" s="298">
        <v>122</v>
      </c>
      <c r="BN104" s="299">
        <v>122</v>
      </c>
      <c r="BO104" s="305">
        <v>177</v>
      </c>
      <c r="BP104" s="306">
        <v>0</v>
      </c>
      <c r="BQ104" s="307">
        <v>0</v>
      </c>
      <c r="BR104" s="297">
        <v>11479</v>
      </c>
      <c r="BS104" s="298">
        <v>406</v>
      </c>
      <c r="BT104" s="308">
        <v>25</v>
      </c>
      <c r="BU104" s="297">
        <v>1720</v>
      </c>
      <c r="BV104" s="300">
        <v>8</v>
      </c>
      <c r="BW104" s="299">
        <v>989</v>
      </c>
      <c r="BX104" s="297">
        <v>162488</v>
      </c>
      <c r="BY104" s="301">
        <v>21067</v>
      </c>
      <c r="BZ104" s="302">
        <v>37130</v>
      </c>
      <c r="CA104" s="305">
        <v>81</v>
      </c>
      <c r="CB104" s="300">
        <v>2</v>
      </c>
      <c r="CC104" s="307">
        <v>0</v>
      </c>
      <c r="CD104" s="226">
        <v>283</v>
      </c>
      <c r="CE104" s="300">
        <v>7</v>
      </c>
      <c r="CF104" s="231">
        <v>58</v>
      </c>
      <c r="CG104" s="297">
        <v>657</v>
      </c>
      <c r="CH104" s="298">
        <v>5</v>
      </c>
      <c r="CI104" s="308">
        <v>16</v>
      </c>
      <c r="CJ104" s="297">
        <v>80</v>
      </c>
      <c r="CK104" s="300">
        <v>1</v>
      </c>
      <c r="CL104" s="308">
        <v>55</v>
      </c>
      <c r="CM104" s="297">
        <v>1070</v>
      </c>
      <c r="CN104" s="298">
        <v>29</v>
      </c>
      <c r="CO104" s="299">
        <v>101</v>
      </c>
      <c r="CP104" s="297">
        <v>3307</v>
      </c>
      <c r="CQ104" s="298">
        <v>67</v>
      </c>
      <c r="CR104" s="308">
        <v>500</v>
      </c>
      <c r="CS104" s="297">
        <v>908</v>
      </c>
      <c r="CT104" s="298">
        <v>44</v>
      </c>
      <c r="CU104" s="299">
        <v>86</v>
      </c>
      <c r="CV104" s="297">
        <v>393</v>
      </c>
      <c r="CW104" s="300">
        <v>3</v>
      </c>
      <c r="CX104" s="299">
        <v>44</v>
      </c>
      <c r="CY104" s="297">
        <v>1934</v>
      </c>
      <c r="CZ104" s="298">
        <v>40</v>
      </c>
      <c r="DA104" s="299">
        <v>134</v>
      </c>
      <c r="DB104" s="297">
        <v>93</v>
      </c>
      <c r="DC104" s="300">
        <v>1</v>
      </c>
      <c r="DD104" s="299">
        <v>6</v>
      </c>
      <c r="DE104" s="297">
        <v>283</v>
      </c>
      <c r="DF104" s="298">
        <v>4</v>
      </c>
      <c r="DG104" s="299">
        <v>46</v>
      </c>
      <c r="DH104" s="297">
        <v>6623</v>
      </c>
      <c r="DI104" s="298">
        <v>139</v>
      </c>
      <c r="DJ104" s="308">
        <v>32</v>
      </c>
      <c r="DK104" s="297">
        <v>27580</v>
      </c>
      <c r="DL104" s="298">
        <v>2955</v>
      </c>
      <c r="DM104" s="299">
        <v>297</v>
      </c>
      <c r="DN104" s="297">
        <v>7202</v>
      </c>
      <c r="DO104" s="298">
        <v>263</v>
      </c>
      <c r="DP104" s="299">
        <v>618</v>
      </c>
      <c r="DQ104" s="297">
        <v>17448</v>
      </c>
      <c r="DR104" s="298">
        <v>567</v>
      </c>
      <c r="DS104" s="299">
        <v>277</v>
      </c>
      <c r="DT104" s="297">
        <v>6111</v>
      </c>
      <c r="DU104" s="298">
        <v>161</v>
      </c>
      <c r="DV104" s="299">
        <v>642</v>
      </c>
      <c r="DW104" s="297">
        <v>94845</v>
      </c>
      <c r="DX104" s="298">
        <v>12129</v>
      </c>
      <c r="DY104" s="229">
        <v>323</v>
      </c>
      <c r="DZ104" s="297">
        <v>6879</v>
      </c>
      <c r="EA104" s="298">
        <v>351</v>
      </c>
      <c r="EB104" s="299">
        <v>1051</v>
      </c>
      <c r="EC104" s="297">
        <v>21102</v>
      </c>
      <c r="ED104" s="298">
        <v>170</v>
      </c>
      <c r="EE104" s="302">
        <v>1694</v>
      </c>
      <c r="EF104" s="297">
        <v>371</v>
      </c>
      <c r="EG104" s="298">
        <v>36</v>
      </c>
      <c r="EH104" s="308">
        <v>53</v>
      </c>
      <c r="EI104" s="297">
        <v>4465</v>
      </c>
      <c r="EJ104" s="227">
        <v>94</v>
      </c>
      <c r="EK104" s="52">
        <v>0</v>
      </c>
      <c r="EL104" s="309">
        <v>835</v>
      </c>
      <c r="EM104" s="300">
        <v>2</v>
      </c>
      <c r="EN104" s="299">
        <v>113</v>
      </c>
      <c r="EO104" s="309">
        <v>1220</v>
      </c>
      <c r="EP104" s="298">
        <v>56</v>
      </c>
      <c r="EQ104" s="299">
        <v>152</v>
      </c>
      <c r="ER104" s="297">
        <v>11445</v>
      </c>
      <c r="ES104" s="298">
        <v>1033</v>
      </c>
      <c r="ET104" s="308">
        <v>381</v>
      </c>
      <c r="EU104" s="310">
        <f>SuisseSwitzerland!B104</f>
        <v>26111</v>
      </c>
      <c r="EV104" s="300">
        <f>SuisseSwitzerland!C104</f>
        <v>1212</v>
      </c>
      <c r="EW104" s="138">
        <f>SuisseSwitzerland!D104</f>
        <v>3464</v>
      </c>
      <c r="EX104" s="297">
        <v>3372</v>
      </c>
      <c r="EY104" s="298">
        <v>98</v>
      </c>
      <c r="EZ104" s="299">
        <v>119</v>
      </c>
      <c r="FA104" s="305">
        <v>8</v>
      </c>
      <c r="FB104" s="306">
        <v>0</v>
      </c>
      <c r="FC104" s="308">
        <v>2</v>
      </c>
      <c r="FD104" s="311"/>
      <c r="FE104" s="311"/>
    </row>
    <row r="105" spans="1:161" ht="12.75">
      <c r="A105" s="292">
        <v>43936</v>
      </c>
      <c r="B105" s="293">
        <f t="shared" ref="B105:D105" si="200">SUM(J105,M105,P105,S105,V105,Y105,AB105,AE105,AH105,AK105,AN105,AQ105,AT105,AW105,AZ105,BC105,BF105,BI105,BL105,CA105,CD105,BO105,BR105,BU105,BX105,CG105,CJ105,CM105,CP105,CS105,CV105,DH105,CY105,DB105,DE105,DK105,DN105,DQ105,DT105,DW105,DZ105,EC105,EF105,EI105,EL105,EO105,ER105,EU105,EX105,FA105)</f>
        <v>926474</v>
      </c>
      <c r="C105" s="294">
        <f t="shared" si="200"/>
        <v>87938</v>
      </c>
      <c r="D105" s="295">
        <f t="shared" si="200"/>
        <v>245887</v>
      </c>
      <c r="E105" s="296">
        <f t="shared" si="1"/>
        <v>592649</v>
      </c>
      <c r="F105" s="152">
        <f t="shared" ref="F105:H105" si="201">SUM(P105,S105,V105,AE105,AH105,AK105,AN105,AQ105,AT105,AW105,AZ105,BF105,BL105,BR105,BX105,CG105,CM105,CP105,CV105,DK105,DN105,DQ105,DT105,DZ105,EL105,EO105,ER105)</f>
        <v>748381</v>
      </c>
      <c r="G105" s="148">
        <f t="shared" si="201"/>
        <v>72938</v>
      </c>
      <c r="H105" s="149">
        <f t="shared" si="201"/>
        <v>237168</v>
      </c>
      <c r="I105" s="153">
        <f t="shared" si="3"/>
        <v>438275</v>
      </c>
      <c r="J105" s="297">
        <v>673</v>
      </c>
      <c r="K105" s="298">
        <v>33</v>
      </c>
      <c r="L105" s="299">
        <v>169</v>
      </c>
      <c r="M105" s="297">
        <v>494</v>
      </c>
      <c r="N105" s="298">
        <v>25</v>
      </c>
      <c r="O105" s="299">
        <v>251</v>
      </c>
      <c r="P105" s="297">
        <v>133456</v>
      </c>
      <c r="Q105" s="301">
        <v>3592</v>
      </c>
      <c r="R105" s="302">
        <v>72600</v>
      </c>
      <c r="S105" s="297">
        <v>14336</v>
      </c>
      <c r="T105" s="298">
        <v>393</v>
      </c>
      <c r="U105" s="299">
        <v>8098</v>
      </c>
      <c r="V105" s="297">
        <v>33573</v>
      </c>
      <c r="W105" s="298">
        <v>4440</v>
      </c>
      <c r="X105" s="302">
        <v>7107</v>
      </c>
      <c r="Y105" s="297">
        <v>3728</v>
      </c>
      <c r="Z105" s="298">
        <v>36</v>
      </c>
      <c r="AA105" s="299">
        <v>203</v>
      </c>
      <c r="AB105" s="297">
        <v>1110</v>
      </c>
      <c r="AC105" s="298">
        <v>41</v>
      </c>
      <c r="AD105" s="299">
        <v>253</v>
      </c>
      <c r="AE105" s="297">
        <v>747</v>
      </c>
      <c r="AF105" s="298">
        <v>36</v>
      </c>
      <c r="AG105" s="299">
        <v>105</v>
      </c>
      <c r="AH105" s="297">
        <v>715</v>
      </c>
      <c r="AI105" s="298">
        <v>12</v>
      </c>
      <c r="AJ105" s="299">
        <v>65</v>
      </c>
      <c r="AK105" s="297">
        <v>1741</v>
      </c>
      <c r="AL105" s="298">
        <v>33</v>
      </c>
      <c r="AM105" s="299">
        <v>473</v>
      </c>
      <c r="AN105" s="297">
        <v>6876</v>
      </c>
      <c r="AO105" s="298">
        <v>309</v>
      </c>
      <c r="AP105" s="299">
        <v>2925</v>
      </c>
      <c r="AQ105" s="297">
        <v>177633</v>
      </c>
      <c r="AR105" s="298">
        <v>18579</v>
      </c>
      <c r="AS105" s="302">
        <v>70853</v>
      </c>
      <c r="AT105" s="297">
        <v>1400</v>
      </c>
      <c r="AU105" s="298">
        <v>35</v>
      </c>
      <c r="AV105" s="299">
        <v>177</v>
      </c>
      <c r="AW105" s="297">
        <v>3237</v>
      </c>
      <c r="AX105" s="298">
        <v>72</v>
      </c>
      <c r="AY105" s="303">
        <v>300</v>
      </c>
      <c r="AZ105" s="297">
        <v>106206</v>
      </c>
      <c r="BA105" s="304">
        <f>10643+6524</f>
        <v>17167</v>
      </c>
      <c r="BB105" s="302">
        <v>30995</v>
      </c>
      <c r="BC105" s="305">
        <v>1</v>
      </c>
      <c r="BD105" s="306">
        <v>0</v>
      </c>
      <c r="BE105" s="307">
        <v>0</v>
      </c>
      <c r="BF105" s="297">
        <v>2192</v>
      </c>
      <c r="BG105" s="298">
        <v>102</v>
      </c>
      <c r="BH105" s="308">
        <v>269</v>
      </c>
      <c r="BI105" s="305">
        <v>91</v>
      </c>
      <c r="BJ105" s="300">
        <v>1</v>
      </c>
      <c r="BK105" s="307">
        <v>0</v>
      </c>
      <c r="BL105" s="297">
        <v>1579</v>
      </c>
      <c r="BM105" s="298">
        <v>134</v>
      </c>
      <c r="BN105" s="299">
        <v>192</v>
      </c>
      <c r="BO105" s="305">
        <v>177</v>
      </c>
      <c r="BP105" s="306">
        <v>0</v>
      </c>
      <c r="BQ105" s="307">
        <v>0</v>
      </c>
      <c r="BR105" s="297">
        <v>12547</v>
      </c>
      <c r="BS105" s="298">
        <v>444</v>
      </c>
      <c r="BT105" s="299">
        <v>77</v>
      </c>
      <c r="BU105" s="297">
        <v>1727</v>
      </c>
      <c r="BV105" s="300">
        <v>8</v>
      </c>
      <c r="BW105" s="299">
        <v>1077</v>
      </c>
      <c r="BX105" s="297">
        <v>165155</v>
      </c>
      <c r="BY105" s="301">
        <v>21645</v>
      </c>
      <c r="BZ105" s="302">
        <v>38092</v>
      </c>
      <c r="CA105" s="305">
        <v>81</v>
      </c>
      <c r="CB105" s="300">
        <v>2</v>
      </c>
      <c r="CC105" s="307">
        <v>0</v>
      </c>
      <c r="CD105" s="226">
        <v>387</v>
      </c>
      <c r="CE105" s="298">
        <v>8</v>
      </c>
      <c r="CF105" s="231">
        <v>66</v>
      </c>
      <c r="CG105" s="297">
        <v>666</v>
      </c>
      <c r="CH105" s="298">
        <v>5</v>
      </c>
      <c r="CI105" s="299">
        <v>44</v>
      </c>
      <c r="CJ105" s="297">
        <v>80</v>
      </c>
      <c r="CK105" s="300">
        <v>1</v>
      </c>
      <c r="CL105" s="308">
        <v>55</v>
      </c>
      <c r="CM105" s="297">
        <v>1091</v>
      </c>
      <c r="CN105" s="298">
        <v>30</v>
      </c>
      <c r="CO105" s="299">
        <v>138</v>
      </c>
      <c r="CP105" s="297">
        <v>3373</v>
      </c>
      <c r="CQ105" s="298">
        <v>69</v>
      </c>
      <c r="CR105" s="299">
        <v>526</v>
      </c>
      <c r="CS105" s="297">
        <v>974</v>
      </c>
      <c r="CT105" s="298">
        <v>45</v>
      </c>
      <c r="CU105" s="299">
        <v>98</v>
      </c>
      <c r="CV105" s="297">
        <v>399</v>
      </c>
      <c r="CW105" s="300">
        <v>3</v>
      </c>
      <c r="CX105" s="299">
        <v>44</v>
      </c>
      <c r="CY105" s="297">
        <v>2049</v>
      </c>
      <c r="CZ105" s="298">
        <v>46</v>
      </c>
      <c r="DA105" s="299">
        <v>171</v>
      </c>
      <c r="DB105" s="297">
        <v>93</v>
      </c>
      <c r="DC105" s="298">
        <v>3</v>
      </c>
      <c r="DD105" s="299">
        <v>12</v>
      </c>
      <c r="DE105" s="297">
        <v>288</v>
      </c>
      <c r="DF105" s="298">
        <v>4</v>
      </c>
      <c r="DG105" s="299">
        <v>55</v>
      </c>
      <c r="DH105" s="297">
        <v>6740</v>
      </c>
      <c r="DI105" s="298">
        <v>150</v>
      </c>
      <c r="DJ105" s="308">
        <v>32</v>
      </c>
      <c r="DK105" s="297">
        <v>28316</v>
      </c>
      <c r="DL105" s="298">
        <v>3145</v>
      </c>
      <c r="DM105" s="299">
        <v>304</v>
      </c>
      <c r="DN105" s="297">
        <v>7582</v>
      </c>
      <c r="DO105" s="298">
        <v>286</v>
      </c>
      <c r="DP105" s="299">
        <v>668</v>
      </c>
      <c r="DQ105" s="297">
        <v>18091</v>
      </c>
      <c r="DR105" s="298">
        <v>599</v>
      </c>
      <c r="DS105" s="299">
        <v>383</v>
      </c>
      <c r="DT105" s="297">
        <v>6216</v>
      </c>
      <c r="DU105" s="298">
        <v>166</v>
      </c>
      <c r="DV105" s="299">
        <v>819</v>
      </c>
      <c r="DW105" s="297">
        <v>99459</v>
      </c>
      <c r="DX105" s="298">
        <v>12894</v>
      </c>
      <c r="DY105" s="229">
        <v>365</v>
      </c>
      <c r="DZ105" s="297">
        <v>7216</v>
      </c>
      <c r="EA105" s="298">
        <v>372</v>
      </c>
      <c r="EB105" s="299">
        <v>1217</v>
      </c>
      <c r="EC105" s="297">
        <v>24490</v>
      </c>
      <c r="ED105" s="298">
        <v>198</v>
      </c>
      <c r="EE105" s="302">
        <v>1986</v>
      </c>
      <c r="EF105" s="297">
        <v>372</v>
      </c>
      <c r="EG105" s="298">
        <v>36</v>
      </c>
      <c r="EH105" s="308">
        <v>53</v>
      </c>
      <c r="EI105" s="297">
        <v>4873</v>
      </c>
      <c r="EJ105" s="227">
        <v>99</v>
      </c>
      <c r="EK105" s="52">
        <v>0</v>
      </c>
      <c r="EL105" s="309">
        <v>863</v>
      </c>
      <c r="EM105" s="298">
        <v>6</v>
      </c>
      <c r="EN105" s="299">
        <v>151</v>
      </c>
      <c r="EO105" s="309">
        <v>1248</v>
      </c>
      <c r="EP105" s="298">
        <v>61</v>
      </c>
      <c r="EQ105" s="299">
        <v>165</v>
      </c>
      <c r="ER105" s="297">
        <v>11927</v>
      </c>
      <c r="ES105" s="298">
        <v>1203</v>
      </c>
      <c r="ET105" s="308">
        <v>381</v>
      </c>
      <c r="EU105" s="310">
        <f>SuisseSwitzerland!B105</f>
        <v>26434</v>
      </c>
      <c r="EV105" s="300">
        <f>SuisseSwitzerland!C105</f>
        <v>1262</v>
      </c>
      <c r="EW105" s="138">
        <f>SuisseSwitzerland!D105</f>
        <v>3728</v>
      </c>
      <c r="EX105" s="297">
        <v>3764</v>
      </c>
      <c r="EY105" s="298">
        <v>108</v>
      </c>
      <c r="EZ105" s="299">
        <v>143</v>
      </c>
      <c r="FA105" s="305">
        <v>8</v>
      </c>
      <c r="FB105" s="306">
        <v>0</v>
      </c>
      <c r="FC105" s="308">
        <v>2</v>
      </c>
      <c r="FD105" s="311"/>
      <c r="FE105" s="311"/>
    </row>
    <row r="106" spans="1:161" ht="12.75">
      <c r="A106" s="292">
        <v>43937</v>
      </c>
      <c r="B106" s="293">
        <f t="shared" ref="B106:D106" si="202">SUM(J106,M106,P106,S106,V106,Y106,AB106,AE106,AH106,AK106,AN106,AQ106,AT106,AW106,AZ106,BC106,BF106,BI106,BL106,CA106,CD106,BO106,BR106,BU106,BX106,CG106,CJ106,CM106,CP106,CS106,CV106,DH106,CY106,DB106,DE106,DK106,DN106,DQ106,DT106,DW106,DZ106,EC106,EF106,EI106,EL106,EO106,ER106,EU106,EX106,FA106)</f>
        <v>957785</v>
      </c>
      <c r="C106" s="294">
        <f t="shared" si="202"/>
        <v>91998</v>
      </c>
      <c r="D106" s="295">
        <f t="shared" si="202"/>
        <v>262749</v>
      </c>
      <c r="E106" s="296">
        <f t="shared" si="1"/>
        <v>603038</v>
      </c>
      <c r="F106" s="152">
        <f t="shared" ref="F106:H106" si="203">SUM(P106,S106,V106,AE106,AH106,AK106,AN106,AQ106,AT106,AW106,AZ106,BF106,BL106,BR106,BX106,CG106,CM106,CP106,CV106,DK106,DN106,DQ106,DT106,DZ106,EL106,EO106,ER106)</f>
        <v>769443</v>
      </c>
      <c r="G106" s="148">
        <f t="shared" si="203"/>
        <v>76022</v>
      </c>
      <c r="H106" s="149">
        <f t="shared" si="203"/>
        <v>253297</v>
      </c>
      <c r="I106" s="153">
        <f t="shared" si="3"/>
        <v>440124</v>
      </c>
      <c r="J106" s="297">
        <v>673</v>
      </c>
      <c r="K106" s="298">
        <v>33</v>
      </c>
      <c r="L106" s="299">
        <v>169</v>
      </c>
      <c r="M106" s="297">
        <v>518</v>
      </c>
      <c r="N106" s="298">
        <v>26</v>
      </c>
      <c r="O106" s="299">
        <v>277</v>
      </c>
      <c r="P106" s="297">
        <v>136569</v>
      </c>
      <c r="Q106" s="301">
        <v>3943</v>
      </c>
      <c r="R106" s="302">
        <v>77000</v>
      </c>
      <c r="S106" s="297">
        <v>14476</v>
      </c>
      <c r="T106" s="298">
        <v>410</v>
      </c>
      <c r="U106" s="299">
        <v>8986</v>
      </c>
      <c r="V106" s="297">
        <v>34809</v>
      </c>
      <c r="W106" s="298">
        <v>4857</v>
      </c>
      <c r="X106" s="302">
        <v>7562</v>
      </c>
      <c r="Y106" s="297">
        <v>4204</v>
      </c>
      <c r="Z106" s="298">
        <v>40</v>
      </c>
      <c r="AA106" s="299">
        <v>203</v>
      </c>
      <c r="AB106" s="297">
        <v>1167</v>
      </c>
      <c r="AC106" s="298">
        <v>43</v>
      </c>
      <c r="AD106" s="299">
        <v>277</v>
      </c>
      <c r="AE106" s="297">
        <v>800</v>
      </c>
      <c r="AF106" s="298">
        <v>38</v>
      </c>
      <c r="AG106" s="299">
        <v>122</v>
      </c>
      <c r="AH106" s="297">
        <v>735</v>
      </c>
      <c r="AI106" s="298">
        <v>12</v>
      </c>
      <c r="AJ106" s="299">
        <v>77</v>
      </c>
      <c r="AK106" s="297">
        <v>1791</v>
      </c>
      <c r="AL106" s="298">
        <v>35</v>
      </c>
      <c r="AM106" s="299">
        <v>529</v>
      </c>
      <c r="AN106" s="297">
        <v>7074</v>
      </c>
      <c r="AO106" s="298">
        <v>321</v>
      </c>
      <c r="AP106" s="299">
        <v>3203</v>
      </c>
      <c r="AQ106" s="297">
        <v>182816</v>
      </c>
      <c r="AR106" s="298">
        <v>19130</v>
      </c>
      <c r="AS106" s="302">
        <v>74797</v>
      </c>
      <c r="AT106" s="297">
        <v>1434</v>
      </c>
      <c r="AU106" s="298">
        <v>36</v>
      </c>
      <c r="AV106" s="299">
        <v>133</v>
      </c>
      <c r="AW106" s="297">
        <v>3369</v>
      </c>
      <c r="AX106" s="298">
        <v>75</v>
      </c>
      <c r="AY106" s="302">
        <v>1700</v>
      </c>
      <c r="AZ106" s="297">
        <v>108847</v>
      </c>
      <c r="BA106" s="304">
        <f>11060+6860</f>
        <v>17920</v>
      </c>
      <c r="BB106" s="302">
        <v>32812</v>
      </c>
      <c r="BC106" s="305">
        <v>1</v>
      </c>
      <c r="BD106" s="306">
        <v>0</v>
      </c>
      <c r="BE106" s="307">
        <v>0</v>
      </c>
      <c r="BF106" s="297">
        <v>2207</v>
      </c>
      <c r="BG106" s="298">
        <v>105</v>
      </c>
      <c r="BH106" s="308">
        <v>269</v>
      </c>
      <c r="BI106" s="305">
        <v>91</v>
      </c>
      <c r="BJ106" s="300">
        <v>1</v>
      </c>
      <c r="BK106" s="307">
        <v>0</v>
      </c>
      <c r="BL106" s="297">
        <v>1652</v>
      </c>
      <c r="BM106" s="298">
        <v>142</v>
      </c>
      <c r="BN106" s="299">
        <v>199</v>
      </c>
      <c r="BO106" s="305">
        <v>177</v>
      </c>
      <c r="BP106" s="306">
        <v>0</v>
      </c>
      <c r="BQ106" s="307">
        <v>0</v>
      </c>
      <c r="BR106" s="297">
        <v>13271</v>
      </c>
      <c r="BS106" s="298">
        <v>486</v>
      </c>
      <c r="BT106" s="299">
        <v>77</v>
      </c>
      <c r="BU106" s="297">
        <v>1739</v>
      </c>
      <c r="BV106" s="300">
        <v>8</v>
      </c>
      <c r="BW106" s="299">
        <v>1144</v>
      </c>
      <c r="BX106" s="297">
        <v>168941</v>
      </c>
      <c r="BY106" s="301">
        <v>22170</v>
      </c>
      <c r="BZ106" s="302">
        <v>40164</v>
      </c>
      <c r="CA106" s="305">
        <v>81</v>
      </c>
      <c r="CB106" s="300">
        <v>2</v>
      </c>
      <c r="CC106" s="307">
        <v>0</v>
      </c>
      <c r="CD106" s="226">
        <v>387</v>
      </c>
      <c r="CE106" s="298">
        <v>8</v>
      </c>
      <c r="CF106" s="231">
        <v>66</v>
      </c>
      <c r="CG106" s="297">
        <v>675</v>
      </c>
      <c r="CH106" s="298">
        <v>5</v>
      </c>
      <c r="CI106" s="299">
        <v>57</v>
      </c>
      <c r="CJ106" s="297">
        <v>80</v>
      </c>
      <c r="CK106" s="300">
        <v>1</v>
      </c>
      <c r="CL106" s="308">
        <v>55</v>
      </c>
      <c r="CM106" s="297">
        <v>1128</v>
      </c>
      <c r="CN106" s="298">
        <v>32</v>
      </c>
      <c r="CO106" s="299">
        <v>178</v>
      </c>
      <c r="CP106" s="297">
        <v>3444</v>
      </c>
      <c r="CQ106" s="298">
        <v>69</v>
      </c>
      <c r="CR106" s="299">
        <v>552</v>
      </c>
      <c r="CS106" s="297">
        <v>1081</v>
      </c>
      <c r="CT106" s="298">
        <v>46</v>
      </c>
      <c r="CU106" s="299">
        <v>121</v>
      </c>
      <c r="CV106" s="297">
        <v>412</v>
      </c>
      <c r="CW106" s="300">
        <v>3</v>
      </c>
      <c r="CX106" s="299">
        <v>82</v>
      </c>
      <c r="CY106" s="297">
        <v>2154</v>
      </c>
      <c r="CZ106" s="298">
        <v>54</v>
      </c>
      <c r="DA106" s="299">
        <v>235</v>
      </c>
      <c r="DB106" s="297">
        <v>93</v>
      </c>
      <c r="DC106" s="298">
        <v>3</v>
      </c>
      <c r="DD106" s="299">
        <v>12</v>
      </c>
      <c r="DE106" s="297">
        <v>303</v>
      </c>
      <c r="DF106" s="298">
        <v>4</v>
      </c>
      <c r="DG106" s="299">
        <v>55</v>
      </c>
      <c r="DH106" s="297">
        <v>6848</v>
      </c>
      <c r="DI106" s="298">
        <v>152</v>
      </c>
      <c r="DJ106" s="308">
        <v>32</v>
      </c>
      <c r="DK106" s="297">
        <v>29383</v>
      </c>
      <c r="DL106" s="298">
        <v>3327</v>
      </c>
      <c r="DM106" s="299">
        <v>311</v>
      </c>
      <c r="DN106" s="297">
        <v>7918</v>
      </c>
      <c r="DO106" s="298">
        <v>314</v>
      </c>
      <c r="DP106" s="299">
        <v>774</v>
      </c>
      <c r="DQ106" s="297">
        <v>18841</v>
      </c>
      <c r="DR106" s="298">
        <v>629</v>
      </c>
      <c r="DS106" s="299">
        <v>493</v>
      </c>
      <c r="DT106" s="297">
        <v>6359</v>
      </c>
      <c r="DU106" s="298">
        <v>169</v>
      </c>
      <c r="DV106" s="299">
        <v>972</v>
      </c>
      <c r="DW106" s="297">
        <v>104145</v>
      </c>
      <c r="DX106" s="298">
        <v>13759</v>
      </c>
      <c r="DY106" s="229">
        <v>371</v>
      </c>
      <c r="DZ106" s="297">
        <v>7707</v>
      </c>
      <c r="EA106" s="298">
        <v>392</v>
      </c>
      <c r="EB106" s="299">
        <v>1357</v>
      </c>
      <c r="EC106" s="297">
        <v>27938</v>
      </c>
      <c r="ED106" s="298">
        <v>232</v>
      </c>
      <c r="EE106" s="302">
        <v>2304</v>
      </c>
      <c r="EF106" s="297">
        <v>426</v>
      </c>
      <c r="EG106" s="298">
        <v>38</v>
      </c>
      <c r="EH106" s="299">
        <v>55</v>
      </c>
      <c r="EI106" s="297">
        <v>5318</v>
      </c>
      <c r="EJ106" s="227">
        <v>103</v>
      </c>
      <c r="EK106" s="52">
        <v>0</v>
      </c>
      <c r="EL106" s="309">
        <v>977</v>
      </c>
      <c r="EM106" s="298">
        <v>8</v>
      </c>
      <c r="EN106" s="299">
        <v>167</v>
      </c>
      <c r="EO106" s="309">
        <v>1268</v>
      </c>
      <c r="EP106" s="298">
        <v>61</v>
      </c>
      <c r="EQ106" s="299">
        <v>174</v>
      </c>
      <c r="ER106" s="297">
        <v>12540</v>
      </c>
      <c r="ES106" s="298">
        <v>1333</v>
      </c>
      <c r="ET106" s="299">
        <v>550</v>
      </c>
      <c r="EU106" s="310">
        <f>SuisseSwitzerland!B106</f>
        <v>26749</v>
      </c>
      <c r="EV106" s="300">
        <f>SuisseSwitzerland!C106</f>
        <v>1307</v>
      </c>
      <c r="EW106" s="138">
        <f>SuisseSwitzerland!D106</f>
        <v>3888</v>
      </c>
      <c r="EX106" s="297">
        <v>4161</v>
      </c>
      <c r="EY106" s="298">
        <v>116</v>
      </c>
      <c r="EZ106" s="299">
        <v>186</v>
      </c>
      <c r="FA106" s="305">
        <v>8</v>
      </c>
      <c r="FB106" s="306">
        <v>0</v>
      </c>
      <c r="FC106" s="308">
        <v>2</v>
      </c>
      <c r="FD106" s="311"/>
      <c r="FE106" s="311"/>
    </row>
    <row r="107" spans="1:161" ht="12.75">
      <c r="A107" s="292">
        <v>43938</v>
      </c>
      <c r="B107" s="293">
        <f t="shared" ref="B107:D107" si="204">SUM(J107,M107,P107,S107,V107,Y107,AB107,AE107,AH107,AK107,AN107,AQ107,AT107,AW107,AZ107,BC107,BF107,BI107,BL107,CA107,CD107,BO107,BR107,BU107,BX107,CG107,CJ107,CM107,CP107,CS107,CV107,DH107,CY107,DB107,DE107,DK107,DN107,DQ107,DT107,DW107,DZ107,EC107,EF107,EI107,EL107,EO107,ER107,EU107,EX107,FA107)</f>
        <v>987935</v>
      </c>
      <c r="C107" s="294">
        <f t="shared" si="204"/>
        <v>95781</v>
      </c>
      <c r="D107" s="295">
        <f t="shared" si="204"/>
        <v>275285</v>
      </c>
      <c r="E107" s="296">
        <f t="shared" si="1"/>
        <v>616869</v>
      </c>
      <c r="F107" s="312">
        <f t="shared" ref="F107:H107" si="205">SUM(P107,S107,V107,AE107,AH107,AK107,AN107,AQ107,AT107,AW107,AZ107,BF107,BL107,BR107,BX107,CG107,CM107,CP107,CV107,DK107,DN107,DQ107,DT107,DZ107,EL107,EO107,ER107)</f>
        <v>787695</v>
      </c>
      <c r="G107" s="148">
        <f t="shared" si="205"/>
        <v>78825</v>
      </c>
      <c r="H107" s="149">
        <f t="shared" si="205"/>
        <v>264445</v>
      </c>
      <c r="I107" s="85">
        <f t="shared" si="3"/>
        <v>444425</v>
      </c>
      <c r="J107" s="297">
        <v>696</v>
      </c>
      <c r="K107" s="298">
        <v>35</v>
      </c>
      <c r="L107" s="299">
        <v>191</v>
      </c>
      <c r="M107" s="297">
        <v>539</v>
      </c>
      <c r="N107" s="298">
        <v>26</v>
      </c>
      <c r="O107" s="299">
        <v>283</v>
      </c>
      <c r="P107" s="297">
        <v>139702</v>
      </c>
      <c r="Q107" s="301">
        <v>4203</v>
      </c>
      <c r="R107" s="302">
        <v>81800</v>
      </c>
      <c r="S107" s="297">
        <v>14595</v>
      </c>
      <c r="T107" s="298">
        <v>431</v>
      </c>
      <c r="U107" s="299">
        <v>9704</v>
      </c>
      <c r="V107" s="297">
        <v>36138</v>
      </c>
      <c r="W107" s="298">
        <v>5163</v>
      </c>
      <c r="X107" s="302">
        <v>7961</v>
      </c>
      <c r="Y107" s="297">
        <v>4779</v>
      </c>
      <c r="Z107" s="298">
        <v>42</v>
      </c>
      <c r="AA107" s="299">
        <v>342</v>
      </c>
      <c r="AB107" s="297">
        <v>1214</v>
      </c>
      <c r="AC107" s="298">
        <v>46</v>
      </c>
      <c r="AD107" s="299">
        <v>320</v>
      </c>
      <c r="AE107" s="297">
        <v>846</v>
      </c>
      <c r="AF107" s="298">
        <v>41</v>
      </c>
      <c r="AG107" s="299">
        <v>141</v>
      </c>
      <c r="AH107" s="297">
        <v>750</v>
      </c>
      <c r="AI107" s="298">
        <v>12</v>
      </c>
      <c r="AJ107" s="299">
        <v>77</v>
      </c>
      <c r="AK107" s="297">
        <v>1814</v>
      </c>
      <c r="AL107" s="298">
        <v>36</v>
      </c>
      <c r="AM107" s="299">
        <v>600</v>
      </c>
      <c r="AN107" s="297">
        <v>7268</v>
      </c>
      <c r="AO107" s="298">
        <v>336</v>
      </c>
      <c r="AP107" s="299">
        <v>3571</v>
      </c>
      <c r="AQ107" s="297">
        <v>188093</v>
      </c>
      <c r="AR107" s="298">
        <v>19631</v>
      </c>
      <c r="AS107" s="302">
        <v>74797</v>
      </c>
      <c r="AT107" s="297">
        <v>1459</v>
      </c>
      <c r="AU107" s="298">
        <v>38</v>
      </c>
      <c r="AV107" s="299">
        <v>145</v>
      </c>
      <c r="AW107" s="297">
        <v>3489</v>
      </c>
      <c r="AX107" s="298">
        <v>82</v>
      </c>
      <c r="AY107" s="302">
        <v>1700</v>
      </c>
      <c r="AZ107" s="297">
        <v>109252</v>
      </c>
      <c r="BA107" s="304">
        <f>11478+7203</f>
        <v>18681</v>
      </c>
      <c r="BB107" s="302">
        <v>34420</v>
      </c>
      <c r="BC107" s="305">
        <v>1</v>
      </c>
      <c r="BD107" s="306">
        <v>0</v>
      </c>
      <c r="BE107" s="307">
        <v>0</v>
      </c>
      <c r="BF107" s="297">
        <v>2224</v>
      </c>
      <c r="BG107" s="298">
        <v>108</v>
      </c>
      <c r="BH107" s="308">
        <v>269</v>
      </c>
      <c r="BI107" s="305">
        <v>91</v>
      </c>
      <c r="BJ107" s="300">
        <v>1</v>
      </c>
      <c r="BK107" s="307">
        <v>0</v>
      </c>
      <c r="BL107" s="297">
        <v>1763</v>
      </c>
      <c r="BM107" s="298">
        <v>156</v>
      </c>
      <c r="BN107" s="299">
        <v>207</v>
      </c>
      <c r="BO107" s="305">
        <v>177</v>
      </c>
      <c r="BP107" s="306">
        <v>0</v>
      </c>
      <c r="BQ107" s="307">
        <v>0</v>
      </c>
      <c r="BR107" s="297">
        <v>13980</v>
      </c>
      <c r="BS107" s="298">
        <v>530</v>
      </c>
      <c r="BT107" s="299">
        <v>77</v>
      </c>
      <c r="BU107" s="297">
        <v>1754</v>
      </c>
      <c r="BV107" s="298">
        <v>9</v>
      </c>
      <c r="BW107" s="299">
        <v>1224</v>
      </c>
      <c r="BX107" s="297">
        <v>172434</v>
      </c>
      <c r="BY107" s="301">
        <v>22745</v>
      </c>
      <c r="BZ107" s="302">
        <v>42727</v>
      </c>
      <c r="CA107" s="305">
        <v>81</v>
      </c>
      <c r="CB107" s="300">
        <v>2</v>
      </c>
      <c r="CC107" s="307">
        <v>0</v>
      </c>
      <c r="CD107" s="226">
        <v>480</v>
      </c>
      <c r="CE107" s="298">
        <v>12</v>
      </c>
      <c r="CF107" s="231">
        <v>84</v>
      </c>
      <c r="CG107" s="297">
        <v>682</v>
      </c>
      <c r="CH107" s="298">
        <v>5</v>
      </c>
      <c r="CI107" s="299">
        <v>88</v>
      </c>
      <c r="CJ107" s="297">
        <v>80</v>
      </c>
      <c r="CK107" s="300">
        <v>1</v>
      </c>
      <c r="CL107" s="308">
        <v>55</v>
      </c>
      <c r="CM107" s="297">
        <v>1149</v>
      </c>
      <c r="CN107" s="298">
        <v>33</v>
      </c>
      <c r="CO107" s="299">
        <v>210</v>
      </c>
      <c r="CP107" s="297">
        <v>3480</v>
      </c>
      <c r="CQ107" s="298">
        <v>72</v>
      </c>
      <c r="CR107" s="299">
        <v>579</v>
      </c>
      <c r="CS107" s="297">
        <v>1117</v>
      </c>
      <c r="CT107" s="298">
        <v>49</v>
      </c>
      <c r="CU107" s="299">
        <v>139</v>
      </c>
      <c r="CV107" s="297">
        <v>422</v>
      </c>
      <c r="CW107" s="300">
        <v>3</v>
      </c>
      <c r="CX107" s="299">
        <v>91</v>
      </c>
      <c r="CY107" s="297">
        <v>2264</v>
      </c>
      <c r="CZ107" s="298">
        <v>56</v>
      </c>
      <c r="DA107" s="299">
        <v>276</v>
      </c>
      <c r="DB107" s="297">
        <v>94</v>
      </c>
      <c r="DC107" s="298">
        <v>3</v>
      </c>
      <c r="DD107" s="299">
        <v>20</v>
      </c>
      <c r="DE107" s="297">
        <v>303</v>
      </c>
      <c r="DF107" s="298">
        <v>5</v>
      </c>
      <c r="DG107" s="299">
        <v>55</v>
      </c>
      <c r="DH107" s="297">
        <v>6937</v>
      </c>
      <c r="DI107" s="298">
        <v>161</v>
      </c>
      <c r="DJ107" s="308">
        <v>32</v>
      </c>
      <c r="DK107" s="297">
        <v>30619</v>
      </c>
      <c r="DL107" s="298">
        <v>3471</v>
      </c>
      <c r="DM107" s="299">
        <v>315</v>
      </c>
      <c r="DN107" s="297">
        <v>8379</v>
      </c>
      <c r="DO107" s="298">
        <v>332</v>
      </c>
      <c r="DP107" s="299">
        <v>866</v>
      </c>
      <c r="DQ107" s="297">
        <v>19022</v>
      </c>
      <c r="DR107" s="298">
        <v>657</v>
      </c>
      <c r="DS107" s="299">
        <v>519</v>
      </c>
      <c r="DT107" s="297">
        <v>6499</v>
      </c>
      <c r="DU107" s="298">
        <v>173</v>
      </c>
      <c r="DV107" s="299">
        <v>1174</v>
      </c>
      <c r="DW107" s="297">
        <v>109769</v>
      </c>
      <c r="DX107" s="298">
        <v>14607</v>
      </c>
      <c r="DY107" s="229">
        <v>394</v>
      </c>
      <c r="DZ107" s="297">
        <v>8067</v>
      </c>
      <c r="EA107" s="298">
        <v>411</v>
      </c>
      <c r="EB107" s="299">
        <v>1508</v>
      </c>
      <c r="EC107" s="297">
        <v>32008</v>
      </c>
      <c r="ED107" s="298">
        <v>273</v>
      </c>
      <c r="EE107" s="302">
        <v>2590</v>
      </c>
      <c r="EF107" s="297">
        <v>435</v>
      </c>
      <c r="EG107" s="298">
        <v>39</v>
      </c>
      <c r="EH107" s="299">
        <v>57</v>
      </c>
      <c r="EI107" s="297">
        <v>5690</v>
      </c>
      <c r="EJ107" s="227">
        <v>110</v>
      </c>
      <c r="EK107" s="231">
        <v>534</v>
      </c>
      <c r="EL107" s="309">
        <v>1049</v>
      </c>
      <c r="EM107" s="298">
        <v>9</v>
      </c>
      <c r="EN107" s="299">
        <v>175</v>
      </c>
      <c r="EO107" s="309">
        <v>1304</v>
      </c>
      <c r="EP107" s="298">
        <v>66</v>
      </c>
      <c r="EQ107" s="299">
        <v>174</v>
      </c>
      <c r="ER107" s="297">
        <v>13216</v>
      </c>
      <c r="ES107" s="298">
        <v>1400</v>
      </c>
      <c r="ET107" s="299">
        <v>550</v>
      </c>
      <c r="EU107" s="310">
        <f>SuisseSwitzerland!B107</f>
        <v>27061</v>
      </c>
      <c r="EV107" s="300">
        <f>SuisseSwitzerland!C107</f>
        <v>1354</v>
      </c>
      <c r="EW107" s="138">
        <f>SuisseSwitzerland!D107</f>
        <v>3996</v>
      </c>
      <c r="EX107" s="297">
        <v>4662</v>
      </c>
      <c r="EY107" s="298">
        <v>125</v>
      </c>
      <c r="EZ107" s="299">
        <v>246</v>
      </c>
      <c r="FA107" s="305">
        <v>8</v>
      </c>
      <c r="FB107" s="306">
        <v>0</v>
      </c>
      <c r="FC107" s="308">
        <v>2</v>
      </c>
      <c r="FD107" s="314" t="s">
        <v>691</v>
      </c>
      <c r="FE107" s="315" t="s">
        <v>694</v>
      </c>
    </row>
    <row r="108" spans="1:161" ht="12.75">
      <c r="A108" s="292">
        <v>43939</v>
      </c>
      <c r="B108" s="293">
        <f t="shared" ref="B108:D108" si="206">SUM(J108,M108,P108,S108,V108,Y108,AB108,AE108,AH108,AK108,AN108,AQ108,AT108,AW108,AZ108,BC108,BF108,BI108,BL108,CA108,CD108,BO108,BR108,BU108,BX108,CG108,CJ108,CM108,CP108,CS108,CV108,DH108,CY108,DB108,DE108,DK108,DN108,DQ108,DT108,DW108,DZ108,EC108,EF108,EI108,EL108,EO108,ER108,EU108,EX108,FA108)</f>
        <v>1018486</v>
      </c>
      <c r="C108" s="294">
        <f t="shared" si="206"/>
        <v>99230</v>
      </c>
      <c r="D108" s="295">
        <f t="shared" si="206"/>
        <v>285657</v>
      </c>
      <c r="E108" s="296">
        <f t="shared" si="1"/>
        <v>633599</v>
      </c>
      <c r="F108" s="312">
        <f t="shared" ref="F108:H108" si="207">SUM(P108,S108,V108,AE108,AH108,AK108,AN108,AQ108,AT108,AW108,AZ108,BF108,BL108,BR108,BX108,CG108,CM108,CP108,CV108,DK108,DN108,DQ108,DT108,DZ108,EL108,EO108,ER108)</f>
        <v>806485</v>
      </c>
      <c r="G108" s="148">
        <f t="shared" si="207"/>
        <v>81288</v>
      </c>
      <c r="H108" s="149">
        <f t="shared" si="207"/>
        <v>273820</v>
      </c>
      <c r="I108" s="85">
        <f t="shared" si="3"/>
        <v>451377</v>
      </c>
      <c r="J108" s="297">
        <v>704</v>
      </c>
      <c r="K108" s="300">
        <v>35</v>
      </c>
      <c r="L108" s="299">
        <v>205</v>
      </c>
      <c r="M108" s="297">
        <v>548</v>
      </c>
      <c r="N108" s="300">
        <v>26</v>
      </c>
      <c r="O108" s="299">
        <v>302</v>
      </c>
      <c r="P108" s="297">
        <v>142872</v>
      </c>
      <c r="Q108" s="301">
        <v>4426</v>
      </c>
      <c r="R108" s="302">
        <v>85400</v>
      </c>
      <c r="S108" s="297">
        <v>14671</v>
      </c>
      <c r="T108" s="298">
        <v>443</v>
      </c>
      <c r="U108" s="299">
        <v>10214</v>
      </c>
      <c r="V108" s="297">
        <v>37183</v>
      </c>
      <c r="W108" s="298">
        <v>5453</v>
      </c>
      <c r="X108" s="302">
        <v>8348</v>
      </c>
      <c r="Y108" s="305">
        <v>4779</v>
      </c>
      <c r="Z108" s="298">
        <v>45</v>
      </c>
      <c r="AA108" s="308">
        <v>342</v>
      </c>
      <c r="AB108" s="297">
        <v>1268</v>
      </c>
      <c r="AC108" s="298">
        <v>47</v>
      </c>
      <c r="AD108" s="299">
        <v>338</v>
      </c>
      <c r="AE108" s="297">
        <v>878</v>
      </c>
      <c r="AF108" s="300">
        <v>41</v>
      </c>
      <c r="AG108" s="299">
        <v>153</v>
      </c>
      <c r="AH108" s="297">
        <v>761</v>
      </c>
      <c r="AI108" s="300">
        <v>12</v>
      </c>
      <c r="AJ108" s="299">
        <v>79</v>
      </c>
      <c r="AK108" s="297">
        <v>1832</v>
      </c>
      <c r="AL108" s="298">
        <v>39</v>
      </c>
      <c r="AM108" s="299">
        <v>615</v>
      </c>
      <c r="AN108" s="297">
        <v>7437</v>
      </c>
      <c r="AO108" s="298">
        <v>346</v>
      </c>
      <c r="AP108" s="299">
        <v>4031</v>
      </c>
      <c r="AQ108" s="297">
        <v>191726</v>
      </c>
      <c r="AR108" s="298">
        <v>20043</v>
      </c>
      <c r="AS108" s="303">
        <v>74797</v>
      </c>
      <c r="AT108" s="297">
        <v>1512</v>
      </c>
      <c r="AU108" s="300">
        <v>38</v>
      </c>
      <c r="AV108" s="299">
        <v>162</v>
      </c>
      <c r="AW108" s="297">
        <v>3681</v>
      </c>
      <c r="AX108" s="298">
        <v>90</v>
      </c>
      <c r="AY108" s="303">
        <v>1700</v>
      </c>
      <c r="AZ108" s="297">
        <v>111821</v>
      </c>
      <c r="BA108" s="304">
        <f>11842+7481</f>
        <v>19323</v>
      </c>
      <c r="BB108" s="302">
        <v>35983</v>
      </c>
      <c r="BC108" s="305">
        <v>1</v>
      </c>
      <c r="BD108" s="306">
        <v>0</v>
      </c>
      <c r="BE108" s="307">
        <v>0</v>
      </c>
      <c r="BF108" s="297">
        <v>2235</v>
      </c>
      <c r="BG108" s="298">
        <v>110</v>
      </c>
      <c r="BH108" s="308">
        <v>269</v>
      </c>
      <c r="BI108" s="305">
        <v>91</v>
      </c>
      <c r="BJ108" s="300">
        <v>1</v>
      </c>
      <c r="BK108" s="307">
        <v>0</v>
      </c>
      <c r="BL108" s="297">
        <v>1834</v>
      </c>
      <c r="BM108" s="298">
        <v>172</v>
      </c>
      <c r="BN108" s="299">
        <v>231</v>
      </c>
      <c r="BO108" s="305">
        <v>177</v>
      </c>
      <c r="BP108" s="306">
        <v>0</v>
      </c>
      <c r="BQ108" s="307">
        <v>0</v>
      </c>
      <c r="BR108" s="297">
        <v>14758</v>
      </c>
      <c r="BS108" s="298">
        <v>571</v>
      </c>
      <c r="BT108" s="308">
        <v>77</v>
      </c>
      <c r="BU108" s="297">
        <v>1760</v>
      </c>
      <c r="BV108" s="300">
        <v>9</v>
      </c>
      <c r="BW108" s="299">
        <v>1291</v>
      </c>
      <c r="BX108" s="297">
        <v>175925</v>
      </c>
      <c r="BY108" s="301">
        <v>23227</v>
      </c>
      <c r="BZ108" s="302">
        <v>44927</v>
      </c>
      <c r="CA108" s="305">
        <v>81</v>
      </c>
      <c r="CB108" s="300">
        <v>2</v>
      </c>
      <c r="CC108" s="307">
        <v>0</v>
      </c>
      <c r="CD108" s="305">
        <v>480</v>
      </c>
      <c r="CE108" s="300">
        <v>12</v>
      </c>
      <c r="CF108" s="308">
        <v>84</v>
      </c>
      <c r="CG108" s="297">
        <v>712</v>
      </c>
      <c r="CH108" s="300">
        <v>5</v>
      </c>
      <c r="CI108" s="308">
        <v>88</v>
      </c>
      <c r="CJ108" s="297">
        <v>81</v>
      </c>
      <c r="CK108" s="300">
        <v>1</v>
      </c>
      <c r="CL108" s="308">
        <v>55</v>
      </c>
      <c r="CM108" s="297">
        <v>1239</v>
      </c>
      <c r="CN108" s="300">
        <v>33</v>
      </c>
      <c r="CO108" s="299">
        <v>228</v>
      </c>
      <c r="CP108" s="297">
        <v>3537</v>
      </c>
      <c r="CQ108" s="300">
        <v>72</v>
      </c>
      <c r="CR108" s="299">
        <v>601</v>
      </c>
      <c r="CS108" s="297">
        <v>1170</v>
      </c>
      <c r="CT108" s="300">
        <v>49</v>
      </c>
      <c r="CU108" s="299">
        <v>164</v>
      </c>
      <c r="CV108" s="297">
        <v>426</v>
      </c>
      <c r="CW108" s="300">
        <v>3</v>
      </c>
      <c r="CX108" s="299">
        <v>99</v>
      </c>
      <c r="CY108" s="297">
        <v>2378</v>
      </c>
      <c r="CZ108" s="298">
        <v>57</v>
      </c>
      <c r="DA108" s="299">
        <v>391</v>
      </c>
      <c r="DB108" s="305">
        <v>94</v>
      </c>
      <c r="DC108" s="300">
        <v>3</v>
      </c>
      <c r="DD108" s="299">
        <v>22</v>
      </c>
      <c r="DE108" s="297">
        <v>307</v>
      </c>
      <c r="DF108" s="300">
        <v>5</v>
      </c>
      <c r="DG108" s="308">
        <v>55</v>
      </c>
      <c r="DH108" s="297">
        <v>7036</v>
      </c>
      <c r="DI108" s="298">
        <v>164</v>
      </c>
      <c r="DJ108" s="308">
        <v>32</v>
      </c>
      <c r="DK108" s="297">
        <v>31766</v>
      </c>
      <c r="DL108" s="298">
        <v>3613</v>
      </c>
      <c r="DM108" s="299">
        <v>317</v>
      </c>
      <c r="DN108" s="297">
        <v>8742</v>
      </c>
      <c r="DO108" s="298">
        <v>347</v>
      </c>
      <c r="DP108" s="299">
        <v>981</v>
      </c>
      <c r="DQ108" s="297">
        <v>19685</v>
      </c>
      <c r="DR108" s="298">
        <v>687</v>
      </c>
      <c r="DS108" s="299">
        <v>610</v>
      </c>
      <c r="DT108" s="297">
        <v>6606</v>
      </c>
      <c r="DU108" s="298">
        <v>181</v>
      </c>
      <c r="DV108" s="299">
        <v>1227</v>
      </c>
      <c r="DW108" s="297">
        <v>115300</v>
      </c>
      <c r="DX108" s="298">
        <v>15497</v>
      </c>
      <c r="DY108" s="302">
        <v>414</v>
      </c>
      <c r="DZ108" s="297">
        <v>8418</v>
      </c>
      <c r="EA108" s="298">
        <v>421</v>
      </c>
      <c r="EB108" s="299">
        <v>1730</v>
      </c>
      <c r="EC108" s="297">
        <v>36793</v>
      </c>
      <c r="ED108" s="298">
        <v>313</v>
      </c>
      <c r="EE108" s="302">
        <v>3057</v>
      </c>
      <c r="EF108" s="297">
        <v>455</v>
      </c>
      <c r="EG108" s="300">
        <v>39</v>
      </c>
      <c r="EH108" s="299">
        <v>60</v>
      </c>
      <c r="EI108" s="297">
        <v>5994</v>
      </c>
      <c r="EJ108" s="298">
        <v>117</v>
      </c>
      <c r="EK108" s="299">
        <v>637</v>
      </c>
      <c r="EL108" s="309">
        <v>1089</v>
      </c>
      <c r="EM108" s="298">
        <v>11</v>
      </c>
      <c r="EN108" s="299">
        <v>213</v>
      </c>
      <c r="EO108" s="309">
        <v>1317</v>
      </c>
      <c r="EP108" s="298">
        <v>70</v>
      </c>
      <c r="EQ108" s="299">
        <v>190</v>
      </c>
      <c r="ER108" s="297">
        <v>13822</v>
      </c>
      <c r="ES108" s="298">
        <v>1511</v>
      </c>
      <c r="ET108" s="308">
        <v>550</v>
      </c>
      <c r="EU108" s="310">
        <f>SuisseSwitzerland!B108</f>
        <v>27390</v>
      </c>
      <c r="EV108" s="300">
        <f>SuisseSwitzerland!C108</f>
        <v>1387</v>
      </c>
      <c r="EW108" s="138">
        <f>SuisseSwitzerland!D108</f>
        <v>4111</v>
      </c>
      <c r="EX108" s="297">
        <v>5106</v>
      </c>
      <c r="EY108" s="298">
        <v>133</v>
      </c>
      <c r="EZ108" s="299">
        <v>275</v>
      </c>
      <c r="FA108" s="305">
        <v>8</v>
      </c>
      <c r="FB108" s="306">
        <v>0</v>
      </c>
      <c r="FC108" s="308">
        <v>2</v>
      </c>
      <c r="FD108" s="311"/>
      <c r="FE108" s="316"/>
    </row>
    <row r="109" spans="1:161" ht="12.75">
      <c r="A109" s="292">
        <v>43940</v>
      </c>
      <c r="B109" s="293">
        <f t="shared" ref="B109:D109" si="208">SUM(J109,M109,P109,S109,V109,Y109,AB109,AE109,AH109,AK109,AN109,AQ109,AT109,AW109,AZ109,BC109,BF109,BI109,BL109,CA109,CD109,BO109,BR109,BU109,BX109,CG109,CJ109,CM109,CP109,CS109,CV109,DH109,CY109,DB109,DE109,DK109,DN109,DQ109,DT109,DW109,DZ109,EC109,EF109,EI109,EL109,EO109,ER109,EU109,EX109,FA109)</f>
        <v>1047884</v>
      </c>
      <c r="C109" s="294">
        <f t="shared" si="208"/>
        <v>101984</v>
      </c>
      <c r="D109" s="295">
        <f t="shared" si="208"/>
        <v>295723</v>
      </c>
      <c r="E109" s="296">
        <f t="shared" si="1"/>
        <v>650177</v>
      </c>
      <c r="F109" s="312">
        <f t="shared" ref="F109:H109" si="209">SUM(P109,S109,V109,AE109,AH109,AK109,AN109,AQ109,AT109,AW109,AZ109,BF109,BL109,BR109,BX109,CG109,CM109,CP109,CV109,DK109,DN109,DQ109,DT109,DZ109,EL109,EO109,ER109)</f>
        <v>823152</v>
      </c>
      <c r="G109" s="148">
        <f t="shared" si="209"/>
        <v>83346</v>
      </c>
      <c r="H109" s="149">
        <f t="shared" si="209"/>
        <v>283195</v>
      </c>
      <c r="I109" s="85">
        <f t="shared" si="3"/>
        <v>456611</v>
      </c>
      <c r="J109" s="297">
        <v>713</v>
      </c>
      <c r="K109" s="298">
        <v>36</v>
      </c>
      <c r="L109" s="299">
        <v>235</v>
      </c>
      <c r="M109" s="297">
        <v>562</v>
      </c>
      <c r="N109" s="300">
        <v>26</v>
      </c>
      <c r="O109" s="299">
        <v>314</v>
      </c>
      <c r="P109" s="297">
        <v>145184</v>
      </c>
      <c r="Q109" s="301">
        <v>4586</v>
      </c>
      <c r="R109" s="302">
        <v>88000</v>
      </c>
      <c r="S109" s="297">
        <v>14749</v>
      </c>
      <c r="T109" s="298">
        <v>452</v>
      </c>
      <c r="U109" s="299">
        <v>10501</v>
      </c>
      <c r="V109" s="297">
        <v>38496</v>
      </c>
      <c r="W109" s="298">
        <v>5683</v>
      </c>
      <c r="X109" s="302">
        <v>8757</v>
      </c>
      <c r="Y109" s="305">
        <v>4779</v>
      </c>
      <c r="Z109" s="298">
        <v>47</v>
      </c>
      <c r="AA109" s="299">
        <v>494</v>
      </c>
      <c r="AB109" s="297">
        <v>1285</v>
      </c>
      <c r="AC109" s="298">
        <v>48</v>
      </c>
      <c r="AD109" s="299">
        <v>347</v>
      </c>
      <c r="AE109" s="297">
        <v>894</v>
      </c>
      <c r="AF109" s="298">
        <v>42</v>
      </c>
      <c r="AG109" s="299">
        <v>161</v>
      </c>
      <c r="AH109" s="297">
        <v>767</v>
      </c>
      <c r="AI109" s="300">
        <v>12</v>
      </c>
      <c r="AJ109" s="299">
        <v>81</v>
      </c>
      <c r="AK109" s="297">
        <v>1871</v>
      </c>
      <c r="AL109" s="298">
        <v>47</v>
      </c>
      <c r="AM109" s="299">
        <v>709</v>
      </c>
      <c r="AN109" s="297">
        <v>7580</v>
      </c>
      <c r="AO109" s="298">
        <v>355</v>
      </c>
      <c r="AP109" s="299">
        <v>4328</v>
      </c>
      <c r="AQ109" s="297">
        <v>196664</v>
      </c>
      <c r="AR109" s="298">
        <v>20595</v>
      </c>
      <c r="AS109" s="302">
        <v>77357</v>
      </c>
      <c r="AT109" s="297">
        <v>1528</v>
      </c>
      <c r="AU109" s="298">
        <v>40</v>
      </c>
      <c r="AV109" s="299">
        <v>164</v>
      </c>
      <c r="AW109" s="297">
        <v>3783</v>
      </c>
      <c r="AX109" s="298">
        <v>94</v>
      </c>
      <c r="AY109" s="303">
        <v>1700</v>
      </c>
      <c r="AZ109" s="297">
        <v>112606</v>
      </c>
      <c r="BA109" s="304">
        <f>12069+7649</f>
        <v>19718</v>
      </c>
      <c r="BB109" s="302">
        <v>36578</v>
      </c>
      <c r="BC109" s="305">
        <v>1</v>
      </c>
      <c r="BD109" s="306">
        <v>0</v>
      </c>
      <c r="BE109" s="307">
        <v>0</v>
      </c>
      <c r="BF109" s="297">
        <v>2235</v>
      </c>
      <c r="BG109" s="298">
        <v>113</v>
      </c>
      <c r="BH109" s="308">
        <v>269</v>
      </c>
      <c r="BI109" s="305">
        <v>91</v>
      </c>
      <c r="BJ109" s="300">
        <v>1</v>
      </c>
      <c r="BK109" s="307">
        <v>0</v>
      </c>
      <c r="BL109" s="297">
        <v>1916</v>
      </c>
      <c r="BM109" s="298">
        <v>189</v>
      </c>
      <c r="BN109" s="299">
        <v>250</v>
      </c>
      <c r="BO109" s="305">
        <v>177</v>
      </c>
      <c r="BP109" s="306">
        <v>0</v>
      </c>
      <c r="BQ109" s="307">
        <v>0</v>
      </c>
      <c r="BR109" s="297">
        <v>15251</v>
      </c>
      <c r="BS109" s="298">
        <v>610</v>
      </c>
      <c r="BT109" s="308">
        <v>77</v>
      </c>
      <c r="BU109" s="297">
        <v>1771</v>
      </c>
      <c r="BV109" s="300">
        <v>9</v>
      </c>
      <c r="BW109" s="299">
        <v>1291</v>
      </c>
      <c r="BX109" s="297">
        <v>178972</v>
      </c>
      <c r="BY109" s="301">
        <v>23660</v>
      </c>
      <c r="BZ109" s="302">
        <v>47055</v>
      </c>
      <c r="CA109" s="305">
        <v>81</v>
      </c>
      <c r="CB109" s="300">
        <v>2</v>
      </c>
      <c r="CC109" s="307">
        <v>0</v>
      </c>
      <c r="CD109" s="297">
        <v>510</v>
      </c>
      <c r="CE109" s="300">
        <v>12</v>
      </c>
      <c r="CF109" s="299">
        <v>93</v>
      </c>
      <c r="CG109" s="297">
        <v>727</v>
      </c>
      <c r="CH109" s="300">
        <v>5</v>
      </c>
      <c r="CI109" s="308">
        <v>88</v>
      </c>
      <c r="CJ109" s="297">
        <v>81</v>
      </c>
      <c r="CK109" s="300">
        <v>1</v>
      </c>
      <c r="CL109" s="308">
        <v>55</v>
      </c>
      <c r="CM109" s="297">
        <v>1298</v>
      </c>
      <c r="CN109" s="298">
        <v>35</v>
      </c>
      <c r="CO109" s="299">
        <v>242</v>
      </c>
      <c r="CP109" s="297">
        <v>3550</v>
      </c>
      <c r="CQ109" s="298">
        <v>73</v>
      </c>
      <c r="CR109" s="299">
        <v>627</v>
      </c>
      <c r="CS109" s="297">
        <v>1207</v>
      </c>
      <c r="CT109" s="298">
        <v>51</v>
      </c>
      <c r="CU109" s="299">
        <v>179</v>
      </c>
      <c r="CV109" s="297">
        <v>427</v>
      </c>
      <c r="CW109" s="300">
        <v>3</v>
      </c>
      <c r="CX109" s="299">
        <v>118</v>
      </c>
      <c r="CY109" s="297">
        <v>2472</v>
      </c>
      <c r="CZ109" s="298">
        <v>67</v>
      </c>
      <c r="DA109" s="299">
        <v>457</v>
      </c>
      <c r="DB109" s="305">
        <v>94</v>
      </c>
      <c r="DC109" s="300">
        <v>3</v>
      </c>
      <c r="DD109" s="299">
        <v>22</v>
      </c>
      <c r="DE109" s="297">
        <v>308</v>
      </c>
      <c r="DF109" s="300">
        <v>5</v>
      </c>
      <c r="DG109" s="308">
        <v>55</v>
      </c>
      <c r="DH109" s="297">
        <v>7078</v>
      </c>
      <c r="DI109" s="298">
        <v>165</v>
      </c>
      <c r="DJ109" s="308">
        <v>32</v>
      </c>
      <c r="DK109" s="297">
        <v>32838</v>
      </c>
      <c r="DL109" s="298">
        <v>3697</v>
      </c>
      <c r="DM109" s="299">
        <v>322</v>
      </c>
      <c r="DN109" s="297">
        <v>9287</v>
      </c>
      <c r="DO109" s="298">
        <v>360</v>
      </c>
      <c r="DP109" s="299">
        <v>1040</v>
      </c>
      <c r="DQ109" s="297">
        <v>20206</v>
      </c>
      <c r="DR109" s="298">
        <v>714</v>
      </c>
      <c r="DS109" s="299">
        <v>610</v>
      </c>
      <c r="DT109" s="297">
        <v>6701</v>
      </c>
      <c r="DU109" s="298">
        <v>186</v>
      </c>
      <c r="DV109" s="299">
        <v>1298</v>
      </c>
      <c r="DW109" s="297">
        <v>121172</v>
      </c>
      <c r="DX109" s="298">
        <v>16095</v>
      </c>
      <c r="DY109" s="302">
        <v>436</v>
      </c>
      <c r="DZ109" s="297">
        <v>8746</v>
      </c>
      <c r="EA109" s="298">
        <v>451</v>
      </c>
      <c r="EB109" s="299">
        <v>1892</v>
      </c>
      <c r="EC109" s="297">
        <v>42853</v>
      </c>
      <c r="ED109" s="298">
        <v>361</v>
      </c>
      <c r="EE109" s="302">
        <v>3291</v>
      </c>
      <c r="EF109" s="297">
        <v>461</v>
      </c>
      <c r="EG109" s="300">
        <v>39</v>
      </c>
      <c r="EH109" s="299">
        <v>60</v>
      </c>
      <c r="EI109" s="297">
        <v>5994</v>
      </c>
      <c r="EJ109" s="298">
        <v>117</v>
      </c>
      <c r="EK109" s="299">
        <v>637</v>
      </c>
      <c r="EL109" s="309">
        <v>1161</v>
      </c>
      <c r="EM109" s="298">
        <v>12</v>
      </c>
      <c r="EN109" s="299">
        <v>229</v>
      </c>
      <c r="EO109" s="309">
        <v>1330</v>
      </c>
      <c r="EP109" s="298">
        <v>74</v>
      </c>
      <c r="EQ109" s="299">
        <v>192</v>
      </c>
      <c r="ER109" s="297">
        <v>14385</v>
      </c>
      <c r="ES109" s="298">
        <v>1540</v>
      </c>
      <c r="ET109" s="308">
        <v>550</v>
      </c>
      <c r="EU109" s="310">
        <f>SuisseSwitzerland!B109</f>
        <v>27585</v>
      </c>
      <c r="EV109" s="300">
        <f>SuisseSwitzerland!C109</f>
        <v>1412</v>
      </c>
      <c r="EW109" s="138">
        <f>SuisseSwitzerland!D109</f>
        <v>4181</v>
      </c>
      <c r="EX109" s="297">
        <v>5449</v>
      </c>
      <c r="EY109" s="298">
        <v>141</v>
      </c>
      <c r="EZ109" s="299">
        <v>347</v>
      </c>
      <c r="FA109" s="305">
        <v>8</v>
      </c>
      <c r="FB109" s="306">
        <v>0</v>
      </c>
      <c r="FC109" s="308">
        <v>2</v>
      </c>
      <c r="FD109" s="311"/>
      <c r="FE109" s="316"/>
    </row>
    <row r="110" spans="1:161" ht="12.75">
      <c r="A110" s="292">
        <v>43941</v>
      </c>
      <c r="B110" s="293">
        <f t="shared" ref="B110:D110" si="210">SUM(J110,M110,P110,S110,V110,Y110,AB110,AE110,AH110,AK110,AN110,AQ110,AT110,AW110,AZ110,BC110,BF110,BI110,BL110,CA110,CD110,BO110,BR110,BU110,BX110,CG110,CJ110,CM110,CP110,CS110,CV110,DH110,CY110,DB110,DE110,DK110,DN110,DQ110,DT110,DW110,DZ110,EC110,EF110,EI110,EL110,EO110,ER110,EU110,EX110,FA110)</f>
        <v>1073021</v>
      </c>
      <c r="C110" s="294">
        <f t="shared" si="210"/>
        <v>104380</v>
      </c>
      <c r="D110" s="295">
        <f t="shared" si="210"/>
        <v>306969</v>
      </c>
      <c r="E110" s="296">
        <f t="shared" si="1"/>
        <v>661672</v>
      </c>
      <c r="F110" s="312">
        <f t="shared" ref="F110:H110" si="211">SUM(P110,S110,V110,AE110,AH110,AK110,AN110,AQ110,AT110,AW110,AZ110,BF110,BL110,BR110,BX110,CG110,CM110,CP110,CV110,DK110,DN110,DQ110,DT110,DZ110,EL110,EO110,ER110)</f>
        <v>837286</v>
      </c>
      <c r="G110" s="148">
        <f t="shared" si="211"/>
        <v>85182</v>
      </c>
      <c r="H110" s="149">
        <f t="shared" si="211"/>
        <v>293923</v>
      </c>
      <c r="I110" s="85">
        <f t="shared" si="3"/>
        <v>458181</v>
      </c>
      <c r="J110" s="297">
        <v>717</v>
      </c>
      <c r="K110" s="298">
        <v>37</v>
      </c>
      <c r="L110" s="299">
        <v>248</v>
      </c>
      <c r="M110" s="297">
        <v>584</v>
      </c>
      <c r="N110" s="300">
        <v>26</v>
      </c>
      <c r="O110" s="299">
        <v>327</v>
      </c>
      <c r="P110" s="297">
        <v>146653</v>
      </c>
      <c r="Q110" s="301">
        <v>4706</v>
      </c>
      <c r="R110" s="302">
        <v>91500</v>
      </c>
      <c r="S110" s="297">
        <v>14795</v>
      </c>
      <c r="T110" s="298">
        <v>470</v>
      </c>
      <c r="U110" s="299">
        <v>10631</v>
      </c>
      <c r="V110" s="297">
        <v>39983</v>
      </c>
      <c r="W110" s="298">
        <v>5828</v>
      </c>
      <c r="X110" s="302">
        <v>8895</v>
      </c>
      <c r="Y110" s="297">
        <v>6264</v>
      </c>
      <c r="Z110" s="298">
        <v>51</v>
      </c>
      <c r="AA110" s="299">
        <v>514</v>
      </c>
      <c r="AB110" s="297">
        <v>1309</v>
      </c>
      <c r="AC110" s="298">
        <v>49</v>
      </c>
      <c r="AD110" s="299">
        <v>381</v>
      </c>
      <c r="AE110" s="297">
        <v>929</v>
      </c>
      <c r="AF110" s="298">
        <v>43</v>
      </c>
      <c r="AG110" s="299">
        <v>167</v>
      </c>
      <c r="AH110" s="297">
        <v>772</v>
      </c>
      <c r="AI110" s="300">
        <v>12</v>
      </c>
      <c r="AJ110" s="299">
        <v>81</v>
      </c>
      <c r="AK110" s="297">
        <v>1907</v>
      </c>
      <c r="AL110" s="298">
        <v>47</v>
      </c>
      <c r="AM110" s="299">
        <v>771</v>
      </c>
      <c r="AN110" s="297">
        <v>7711</v>
      </c>
      <c r="AO110" s="298">
        <v>364</v>
      </c>
      <c r="AP110" s="299">
        <v>4499</v>
      </c>
      <c r="AQ110" s="297">
        <v>200210</v>
      </c>
      <c r="AR110" s="298">
        <v>20852</v>
      </c>
      <c r="AS110" s="302">
        <v>80587</v>
      </c>
      <c r="AT110" s="297">
        <v>1535</v>
      </c>
      <c r="AU110" s="298">
        <v>40</v>
      </c>
      <c r="AV110" s="299">
        <v>165</v>
      </c>
      <c r="AW110" s="297">
        <v>3868</v>
      </c>
      <c r="AX110" s="298">
        <v>98</v>
      </c>
      <c r="AY110" s="302">
        <v>2000</v>
      </c>
      <c r="AZ110" s="297">
        <v>114657</v>
      </c>
      <c r="BA110" s="304">
        <f>12513+7752</f>
        <v>20265</v>
      </c>
      <c r="BB110" s="302">
        <v>37409</v>
      </c>
      <c r="BC110" s="305">
        <v>1</v>
      </c>
      <c r="BD110" s="306">
        <v>0</v>
      </c>
      <c r="BE110" s="307">
        <v>0</v>
      </c>
      <c r="BF110" s="297">
        <v>2245</v>
      </c>
      <c r="BG110" s="298">
        <v>116</v>
      </c>
      <c r="BH110" s="308">
        <v>269</v>
      </c>
      <c r="BI110" s="305">
        <v>91</v>
      </c>
      <c r="BJ110" s="300">
        <v>1</v>
      </c>
      <c r="BK110" s="307">
        <v>0</v>
      </c>
      <c r="BL110" s="297">
        <v>1984</v>
      </c>
      <c r="BM110" s="298">
        <v>199</v>
      </c>
      <c r="BN110" s="299">
        <v>267</v>
      </c>
      <c r="BO110" s="305">
        <v>177</v>
      </c>
      <c r="BP110" s="306">
        <v>0</v>
      </c>
      <c r="BQ110" s="307">
        <v>0</v>
      </c>
      <c r="BR110" s="297">
        <v>15652</v>
      </c>
      <c r="BS110" s="298">
        <v>687</v>
      </c>
      <c r="BT110" s="308">
        <v>77</v>
      </c>
      <c r="BU110" s="297">
        <v>1773</v>
      </c>
      <c r="BV110" s="298">
        <v>10</v>
      </c>
      <c r="BW110" s="299">
        <v>1362</v>
      </c>
      <c r="BX110" s="297">
        <v>181228</v>
      </c>
      <c r="BY110" s="301">
        <v>24114</v>
      </c>
      <c r="BZ110" s="302">
        <v>48877</v>
      </c>
      <c r="CA110" s="305">
        <v>81</v>
      </c>
      <c r="CB110" s="300">
        <v>2</v>
      </c>
      <c r="CC110" s="307">
        <v>0</v>
      </c>
      <c r="CD110" s="297">
        <v>510</v>
      </c>
      <c r="CE110" s="300">
        <v>12</v>
      </c>
      <c r="CF110" s="299">
        <v>93</v>
      </c>
      <c r="CG110" s="297">
        <v>739</v>
      </c>
      <c r="CH110" s="300">
        <v>5</v>
      </c>
      <c r="CI110" s="308">
        <v>88</v>
      </c>
      <c r="CJ110" s="297">
        <v>81</v>
      </c>
      <c r="CK110" s="300">
        <v>1</v>
      </c>
      <c r="CL110" s="308">
        <v>55</v>
      </c>
      <c r="CM110" s="297">
        <v>1326</v>
      </c>
      <c r="CN110" s="298">
        <v>37</v>
      </c>
      <c r="CO110" s="299">
        <v>242</v>
      </c>
      <c r="CP110" s="297">
        <v>3558</v>
      </c>
      <c r="CQ110" s="298">
        <v>75</v>
      </c>
      <c r="CR110" s="299">
        <v>637</v>
      </c>
      <c r="CS110" s="297">
        <v>1225</v>
      </c>
      <c r="CT110" s="298">
        <v>54</v>
      </c>
      <c r="CU110" s="299">
        <v>200</v>
      </c>
      <c r="CV110" s="297">
        <v>431</v>
      </c>
      <c r="CW110" s="300">
        <v>3</v>
      </c>
      <c r="CX110" s="299">
        <v>126</v>
      </c>
      <c r="CY110" s="297">
        <v>2548</v>
      </c>
      <c r="CZ110" s="298">
        <v>70</v>
      </c>
      <c r="DA110" s="299">
        <v>457</v>
      </c>
      <c r="DB110" s="305">
        <v>94</v>
      </c>
      <c r="DC110" s="300">
        <v>3</v>
      </c>
      <c r="DD110" s="299">
        <v>23</v>
      </c>
      <c r="DE110" s="297">
        <v>312</v>
      </c>
      <c r="DF110" s="300">
        <v>5</v>
      </c>
      <c r="DG110" s="299">
        <v>88</v>
      </c>
      <c r="DH110" s="297">
        <v>7127</v>
      </c>
      <c r="DI110" s="298">
        <v>181</v>
      </c>
      <c r="DJ110" s="308">
        <v>32</v>
      </c>
      <c r="DK110" s="297">
        <v>33588</v>
      </c>
      <c r="DL110" s="298">
        <v>3764</v>
      </c>
      <c r="DM110" s="299">
        <v>322</v>
      </c>
      <c r="DN110" s="297">
        <v>9593</v>
      </c>
      <c r="DO110" s="298">
        <v>380</v>
      </c>
      <c r="DP110" s="299">
        <v>1133</v>
      </c>
      <c r="DQ110" s="297">
        <v>20863</v>
      </c>
      <c r="DR110" s="298">
        <v>735</v>
      </c>
      <c r="DS110" s="299">
        <v>610</v>
      </c>
      <c r="DT110" s="297">
        <v>6838</v>
      </c>
      <c r="DU110" s="298">
        <v>194</v>
      </c>
      <c r="DV110" s="299">
        <v>1559</v>
      </c>
      <c r="DW110" s="297">
        <v>125851</v>
      </c>
      <c r="DX110" s="298">
        <v>16550</v>
      </c>
      <c r="DY110" s="302">
        <v>444</v>
      </c>
      <c r="DZ110" s="297">
        <v>8936</v>
      </c>
      <c r="EA110" s="298">
        <v>478</v>
      </c>
      <c r="EB110" s="299">
        <v>2017</v>
      </c>
      <c r="EC110" s="297">
        <v>47121</v>
      </c>
      <c r="ED110" s="298">
        <v>405</v>
      </c>
      <c r="EE110" s="302">
        <v>3446</v>
      </c>
      <c r="EF110" s="297">
        <v>462</v>
      </c>
      <c r="EG110" s="300">
        <v>39</v>
      </c>
      <c r="EH110" s="299">
        <v>61</v>
      </c>
      <c r="EI110" s="297">
        <v>5994</v>
      </c>
      <c r="EJ110" s="298">
        <v>117</v>
      </c>
      <c r="EK110" s="299">
        <v>637</v>
      </c>
      <c r="EL110" s="309">
        <v>1173</v>
      </c>
      <c r="EM110" s="298">
        <v>13</v>
      </c>
      <c r="EN110" s="299">
        <v>251</v>
      </c>
      <c r="EO110" s="309">
        <v>1335</v>
      </c>
      <c r="EP110" s="298">
        <v>77</v>
      </c>
      <c r="EQ110" s="299">
        <v>193</v>
      </c>
      <c r="ER110" s="297">
        <v>14777</v>
      </c>
      <c r="ES110" s="298">
        <v>1580</v>
      </c>
      <c r="ET110" s="308">
        <v>550</v>
      </c>
      <c r="EU110" s="310">
        <f>SuisseSwitzerland!B110</f>
        <v>27695</v>
      </c>
      <c r="EV110" s="300">
        <f>SuisseSwitzerland!C110</f>
        <v>1434</v>
      </c>
      <c r="EW110" s="138">
        <f>SuisseSwitzerland!D110</f>
        <v>4317</v>
      </c>
      <c r="EX110" s="297">
        <v>5710</v>
      </c>
      <c r="EY110" s="298">
        <v>151</v>
      </c>
      <c r="EZ110" s="299">
        <v>359</v>
      </c>
      <c r="FA110" s="305">
        <v>8</v>
      </c>
      <c r="FB110" s="306">
        <v>0</v>
      </c>
      <c r="FC110" s="308">
        <v>2</v>
      </c>
      <c r="FD110" s="311"/>
      <c r="FE110" s="316"/>
    </row>
    <row r="111" spans="1:161" ht="7.5" customHeight="1">
      <c r="A111" s="177"/>
      <c r="B111" s="320"/>
      <c r="C111" s="320"/>
      <c r="D111" s="3"/>
      <c r="E111" s="38"/>
      <c r="F111" s="320"/>
      <c r="G111" s="320"/>
      <c r="H111" s="3"/>
      <c r="I111" s="25"/>
      <c r="J111" s="181"/>
      <c r="K111" s="181"/>
      <c r="L111" s="181"/>
      <c r="M111" s="181"/>
      <c r="N111" s="181"/>
      <c r="O111" s="181"/>
      <c r="P111" s="181"/>
      <c r="Q111" s="181"/>
      <c r="R111" s="181"/>
      <c r="S111" s="181"/>
      <c r="T111" s="181"/>
      <c r="U111" s="181"/>
      <c r="V111" s="181"/>
      <c r="W111" s="181"/>
      <c r="X111" s="181"/>
      <c r="Y111" s="181"/>
      <c r="Z111" s="181"/>
      <c r="AA111" s="181"/>
      <c r="AB111" s="181"/>
      <c r="AC111" s="181"/>
      <c r="AD111" s="181"/>
      <c r="AE111" s="181"/>
      <c r="AF111" s="181"/>
      <c r="AG111" s="181"/>
      <c r="AH111" s="181"/>
      <c r="AI111" s="181"/>
      <c r="AJ111" s="181"/>
      <c r="AK111" s="181"/>
      <c r="AL111" s="181"/>
      <c r="AM111" s="181"/>
      <c r="AN111" s="181"/>
      <c r="AO111" s="181"/>
      <c r="AP111" s="181"/>
      <c r="AQ111" s="181"/>
      <c r="AR111" s="181"/>
      <c r="AS111" s="182"/>
      <c r="AT111" s="177"/>
      <c r="AU111" s="178"/>
      <c r="AV111" s="178"/>
      <c r="AW111" s="179"/>
      <c r="AX111" s="179"/>
      <c r="AY111" s="181"/>
      <c r="AZ111" s="181"/>
      <c r="BA111" s="181"/>
      <c r="BB111" s="181"/>
      <c r="BC111" s="181"/>
      <c r="BD111" s="181"/>
      <c r="BE111" s="181"/>
      <c r="BF111" s="181"/>
      <c r="BG111" s="181"/>
      <c r="BH111" s="181"/>
      <c r="BI111" s="181"/>
      <c r="BJ111" s="181"/>
      <c r="BK111" s="181"/>
      <c r="BL111" s="181"/>
      <c r="BM111" s="181"/>
      <c r="BN111" s="181"/>
      <c r="BO111" s="181"/>
      <c r="BP111" s="181"/>
      <c r="BQ111" s="181"/>
      <c r="BR111" s="181"/>
      <c r="BS111" s="181"/>
      <c r="BT111" s="181"/>
      <c r="BU111" s="181"/>
      <c r="BV111" s="181"/>
      <c r="BW111" s="181"/>
      <c r="BX111" s="181"/>
      <c r="BY111" s="181"/>
      <c r="BZ111" s="181"/>
      <c r="CA111" s="181"/>
      <c r="CB111" s="181"/>
      <c r="CC111" s="181"/>
      <c r="CD111" s="181"/>
      <c r="CE111" s="181"/>
      <c r="CF111" s="181"/>
      <c r="CG111" s="181"/>
      <c r="CH111" s="181"/>
      <c r="CI111" s="181"/>
      <c r="CJ111" s="181"/>
      <c r="CK111" s="181"/>
      <c r="CL111" s="181"/>
      <c r="CM111" s="181"/>
      <c r="CN111" s="181"/>
      <c r="CO111" s="181"/>
      <c r="CP111" s="181"/>
      <c r="CQ111" s="181"/>
      <c r="CR111" s="181"/>
      <c r="CS111" s="181"/>
      <c r="CT111" s="182"/>
      <c r="CU111" s="177"/>
      <c r="CV111" s="181"/>
      <c r="CW111" s="181"/>
      <c r="CX111" s="181"/>
      <c r="CY111" s="182"/>
      <c r="CZ111" s="182"/>
      <c r="DA111" s="200"/>
      <c r="DB111" s="179"/>
      <c r="DC111" s="181"/>
      <c r="DD111" s="181"/>
      <c r="DE111" s="179"/>
      <c r="DF111" s="181"/>
      <c r="DG111" s="181"/>
      <c r="DH111" s="178"/>
      <c r="DI111" s="178"/>
      <c r="DJ111" s="179"/>
      <c r="DK111" s="181"/>
      <c r="DL111" s="181"/>
      <c r="DM111" s="181"/>
      <c r="DN111" s="181"/>
      <c r="DO111" s="181"/>
      <c r="DP111" s="181"/>
      <c r="DQ111" s="181"/>
      <c r="DR111" s="181"/>
      <c r="DS111" s="181"/>
      <c r="DT111" s="181"/>
      <c r="DU111" s="181"/>
      <c r="DV111" s="181"/>
      <c r="DW111" s="181"/>
      <c r="DX111" s="181"/>
      <c r="DY111" s="181"/>
      <c r="DZ111" s="181"/>
      <c r="EA111" s="181"/>
      <c r="EB111" s="181"/>
      <c r="EC111" s="181"/>
      <c r="ED111" s="181"/>
      <c r="EE111" s="181"/>
      <c r="EF111" s="181"/>
      <c r="EG111" s="181"/>
      <c r="EH111" s="181"/>
      <c r="EI111" s="181"/>
      <c r="EJ111" s="181"/>
      <c r="EK111" s="181"/>
      <c r="EL111" s="181"/>
      <c r="EM111" s="181"/>
      <c r="EN111" s="181"/>
      <c r="EO111" s="181"/>
      <c r="EP111" s="181"/>
      <c r="EQ111" s="181"/>
      <c r="ER111" s="181"/>
      <c r="ES111" s="181"/>
      <c r="ET111" s="181"/>
      <c r="EU111" s="182"/>
      <c r="EV111" s="182"/>
      <c r="EW111" s="200"/>
      <c r="EX111" s="182"/>
      <c r="EY111" s="182"/>
      <c r="EZ111" s="200"/>
      <c r="FA111" s="182"/>
      <c r="FB111" s="182"/>
      <c r="FC111" s="200"/>
      <c r="FE111" s="72"/>
    </row>
    <row r="112" spans="1:161" ht="12.75">
      <c r="A112" s="187" t="s">
        <v>341</v>
      </c>
      <c r="B112" s="206" t="str">
        <f t="shared" ref="B112:AA112" ca="1" si="212">CONCATENATE("+",OFFSET(B112,-2,0,1,1)-OFFSET(B112,-3,0,1,1))</f>
        <v>+25137</v>
      </c>
      <c r="C112" s="207" t="str">
        <f t="shared" ca="1" si="212"/>
        <v>+2396</v>
      </c>
      <c r="D112" s="208" t="str">
        <f t="shared" ca="1" si="212"/>
        <v>+11246</v>
      </c>
      <c r="E112" s="321" t="str">
        <f t="shared" ca="1" si="212"/>
        <v>+11495</v>
      </c>
      <c r="F112" s="206" t="str">
        <f t="shared" ca="1" si="212"/>
        <v>+14134</v>
      </c>
      <c r="G112" s="207" t="str">
        <f t="shared" ca="1" si="212"/>
        <v>+1836</v>
      </c>
      <c r="H112" s="208" t="str">
        <f t="shared" ca="1" si="212"/>
        <v>+10728</v>
      </c>
      <c r="I112" s="322" t="str">
        <f t="shared" ca="1" si="212"/>
        <v>+1570</v>
      </c>
      <c r="J112" s="206" t="str">
        <f t="shared" ca="1" si="212"/>
        <v>+4</v>
      </c>
      <c r="K112" s="207" t="str">
        <f t="shared" ca="1" si="212"/>
        <v>+1</v>
      </c>
      <c r="L112" s="213" t="str">
        <f t="shared" ca="1" si="212"/>
        <v>+13</v>
      </c>
      <c r="M112" s="206" t="str">
        <f t="shared" ca="1" si="212"/>
        <v>+22</v>
      </c>
      <c r="N112" s="207" t="str">
        <f t="shared" ca="1" si="212"/>
        <v>+0</v>
      </c>
      <c r="O112" s="213" t="str">
        <f t="shared" ca="1" si="212"/>
        <v>+13</v>
      </c>
      <c r="P112" s="206" t="str">
        <f t="shared" ca="1" si="212"/>
        <v>+1469</v>
      </c>
      <c r="Q112" s="207" t="str">
        <f t="shared" ca="1" si="212"/>
        <v>+120</v>
      </c>
      <c r="R112" s="213" t="str">
        <f t="shared" ca="1" si="212"/>
        <v>+3500</v>
      </c>
      <c r="S112" s="206" t="str">
        <f t="shared" ca="1" si="212"/>
        <v>+46</v>
      </c>
      <c r="T112" s="207" t="str">
        <f t="shared" ca="1" si="212"/>
        <v>+18</v>
      </c>
      <c r="U112" s="213" t="str">
        <f t="shared" ca="1" si="212"/>
        <v>+130</v>
      </c>
      <c r="V112" s="206" t="str">
        <f t="shared" ca="1" si="212"/>
        <v>+1487</v>
      </c>
      <c r="W112" s="207" t="str">
        <f t="shared" ca="1" si="212"/>
        <v>+145</v>
      </c>
      <c r="X112" s="213" t="str">
        <f t="shared" ca="1" si="212"/>
        <v>+138</v>
      </c>
      <c r="Y112" s="206" t="str">
        <f t="shared" ca="1" si="212"/>
        <v>+1485</v>
      </c>
      <c r="Z112" s="207" t="str">
        <f t="shared" ca="1" si="212"/>
        <v>+4</v>
      </c>
      <c r="AA112" s="213" t="str">
        <f t="shared" ca="1" si="212"/>
        <v>+20</v>
      </c>
      <c r="AB112" s="323" t="str">
        <f t="shared" ref="AB112:AD112" ca="1" si="213">CONCATENATE("+",OFFSET(AB112,-2,0,1,1)-OFFSET(AB112,-3,0,1,1))</f>
        <v>+24</v>
      </c>
      <c r="AC112" s="207" t="str">
        <f t="shared" ca="1" si="213"/>
        <v>+1</v>
      </c>
      <c r="AD112" s="213" t="str">
        <f t="shared" ca="1" si="213"/>
        <v>+34</v>
      </c>
      <c r="AE112" s="206" t="str">
        <f t="shared" ref="AE112:AV112" ca="1" si="214">CONCATENATE("+",OFFSET(AE112,-2,0,1,1)-OFFSET(AE112,-3,0,1,1))</f>
        <v>+35</v>
      </c>
      <c r="AF112" s="207" t="str">
        <f t="shared" ca="1" si="214"/>
        <v>+1</v>
      </c>
      <c r="AG112" s="213" t="str">
        <f t="shared" ca="1" si="214"/>
        <v>+6</v>
      </c>
      <c r="AH112" s="206" t="str">
        <f t="shared" ca="1" si="214"/>
        <v>+5</v>
      </c>
      <c r="AI112" s="207" t="str">
        <f t="shared" ca="1" si="214"/>
        <v>+0</v>
      </c>
      <c r="AJ112" s="213" t="str">
        <f t="shared" ca="1" si="214"/>
        <v>+0</v>
      </c>
      <c r="AK112" s="206" t="str">
        <f t="shared" ca="1" si="214"/>
        <v>+36</v>
      </c>
      <c r="AL112" s="207" t="str">
        <f t="shared" ca="1" si="214"/>
        <v>+0</v>
      </c>
      <c r="AM112" s="213" t="str">
        <f t="shared" ca="1" si="214"/>
        <v>+62</v>
      </c>
      <c r="AN112" s="206" t="str">
        <f t="shared" ca="1" si="214"/>
        <v>+131</v>
      </c>
      <c r="AO112" s="207" t="str">
        <f t="shared" ca="1" si="214"/>
        <v>+9</v>
      </c>
      <c r="AP112" s="213" t="str">
        <f t="shared" ca="1" si="214"/>
        <v>+171</v>
      </c>
      <c r="AQ112" s="206" t="str">
        <f t="shared" ca="1" si="214"/>
        <v>+3546</v>
      </c>
      <c r="AR112" s="207" t="str">
        <f t="shared" ca="1" si="214"/>
        <v>+257</v>
      </c>
      <c r="AS112" s="213" t="str">
        <f t="shared" ca="1" si="214"/>
        <v>+3230</v>
      </c>
      <c r="AT112" s="206" t="str">
        <f t="shared" ca="1" si="214"/>
        <v>+7</v>
      </c>
      <c r="AU112" s="207" t="str">
        <f t="shared" ca="1" si="214"/>
        <v>+0</v>
      </c>
      <c r="AV112" s="213" t="str">
        <f t="shared" ca="1" si="214"/>
        <v>+1</v>
      </c>
      <c r="AW112" s="323" t="str">
        <f t="shared" ref="AW112:AY112" ca="1" si="215">CONCATENATE("+",OFFSET(AW112,-2,0,1,1)-OFFSET(AW112,-3,0,1,1))</f>
        <v>+85</v>
      </c>
      <c r="AX112" s="207" t="str">
        <f t="shared" ca="1" si="215"/>
        <v>+4</v>
      </c>
      <c r="AY112" s="213" t="str">
        <f t="shared" ca="1" si="215"/>
        <v>+300</v>
      </c>
      <c r="AZ112" s="206" t="str">
        <f t="shared" ref="AZ112:BQ112" ca="1" si="216">CONCATENATE("+",OFFSET(AZ112,-2,0,1,1)-OFFSET(AZ112,-3,0,1,1))</f>
        <v>+2051</v>
      </c>
      <c r="BA112" s="207" t="str">
        <f t="shared" ca="1" si="216"/>
        <v>+547</v>
      </c>
      <c r="BB112" s="213" t="str">
        <f t="shared" ca="1" si="216"/>
        <v>+831</v>
      </c>
      <c r="BC112" s="206" t="str">
        <f t="shared" ca="1" si="216"/>
        <v>+0</v>
      </c>
      <c r="BD112" s="207" t="str">
        <f t="shared" ca="1" si="216"/>
        <v>+0</v>
      </c>
      <c r="BE112" s="213" t="str">
        <f t="shared" ca="1" si="216"/>
        <v>+0</v>
      </c>
      <c r="BF112" s="206" t="str">
        <f t="shared" ca="1" si="216"/>
        <v>+10</v>
      </c>
      <c r="BG112" s="207" t="str">
        <f t="shared" ca="1" si="216"/>
        <v>+3</v>
      </c>
      <c r="BH112" s="213" t="str">
        <f t="shared" ca="1" si="216"/>
        <v>+0</v>
      </c>
      <c r="BI112" s="206" t="str">
        <f t="shared" ca="1" si="216"/>
        <v>+0</v>
      </c>
      <c r="BJ112" s="207" t="str">
        <f t="shared" ca="1" si="216"/>
        <v>+0</v>
      </c>
      <c r="BK112" s="213" t="str">
        <f t="shared" ca="1" si="216"/>
        <v>+0</v>
      </c>
      <c r="BL112" s="206" t="str">
        <f t="shared" ca="1" si="216"/>
        <v>+68</v>
      </c>
      <c r="BM112" s="207" t="str">
        <f t="shared" ca="1" si="216"/>
        <v>+10</v>
      </c>
      <c r="BN112" s="213" t="str">
        <f t="shared" ca="1" si="216"/>
        <v>+17</v>
      </c>
      <c r="BO112" s="206" t="str">
        <f t="shared" ca="1" si="216"/>
        <v>+0</v>
      </c>
      <c r="BP112" s="207" t="str">
        <f t="shared" ca="1" si="216"/>
        <v>+0</v>
      </c>
      <c r="BQ112" s="213" t="str">
        <f t="shared" ca="1" si="216"/>
        <v>+0</v>
      </c>
      <c r="BR112" s="323" t="str">
        <f t="shared" ref="BR112:BT112" ca="1" si="217">CONCATENATE("+",OFFSET(BR112,-2,0,1,1)-OFFSET(BR112,-3,0,1,1))</f>
        <v>+401</v>
      </c>
      <c r="BS112" s="207" t="str">
        <f t="shared" ca="1" si="217"/>
        <v>+77</v>
      </c>
      <c r="BT112" s="213" t="str">
        <f t="shared" ca="1" si="217"/>
        <v>+0</v>
      </c>
      <c r="BU112" s="206" t="str">
        <f t="shared" ref="BU112:CL112" ca="1" si="218">CONCATENATE("+",OFFSET(BU112,-2,0,1,1)-OFFSET(BU112,-3,0,1,1))</f>
        <v>+2</v>
      </c>
      <c r="BV112" s="207" t="str">
        <f t="shared" ca="1" si="218"/>
        <v>+1</v>
      </c>
      <c r="BW112" s="213" t="str">
        <f t="shared" ca="1" si="218"/>
        <v>+71</v>
      </c>
      <c r="BX112" s="206" t="str">
        <f t="shared" ca="1" si="218"/>
        <v>+2256</v>
      </c>
      <c r="BY112" s="207" t="str">
        <f t="shared" ca="1" si="218"/>
        <v>+454</v>
      </c>
      <c r="BZ112" s="213" t="str">
        <f t="shared" ca="1" si="218"/>
        <v>+1822</v>
      </c>
      <c r="CA112" s="206" t="str">
        <f t="shared" ca="1" si="218"/>
        <v>+0</v>
      </c>
      <c r="CB112" s="207" t="str">
        <f t="shared" ca="1" si="218"/>
        <v>+0</v>
      </c>
      <c r="CC112" s="213" t="str">
        <f t="shared" ca="1" si="218"/>
        <v>+0</v>
      </c>
      <c r="CD112" s="206" t="str">
        <f t="shared" ca="1" si="218"/>
        <v>+0</v>
      </c>
      <c r="CE112" s="207" t="str">
        <f t="shared" ca="1" si="218"/>
        <v>+0</v>
      </c>
      <c r="CF112" s="213" t="str">
        <f t="shared" ca="1" si="218"/>
        <v>+0</v>
      </c>
      <c r="CG112" s="206" t="str">
        <f t="shared" ca="1" si="218"/>
        <v>+12</v>
      </c>
      <c r="CH112" s="207" t="str">
        <f t="shared" ca="1" si="218"/>
        <v>+0</v>
      </c>
      <c r="CI112" s="213" t="str">
        <f t="shared" ca="1" si="218"/>
        <v>+0</v>
      </c>
      <c r="CJ112" s="206" t="str">
        <f t="shared" ca="1" si="218"/>
        <v>+0</v>
      </c>
      <c r="CK112" s="207" t="str">
        <f t="shared" ca="1" si="218"/>
        <v>+0</v>
      </c>
      <c r="CL112" s="213" t="str">
        <f t="shared" ca="1" si="218"/>
        <v>+0</v>
      </c>
      <c r="CM112" s="323" t="str">
        <f t="shared" ref="CM112:CO112" ca="1" si="219">CONCATENATE("+",OFFSET(CM112,-2,0,1,1)-OFFSET(CM112,-3,0,1,1))</f>
        <v>+28</v>
      </c>
      <c r="CN112" s="207" t="str">
        <f t="shared" ca="1" si="219"/>
        <v>+2</v>
      </c>
      <c r="CO112" s="213" t="str">
        <f t="shared" ca="1" si="219"/>
        <v>+0</v>
      </c>
      <c r="CP112" s="206" t="str">
        <f t="shared" ref="CP112:DG112" ca="1" si="220">CONCATENATE("+",OFFSET(CP112,-2,0,1,1)-OFFSET(CP112,-3,0,1,1))</f>
        <v>+8</v>
      </c>
      <c r="CQ112" s="207" t="str">
        <f t="shared" ca="1" si="220"/>
        <v>+2</v>
      </c>
      <c r="CR112" s="213" t="str">
        <f t="shared" ca="1" si="220"/>
        <v>+10</v>
      </c>
      <c r="CS112" s="206" t="str">
        <f t="shared" ca="1" si="220"/>
        <v>+18</v>
      </c>
      <c r="CT112" s="207" t="str">
        <f t="shared" ca="1" si="220"/>
        <v>+3</v>
      </c>
      <c r="CU112" s="213" t="str">
        <f t="shared" ca="1" si="220"/>
        <v>+21</v>
      </c>
      <c r="CV112" s="206" t="str">
        <f t="shared" ca="1" si="220"/>
        <v>+4</v>
      </c>
      <c r="CW112" s="207" t="str">
        <f t="shared" ca="1" si="220"/>
        <v>+0</v>
      </c>
      <c r="CX112" s="213" t="str">
        <f t="shared" ca="1" si="220"/>
        <v>+8</v>
      </c>
      <c r="CY112" s="206" t="str">
        <f t="shared" ca="1" si="220"/>
        <v>+76</v>
      </c>
      <c r="CZ112" s="207" t="str">
        <f t="shared" ca="1" si="220"/>
        <v>+3</v>
      </c>
      <c r="DA112" s="213" t="str">
        <f t="shared" ca="1" si="220"/>
        <v>+0</v>
      </c>
      <c r="DB112" s="206" t="str">
        <f t="shared" ca="1" si="220"/>
        <v>+0</v>
      </c>
      <c r="DC112" s="207" t="str">
        <f t="shared" ca="1" si="220"/>
        <v>+0</v>
      </c>
      <c r="DD112" s="213" t="str">
        <f t="shared" ca="1" si="220"/>
        <v>+1</v>
      </c>
      <c r="DE112" s="206" t="str">
        <f t="shared" ca="1" si="220"/>
        <v>+4</v>
      </c>
      <c r="DF112" s="207" t="str">
        <f t="shared" ca="1" si="220"/>
        <v>+0</v>
      </c>
      <c r="DG112" s="213" t="str">
        <f t="shared" ca="1" si="220"/>
        <v>+33</v>
      </c>
      <c r="DH112" s="323" t="str">
        <f t="shared" ref="DH112:DJ112" ca="1" si="221">CONCATENATE("+",OFFSET(DH112,-2,0,1,1)-OFFSET(DH112,-3,0,1,1))</f>
        <v>+49</v>
      </c>
      <c r="DI112" s="207" t="str">
        <f t="shared" ca="1" si="221"/>
        <v>+16</v>
      </c>
      <c r="DJ112" s="213" t="str">
        <f t="shared" ca="1" si="221"/>
        <v>+0</v>
      </c>
      <c r="DK112" s="206" t="str">
        <f t="shared" ref="DK112:EB112" ca="1" si="222">CONCATENATE("+",OFFSET(DK112,-2,0,1,1)-OFFSET(DK112,-3,0,1,1))</f>
        <v>+750</v>
      </c>
      <c r="DL112" s="207" t="str">
        <f t="shared" ca="1" si="222"/>
        <v>+67</v>
      </c>
      <c r="DM112" s="213" t="str">
        <f t="shared" ca="1" si="222"/>
        <v>+0</v>
      </c>
      <c r="DN112" s="206" t="str">
        <f t="shared" ca="1" si="222"/>
        <v>+306</v>
      </c>
      <c r="DO112" s="207" t="str">
        <f t="shared" ca="1" si="222"/>
        <v>+20</v>
      </c>
      <c r="DP112" s="213" t="str">
        <f t="shared" ca="1" si="222"/>
        <v>+93</v>
      </c>
      <c r="DQ112" s="206" t="str">
        <f t="shared" ca="1" si="222"/>
        <v>+657</v>
      </c>
      <c r="DR112" s="207" t="str">
        <f t="shared" ca="1" si="222"/>
        <v>+21</v>
      </c>
      <c r="DS112" s="213" t="str">
        <f t="shared" ca="1" si="222"/>
        <v>+0</v>
      </c>
      <c r="DT112" s="206" t="str">
        <f t="shared" ca="1" si="222"/>
        <v>+137</v>
      </c>
      <c r="DU112" s="207" t="str">
        <f t="shared" ca="1" si="222"/>
        <v>+8</v>
      </c>
      <c r="DV112" s="213" t="str">
        <f t="shared" ca="1" si="222"/>
        <v>+261</v>
      </c>
      <c r="DW112" s="206" t="str">
        <f t="shared" ca="1" si="222"/>
        <v>+4679</v>
      </c>
      <c r="DX112" s="207" t="str">
        <f t="shared" ca="1" si="222"/>
        <v>+455</v>
      </c>
      <c r="DY112" s="213" t="str">
        <f t="shared" ca="1" si="222"/>
        <v>+8</v>
      </c>
      <c r="DZ112" s="206" t="str">
        <f t="shared" ca="1" si="222"/>
        <v>+190</v>
      </c>
      <c r="EA112" s="207" t="str">
        <f t="shared" ca="1" si="222"/>
        <v>+27</v>
      </c>
      <c r="EB112" s="213" t="str">
        <f t="shared" ca="1" si="222"/>
        <v>+125</v>
      </c>
      <c r="EC112" s="323" t="str">
        <f t="shared" ref="EC112:EE112" ca="1" si="223">CONCATENATE("+",OFFSET(EC112,-2,0,1,1)-OFFSET(EC112,-3,0,1,1))</f>
        <v>+4268</v>
      </c>
      <c r="ED112" s="207" t="str">
        <f t="shared" ca="1" si="223"/>
        <v>+44</v>
      </c>
      <c r="EE112" s="213" t="str">
        <f t="shared" ca="1" si="223"/>
        <v>+155</v>
      </c>
      <c r="EF112" s="206" t="str">
        <f t="shared" ref="EF112:EW112" ca="1" si="224">CONCATENATE("+",OFFSET(EF112,-2,0,1,1)-OFFSET(EF112,-3,0,1,1))</f>
        <v>+1</v>
      </c>
      <c r="EG112" s="207" t="str">
        <f t="shared" ca="1" si="224"/>
        <v>+0</v>
      </c>
      <c r="EH112" s="213" t="str">
        <f t="shared" ca="1" si="224"/>
        <v>+1</v>
      </c>
      <c r="EI112" s="206" t="str">
        <f t="shared" ca="1" si="224"/>
        <v>+0</v>
      </c>
      <c r="EJ112" s="207" t="str">
        <f t="shared" ca="1" si="224"/>
        <v>+0</v>
      </c>
      <c r="EK112" s="213" t="str">
        <f t="shared" ca="1" si="224"/>
        <v>+0</v>
      </c>
      <c r="EL112" s="206" t="str">
        <f t="shared" ca="1" si="224"/>
        <v>+12</v>
      </c>
      <c r="EM112" s="207" t="str">
        <f t="shared" ca="1" si="224"/>
        <v>+1</v>
      </c>
      <c r="EN112" s="213" t="str">
        <f t="shared" ca="1" si="224"/>
        <v>+22</v>
      </c>
      <c r="EO112" s="206" t="str">
        <f t="shared" ca="1" si="224"/>
        <v>+5</v>
      </c>
      <c r="EP112" s="207" t="str">
        <f t="shared" ca="1" si="224"/>
        <v>+3</v>
      </c>
      <c r="EQ112" s="213" t="str">
        <f t="shared" ca="1" si="224"/>
        <v>+1</v>
      </c>
      <c r="ER112" s="206" t="str">
        <f t="shared" ca="1" si="224"/>
        <v>+392</v>
      </c>
      <c r="ES112" s="207" t="str">
        <f t="shared" ca="1" si="224"/>
        <v>+40</v>
      </c>
      <c r="ET112" s="213" t="str">
        <f t="shared" ca="1" si="224"/>
        <v>+0</v>
      </c>
      <c r="EU112" s="206" t="str">
        <f t="shared" ca="1" si="224"/>
        <v>+110</v>
      </c>
      <c r="EV112" s="207" t="str">
        <f t="shared" ca="1" si="224"/>
        <v>+22</v>
      </c>
      <c r="EW112" s="213" t="str">
        <f t="shared" ca="1" si="224"/>
        <v>+136</v>
      </c>
      <c r="EX112" s="323" t="str">
        <f t="shared" ref="EX112:FC112" ca="1" si="225">CONCATENATE("+",OFFSET(EX112,-2,0,1,1)-OFFSET(EX112,-3,0,1,1))</f>
        <v>+261</v>
      </c>
      <c r="EY112" s="207" t="str">
        <f t="shared" ca="1" si="225"/>
        <v>+10</v>
      </c>
      <c r="EZ112" s="213" t="str">
        <f t="shared" ca="1" si="225"/>
        <v>+12</v>
      </c>
      <c r="FA112" s="323" t="str">
        <f t="shared" ca="1" si="225"/>
        <v>+0</v>
      </c>
      <c r="FB112" s="207" t="str">
        <f t="shared" ca="1" si="225"/>
        <v>+0</v>
      </c>
      <c r="FC112" s="213" t="str">
        <f t="shared" ca="1" si="225"/>
        <v>+0</v>
      </c>
      <c r="FE112" s="72"/>
    </row>
    <row r="113" spans="1:161" ht="12.75">
      <c r="A113" s="187" t="s">
        <v>395</v>
      </c>
      <c r="B113" s="578">
        <f ca="1">OFFSET(B113,-3,1,1,1)*100/OFFSET(B113,-3,0,1,1)</f>
        <v>9.727675413621915</v>
      </c>
      <c r="C113" s="531"/>
      <c r="D113" s="531"/>
      <c r="E113" s="603"/>
      <c r="F113" s="615">
        <f ca="1">OFFSET(F113,-3,1,1,1)*100/OFFSET(F113,-3,0,1,1)</f>
        <v>10.173584653272597</v>
      </c>
      <c r="G113" s="531"/>
      <c r="H113" s="531"/>
      <c r="I113" s="531"/>
      <c r="J113" s="578">
        <f ca="1">OFFSET(J113,-3,1,1,1)*100/OFFSET(J113,-3,0,1,1)</f>
        <v>5.160390516039052</v>
      </c>
      <c r="K113" s="531"/>
      <c r="L113" s="532"/>
      <c r="M113" s="578">
        <f ca="1">OFFSET(M113,-3,1,1,1)*100/OFFSET(M113,-3,0,1,1)</f>
        <v>4.4520547945205475</v>
      </c>
      <c r="N113" s="531"/>
      <c r="O113" s="532"/>
      <c r="P113" s="578">
        <f ca="1">OFFSET(P113,-3,1,1,1)*100/OFFSET(P113,-3,0,1,1)</f>
        <v>3.2089353780693202</v>
      </c>
      <c r="Q113" s="531"/>
      <c r="R113" s="532"/>
      <c r="S113" s="578">
        <f ca="1">OFFSET(S113,-3,1,1,1)*100/OFFSET(S113,-3,0,1,1)</f>
        <v>3.1767489016559649</v>
      </c>
      <c r="T113" s="531"/>
      <c r="U113" s="532"/>
      <c r="V113" s="578">
        <f ca="1">OFFSET(V113,-3,1,1,1)*100/OFFSET(V113,-3,0,1,1)</f>
        <v>14.576194882825201</v>
      </c>
      <c r="W113" s="531"/>
      <c r="X113" s="532"/>
      <c r="Y113" s="578">
        <f ca="1">OFFSET(Y113,-3,1,1,1)*100/OFFSET(Y113,-3,0,1,1)</f>
        <v>0.81417624521072796</v>
      </c>
      <c r="Z113" s="531"/>
      <c r="AA113" s="532"/>
      <c r="AB113" s="578">
        <f ca="1">OFFSET(AB113,-3,1,1,1)*100/OFFSET(AB113,-3,0,1,1)</f>
        <v>3.7433155080213902</v>
      </c>
      <c r="AC113" s="531"/>
      <c r="AD113" s="532"/>
      <c r="AE113" s="578">
        <f ca="1">OFFSET(AE113,-3,1,1,1)*100/OFFSET(AE113,-3,0,1,1)</f>
        <v>4.6286329386437028</v>
      </c>
      <c r="AF113" s="531"/>
      <c r="AG113" s="532"/>
      <c r="AH113" s="578">
        <f ca="1">OFFSET(AH113,-3,1,1,1)*100/OFFSET(AH113,-3,0,1,1)</f>
        <v>1.5544041450777202</v>
      </c>
      <c r="AI113" s="531"/>
      <c r="AJ113" s="532"/>
      <c r="AK113" s="578">
        <f ca="1">OFFSET(AK113,-3,1,1,1)*100/OFFSET(AK113,-3,0,1,1)</f>
        <v>2.464604090194022</v>
      </c>
      <c r="AL113" s="531"/>
      <c r="AM113" s="532"/>
      <c r="AN113" s="578">
        <f ca="1">OFFSET(AN113,-3,1,1,1)*100/OFFSET(AN113,-3,0,1,1)</f>
        <v>4.7205291142523667</v>
      </c>
      <c r="AO113" s="531"/>
      <c r="AP113" s="532"/>
      <c r="AQ113" s="578">
        <f ca="1">OFFSET(AQ113,-3,1,1,1)*100/OFFSET(AQ113,-3,0,1,1)</f>
        <v>10.415064182608262</v>
      </c>
      <c r="AR113" s="531"/>
      <c r="AS113" s="532"/>
      <c r="AT113" s="578">
        <f ca="1">OFFSET(AT113,-3,1,1,1)*100/OFFSET(AT113,-3,0,1,1)</f>
        <v>2.6058631921824102</v>
      </c>
      <c r="AU113" s="531"/>
      <c r="AV113" s="532"/>
      <c r="AW113" s="578">
        <f ca="1">OFFSET(AW113,-3,1,1,1)*100/OFFSET(AW113,-3,0,1,1)</f>
        <v>2.5336091003102377</v>
      </c>
      <c r="AX113" s="531"/>
      <c r="AY113" s="532"/>
      <c r="AZ113" s="578">
        <f ca="1">OFFSET(AZ113,-3,1,1,1)*100/OFFSET(AZ113,-3,0,1,1)</f>
        <v>17.674455113948561</v>
      </c>
      <c r="BA113" s="531"/>
      <c r="BB113" s="532"/>
      <c r="BF113" s="578">
        <f ca="1">OFFSET(BF113,-3,1,1,1)*100/OFFSET(BF113,-3,0,1,1)</f>
        <v>5.1670378619153672</v>
      </c>
      <c r="BG113" s="531"/>
      <c r="BH113" s="532"/>
      <c r="BI113" s="578">
        <f ca="1">OFFSET(BI113,-3,1,1,1)*100/OFFSET(BI113,-3,0,1,1)</f>
        <v>1.098901098901099</v>
      </c>
      <c r="BJ113" s="531"/>
      <c r="BK113" s="532"/>
      <c r="BL113" s="578">
        <f ca="1">OFFSET(BL113,-3,1,1,1)*100/OFFSET(BL113,-3,0,1,1)</f>
        <v>10.03024193548387</v>
      </c>
      <c r="BM113" s="531"/>
      <c r="BN113" s="532"/>
      <c r="BR113" s="578">
        <f ca="1">OFFSET(BR113,-3,1,1,1)*100/OFFSET(BR113,-3,0,1,1)</f>
        <v>4.3892154357270634</v>
      </c>
      <c r="BS113" s="531"/>
      <c r="BT113" s="532"/>
      <c r="BU113" s="578">
        <f ca="1">OFFSET(BU113,-3,1,1,1)*100/OFFSET(BU113,-3,0,1,1)</f>
        <v>0.56401579244218836</v>
      </c>
      <c r="BV113" s="531"/>
      <c r="BW113" s="532"/>
      <c r="BX113" s="578">
        <f ca="1">OFFSET(BX113,-3,1,1,1)*100/OFFSET(BX113,-3,0,1,1)</f>
        <v>13.305890921932594</v>
      </c>
      <c r="BY113" s="531"/>
      <c r="BZ113" s="532"/>
      <c r="CA113" s="578">
        <f ca="1">OFFSET(CA113,-3,1,1,1)*100/OFFSET(CA113,-3,0,1,1)</f>
        <v>2.4691358024691357</v>
      </c>
      <c r="CB113" s="531"/>
      <c r="CC113" s="532"/>
      <c r="CD113" s="578">
        <f ca="1">OFFSET(CD113,-3,1,1,1)*100/OFFSET(CD113,-3,0,1,1)</f>
        <v>2.3529411764705883</v>
      </c>
      <c r="CE113" s="531"/>
      <c r="CF113" s="532"/>
      <c r="CG113" s="578">
        <f ca="1">OFFSET(CG113,-3,1,1,1)*100/OFFSET(CG113,-3,0,1,1)</f>
        <v>0.67658998646820023</v>
      </c>
      <c r="CH113" s="531"/>
      <c r="CI113" s="532"/>
      <c r="CJ113" s="578">
        <f ca="1">OFFSET(CJ113,-3,1,1,1)*100/OFFSET(CJ113,-3,0,1,1)</f>
        <v>1.2345679012345678</v>
      </c>
      <c r="CK113" s="531"/>
      <c r="CL113" s="532"/>
      <c r="CM113" s="578">
        <f ca="1">OFFSET(CM113,-3,1,1,1)*100/OFFSET(CM113,-3,0,1,1)</f>
        <v>2.7903469079939667</v>
      </c>
      <c r="CN113" s="531"/>
      <c r="CO113" s="532"/>
      <c r="CP113" s="578">
        <f ca="1">OFFSET(CP113,-3,1,1,1)*100/OFFSET(CP113,-3,0,1,1)</f>
        <v>2.1079258010118043</v>
      </c>
      <c r="CQ113" s="531"/>
      <c r="CR113" s="532"/>
      <c r="CS113" s="578">
        <f ca="1">OFFSET(CS113,-3,1,1,1)*100/OFFSET(CS113,-3,0,1,1)</f>
        <v>4.408163265306122</v>
      </c>
      <c r="CT113" s="531"/>
      <c r="CU113" s="532"/>
      <c r="CV113" s="578">
        <f ca="1">OFFSET(CV113,-3,1,1,1)*100/OFFSET(CV113,-3,0,1,1)</f>
        <v>0.69605568445475641</v>
      </c>
      <c r="CW113" s="531"/>
      <c r="CX113" s="532"/>
      <c r="CY113" s="578">
        <f ca="1">OFFSET(CY113,-3,1,1,1)*100/OFFSET(CY113,-3,0,1,1)</f>
        <v>2.7472527472527473</v>
      </c>
      <c r="CZ113" s="531"/>
      <c r="DA113" s="532"/>
      <c r="DB113" s="578">
        <f ca="1">OFFSET(DB113,-3,1,1,1)*100/OFFSET(DB113,-3,0,1,1)</f>
        <v>3.1914893617021276</v>
      </c>
      <c r="DC113" s="531"/>
      <c r="DD113" s="532"/>
      <c r="DE113" s="578">
        <f ca="1">OFFSET(DE113,-3,1,1,1)*100/OFFSET(DE113,-3,0,1,1)</f>
        <v>1.6025641025641026</v>
      </c>
      <c r="DF113" s="531"/>
      <c r="DG113" s="532"/>
      <c r="DH113" s="578">
        <f ca="1">OFFSET(DH113,-3,1,1,1)*100/OFFSET(DH113,-3,0,1,1)</f>
        <v>2.5396379963519014</v>
      </c>
      <c r="DI113" s="531"/>
      <c r="DJ113" s="532"/>
      <c r="DK113" s="578">
        <f ca="1">OFFSET(DK113,-3,1,1,1)*100/OFFSET(DK113,-3,0,1,1)</f>
        <v>11.206383232106704</v>
      </c>
      <c r="DL113" s="531"/>
      <c r="DM113" s="532"/>
      <c r="DN113" s="578">
        <f ca="1">OFFSET(DN113,-3,1,1,1)*100/OFFSET(DN113,-3,0,1,1)</f>
        <v>3.961221724173877</v>
      </c>
      <c r="DO113" s="531"/>
      <c r="DP113" s="532"/>
      <c r="DQ113" s="578">
        <f ca="1">OFFSET(DQ113,-3,1,1,1)*100/OFFSET(DQ113,-3,0,1,1)</f>
        <v>3.5229832718209271</v>
      </c>
      <c r="DR113" s="531"/>
      <c r="DS113" s="532"/>
      <c r="DT113" s="578">
        <f ca="1">OFFSET(DT113,-3,1,1,1)*100/OFFSET(DT113,-3,0,1,1)</f>
        <v>2.8370868675051186</v>
      </c>
      <c r="DU113" s="531"/>
      <c r="DV113" s="532"/>
      <c r="DW113" s="578">
        <f ca="1">OFFSET(DW113,-3,1,1,1)*100/OFFSET(DW113,-3,0,1,1)</f>
        <v>13.150471589419233</v>
      </c>
      <c r="DX113" s="531"/>
      <c r="DY113" s="532"/>
      <c r="DZ113" s="578">
        <f ca="1">OFFSET(DZ113,-3,1,1,1)*100/OFFSET(DZ113,-3,0,1,1)</f>
        <v>5.3491495076096687</v>
      </c>
      <c r="EA113" s="531"/>
      <c r="EB113" s="532"/>
      <c r="EC113" s="578">
        <f ca="1">OFFSET(EC113,-3,1,1,1)*100/OFFSET(EC113,-3,0,1,1)</f>
        <v>0.85948939963073789</v>
      </c>
      <c r="ED113" s="531"/>
      <c r="EE113" s="532"/>
      <c r="EF113" s="578">
        <f ca="1">OFFSET(EF113,-3,1,1,1)*100/OFFSET(EF113,-3,0,1,1)</f>
        <v>8.4415584415584419</v>
      </c>
      <c r="EG113" s="531"/>
      <c r="EH113" s="532"/>
      <c r="EI113" s="578">
        <f ca="1">OFFSET(EI113,-3,1,1,1)*100/OFFSET(EI113,-3,0,1,1)</f>
        <v>1.9519519519519519</v>
      </c>
      <c r="EJ113" s="531"/>
      <c r="EK113" s="532"/>
      <c r="EL113" s="578">
        <f ca="1">OFFSET(EL113,-3,1,1,1)*100/OFFSET(EL113,-3,0,1,1)</f>
        <v>1.1082693947144076</v>
      </c>
      <c r="EM113" s="531"/>
      <c r="EN113" s="532"/>
      <c r="EO113" s="578">
        <f ca="1">OFFSET(EO113,-3,1,1,1)*100/OFFSET(EO113,-3,0,1,1)</f>
        <v>5.7677902621722845</v>
      </c>
      <c r="EP113" s="531"/>
      <c r="EQ113" s="532"/>
      <c r="ER113" s="578">
        <f ca="1">OFFSET(ER113,-3,1,1,1)*100/OFFSET(ER113,-3,0,1,1)</f>
        <v>10.692292075522772</v>
      </c>
      <c r="ES113" s="531"/>
      <c r="ET113" s="532"/>
      <c r="EU113" s="578">
        <f ca="1">OFFSET(EU113,-3,1,1,1)*100/OFFSET(EU113,-3,0,1,1)</f>
        <v>5.1778299332009388</v>
      </c>
      <c r="EV113" s="531"/>
      <c r="EW113" s="532"/>
      <c r="EX113" s="578">
        <f ca="1">OFFSET(EX113,-3,1,1,1)*100/OFFSET(EX113,-3,0,1,1)</f>
        <v>2.6444833625218913</v>
      </c>
      <c r="EY113" s="531"/>
      <c r="EZ113" s="532"/>
      <c r="FE113" s="72"/>
    </row>
    <row r="114" spans="1:161" ht="12.75">
      <c r="A114" s="576" t="s">
        <v>399</v>
      </c>
      <c r="B114" s="531"/>
      <c r="C114" s="531"/>
      <c r="D114" s="531"/>
      <c r="E114" s="531"/>
      <c r="F114" s="531"/>
      <c r="G114" s="531"/>
      <c r="H114" s="531"/>
      <c r="I114" s="531"/>
      <c r="L114" s="324"/>
      <c r="M114" s="325"/>
      <c r="N114" s="325"/>
      <c r="O114" s="325"/>
      <c r="P114" s="614">
        <f ca="1">OFFSET(P114,-4,0,1,1)*100/81400000</f>
        <v>0.18016339066339065</v>
      </c>
      <c r="Q114" s="540"/>
      <c r="R114" s="542"/>
      <c r="S114" s="614">
        <f ca="1">OFFSET(S114,-4,0,1,1)*100/8693294</f>
        <v>0.17018865346093207</v>
      </c>
      <c r="T114" s="540"/>
      <c r="U114" s="542"/>
      <c r="V114" s="614">
        <f ca="1">OFFSET(V114,-4,0,1,1)*100/11661769</f>
        <v>0.34285535925124222</v>
      </c>
      <c r="W114" s="540"/>
      <c r="X114" s="542"/>
      <c r="Z114" s="324"/>
      <c r="AA114" s="324"/>
      <c r="AB114" s="324"/>
      <c r="AC114" s="324"/>
      <c r="AD114" s="324"/>
      <c r="AE114" s="325"/>
      <c r="AF114" s="325"/>
      <c r="AG114" s="325"/>
      <c r="AH114" s="324"/>
      <c r="AI114" s="324"/>
      <c r="AJ114" s="324"/>
      <c r="AK114" s="324"/>
      <c r="AL114" s="324"/>
      <c r="AM114" s="324"/>
      <c r="AN114" s="573">
        <f ca="1">OFFSET(AN114,-4,0,1,1)*100/5784226</f>
        <v>0.13331083536500821</v>
      </c>
      <c r="AO114" s="574"/>
      <c r="AP114" s="550"/>
      <c r="AQ114" s="573">
        <f ca="1">OFFSET(AQ114,-4,0,1,1)*100/45694924</f>
        <v>0.43814494581498814</v>
      </c>
      <c r="AR114" s="574"/>
      <c r="AS114" s="550"/>
      <c r="AT114" s="324"/>
      <c r="AW114" s="573">
        <f ca="1">OFFSET(AW114,-4,0,1,1)*100/5637026</f>
        <v>6.8617742760100811E-2</v>
      </c>
      <c r="AX114" s="574"/>
      <c r="AY114" s="550"/>
      <c r="AZ114" s="573">
        <f ca="1">OFFSET(AZ114,-4,0,1,1)*100/67063703</f>
        <v>0.17096729657173868</v>
      </c>
      <c r="BA114" s="574"/>
      <c r="BB114" s="550"/>
      <c r="BF114" s="573">
        <f ca="1">OFFSET(BF114,-4,0,1,1)*100/10747350</f>
        <v>2.0888870279650331E-2</v>
      </c>
      <c r="BG114" s="574"/>
      <c r="BH114" s="550"/>
      <c r="BL114" s="186"/>
      <c r="BM114" s="186"/>
      <c r="BN114" s="186"/>
      <c r="BR114" s="573">
        <f ca="1">OFFSET(BR114,-4,0,1,1)*100/4757551</f>
        <v>0.32899279482237814</v>
      </c>
      <c r="BS114" s="574"/>
      <c r="BT114" s="550"/>
      <c r="BU114" s="573">
        <f ca="1">OFFSET(BU114,-4,0,1,1)*100/340579</f>
        <v>0.52058406419655934</v>
      </c>
      <c r="BV114" s="574"/>
      <c r="BW114" s="550"/>
      <c r="BX114" s="573">
        <f ca="1">OFFSET(BX114,-4,0,1,1)*100/60014605</f>
        <v>0.30197316136630409</v>
      </c>
      <c r="BY114" s="574"/>
      <c r="BZ114" s="550"/>
      <c r="CA114" s="573">
        <f ca="1">OFFSET(CA114,-4,0,1,1)*100/102700</f>
        <v>7.8870496592015574E-2</v>
      </c>
      <c r="CB114" s="574"/>
      <c r="CC114" s="550"/>
      <c r="CD114" s="186"/>
      <c r="CE114" s="186"/>
      <c r="CF114" s="186"/>
      <c r="CJ114" s="565" t="s">
        <v>695</v>
      </c>
      <c r="CK114" s="531"/>
      <c r="CL114" s="531"/>
      <c r="CP114" s="573">
        <f ca="1">OFFSET(CP114,-4,0,1,1)*100/629374</f>
        <v>0.56532363904451088</v>
      </c>
      <c r="CQ114" s="574"/>
      <c r="CR114" s="550"/>
      <c r="DB114" s="565" t="s">
        <v>696</v>
      </c>
      <c r="DC114" s="531"/>
      <c r="DD114" s="531"/>
      <c r="DE114" s="186"/>
      <c r="DF114" s="186"/>
      <c r="DG114" s="186"/>
      <c r="DH114" s="573">
        <f ca="1">OFFSET(DH114,-4,0,1,1)*100/5533332</f>
        <v>0.12880123585571948</v>
      </c>
      <c r="DI114" s="574"/>
      <c r="DJ114" s="550"/>
      <c r="DK114" s="573">
        <f ca="1">OFFSET(DK114,-4,0,1,1)*100/17208505</f>
        <v>0.19518255653236583</v>
      </c>
      <c r="DL114" s="574"/>
      <c r="DM114" s="550"/>
      <c r="DN114" s="573">
        <f ca="1">OFFSET(DN114,-4,0,1,1)*100/38654433</f>
        <v>2.4817334663788757E-2</v>
      </c>
      <c r="DO114" s="574"/>
      <c r="DP114" s="550"/>
      <c r="DQ114" s="573">
        <f ca="1">OFFSET(DQ114,-4,0,1,1)*100/10133734</f>
        <v>0.20587672816357722</v>
      </c>
      <c r="DR114" s="574"/>
      <c r="DS114" s="550"/>
      <c r="DT114" s="573">
        <f ca="1">OFFSET(DT114,-4,0,1,1)*100/10581190</f>
        <v>6.4624111276708959E-2</v>
      </c>
      <c r="DU114" s="574"/>
      <c r="DV114" s="550"/>
      <c r="DW114" s="573">
        <f ca="1">OFFSET(DW114,-4,0,1,1)*100/66674536</f>
        <v>0.18875421945193591</v>
      </c>
      <c r="DX114" s="574"/>
      <c r="DY114" s="550"/>
      <c r="DZ114" s="573">
        <f ca="1">OFFSET(DZ114,-4,0,1,1)*100/18781642</f>
        <v>4.7578374670329673E-2</v>
      </c>
      <c r="EA114" s="574"/>
      <c r="EB114" s="550"/>
      <c r="EC114" s="573">
        <f ca="1">OFFSET(EC114,-4,0,1,1)*100/146585274</f>
        <v>3.2145793853753685E-2</v>
      </c>
      <c r="ED114" s="574"/>
      <c r="EE114" s="550"/>
      <c r="EF114" s="186"/>
      <c r="EG114" s="186"/>
      <c r="EH114" s="186"/>
      <c r="EI114" s="573">
        <f ca="1">OFFSET(EI114,-4,0,1,1)*100/8657837</f>
        <v>6.9232072629687988E-2</v>
      </c>
      <c r="EJ114" s="574"/>
      <c r="EK114" s="550"/>
      <c r="EO114" s="186"/>
      <c r="EP114" s="186"/>
      <c r="EQ114" s="186"/>
      <c r="ER114" s="573">
        <f ca="1">OFFSET(ER114,-4,0,1,1)*100/10173073</f>
        <v>0.14525601064693039</v>
      </c>
      <c r="ES114" s="574"/>
      <c r="ET114" s="550"/>
      <c r="EU114" s="573">
        <f ca="1">OFFSET(EU114,-4,0,1,1)*100/8766502</f>
        <v>0.31591848151064128</v>
      </c>
      <c r="EV114" s="574"/>
      <c r="EW114" s="550"/>
      <c r="EX114" s="186"/>
      <c r="EY114" s="186"/>
      <c r="EZ114" s="186"/>
      <c r="FE114" s="72"/>
    </row>
    <row r="115" spans="1:161" ht="12.75">
      <c r="A115" s="576" t="s">
        <v>697</v>
      </c>
      <c r="B115" s="531"/>
      <c r="C115" s="531"/>
      <c r="D115" s="531"/>
      <c r="E115" s="531"/>
      <c r="F115" s="531"/>
      <c r="G115" s="531"/>
      <c r="H115" s="531"/>
      <c r="I115" s="531"/>
      <c r="P115" s="575" t="s">
        <v>698</v>
      </c>
      <c r="Q115" s="540"/>
      <c r="R115" s="542"/>
      <c r="S115" s="575" t="s">
        <v>699</v>
      </c>
      <c r="T115" s="540"/>
      <c r="U115" s="542"/>
      <c r="V115" s="575" t="s">
        <v>700</v>
      </c>
      <c r="W115" s="540"/>
      <c r="X115" s="542"/>
      <c r="AN115" s="575" t="s">
        <v>701</v>
      </c>
      <c r="AO115" s="540"/>
      <c r="AP115" s="542"/>
      <c r="AQ115" s="575" t="s">
        <v>702</v>
      </c>
      <c r="AR115" s="540"/>
      <c r="AS115" s="542"/>
      <c r="AW115" s="575" t="s">
        <v>703</v>
      </c>
      <c r="AX115" s="540"/>
      <c r="AY115" s="542"/>
      <c r="AZ115" s="575" t="s">
        <v>704</v>
      </c>
      <c r="BA115" s="540"/>
      <c r="BB115" s="542"/>
      <c r="BF115" s="575" t="s">
        <v>705</v>
      </c>
      <c r="BG115" s="540"/>
      <c r="BH115" s="542"/>
      <c r="BR115" s="575" t="s">
        <v>706</v>
      </c>
      <c r="BS115" s="540"/>
      <c r="BT115" s="542"/>
      <c r="BU115" s="575" t="s">
        <v>707</v>
      </c>
      <c r="BV115" s="540"/>
      <c r="BW115" s="542"/>
      <c r="BX115" s="575" t="s">
        <v>708</v>
      </c>
      <c r="BY115" s="540"/>
      <c r="BZ115" s="542"/>
      <c r="CA115" s="575" t="s">
        <v>709</v>
      </c>
      <c r="CB115" s="540"/>
      <c r="CC115" s="542"/>
      <c r="CD115" s="186"/>
      <c r="CE115" s="186"/>
      <c r="CF115" s="186"/>
      <c r="CP115" s="575" t="s">
        <v>710</v>
      </c>
      <c r="CQ115" s="540"/>
      <c r="CR115" s="542"/>
      <c r="DH115" s="575" t="s">
        <v>711</v>
      </c>
      <c r="DI115" s="540"/>
      <c r="DJ115" s="542"/>
      <c r="DK115" s="575" t="s">
        <v>712</v>
      </c>
      <c r="DL115" s="540"/>
      <c r="DM115" s="542"/>
      <c r="DN115" s="575" t="s">
        <v>713</v>
      </c>
      <c r="DO115" s="540"/>
      <c r="DP115" s="542"/>
      <c r="DQ115" s="575" t="s">
        <v>714</v>
      </c>
      <c r="DR115" s="540"/>
      <c r="DS115" s="542"/>
      <c r="DT115" s="575" t="s">
        <v>715</v>
      </c>
      <c r="DU115" s="540"/>
      <c r="DV115" s="542"/>
      <c r="DW115" s="575" t="s">
        <v>716</v>
      </c>
      <c r="DX115" s="540"/>
      <c r="DY115" s="542"/>
      <c r="DZ115" s="575" t="s">
        <v>717</v>
      </c>
      <c r="EA115" s="540"/>
      <c r="EB115" s="542"/>
      <c r="EC115" s="575" t="s">
        <v>718</v>
      </c>
      <c r="ED115" s="540"/>
      <c r="EE115" s="542"/>
      <c r="EI115" s="575" t="s">
        <v>719</v>
      </c>
      <c r="EJ115" s="540"/>
      <c r="EK115" s="542"/>
      <c r="ER115" s="575" t="s">
        <v>720</v>
      </c>
      <c r="ES115" s="540"/>
      <c r="ET115" s="542"/>
      <c r="EU115" s="575" t="s">
        <v>721</v>
      </c>
      <c r="EV115" s="540"/>
      <c r="EW115" s="542"/>
      <c r="FE115" s="72"/>
    </row>
    <row r="116" spans="1:161" ht="12.75">
      <c r="A116" s="576" t="s">
        <v>722</v>
      </c>
      <c r="B116" s="531"/>
      <c r="C116" s="531"/>
      <c r="D116" s="531"/>
      <c r="E116" s="531"/>
      <c r="F116" s="531"/>
      <c r="G116" s="531"/>
      <c r="H116" s="531"/>
      <c r="I116" s="531"/>
      <c r="P116" s="327">
        <f ca="1">P114*1000</f>
        <v>180.16339066339066</v>
      </c>
      <c r="Q116" s="544" t="s">
        <v>431</v>
      </c>
      <c r="R116" s="532"/>
      <c r="S116" s="327">
        <f ca="1">S114*1000</f>
        <v>170.18865346093207</v>
      </c>
      <c r="T116" s="544" t="s">
        <v>431</v>
      </c>
      <c r="U116" s="532"/>
      <c r="V116" s="327">
        <f ca="1">V114*1000</f>
        <v>342.85535925124225</v>
      </c>
      <c r="W116" s="544" t="s">
        <v>431</v>
      </c>
      <c r="X116" s="532"/>
      <c r="AN116" s="327">
        <f ca="1">AN114*1000</f>
        <v>133.31083536500822</v>
      </c>
      <c r="AO116" s="544" t="s">
        <v>431</v>
      </c>
      <c r="AP116" s="532"/>
      <c r="AQ116" s="327">
        <f ca="1">AQ114*1000</f>
        <v>438.14494581498815</v>
      </c>
      <c r="AR116" s="544" t="s">
        <v>431</v>
      </c>
      <c r="AS116" s="532"/>
      <c r="AW116" s="327">
        <f ca="1">AW114*1000</f>
        <v>68.617742760100811</v>
      </c>
      <c r="AX116" s="544" t="s">
        <v>431</v>
      </c>
      <c r="AY116" s="532"/>
      <c r="AZ116" s="327">
        <f ca="1">AZ114*1000</f>
        <v>170.96729657173867</v>
      </c>
      <c r="BA116" s="544" t="s">
        <v>431</v>
      </c>
      <c r="BB116" s="532"/>
      <c r="BF116" s="327">
        <f ca="1">BF114*1000</f>
        <v>20.88887027965033</v>
      </c>
      <c r="BG116" s="544" t="s">
        <v>431</v>
      </c>
      <c r="BH116" s="532"/>
      <c r="BR116" s="327">
        <f ca="1">BR114*1000</f>
        <v>328.99279482237813</v>
      </c>
      <c r="BS116" s="544" t="s">
        <v>431</v>
      </c>
      <c r="BT116" s="532"/>
      <c r="BU116" s="327">
        <f ca="1">BU114*1000</f>
        <v>520.58406419655932</v>
      </c>
      <c r="BV116" s="544" t="s">
        <v>431</v>
      </c>
      <c r="BW116" s="532"/>
      <c r="BX116" s="327">
        <f ca="1">BX114*1000</f>
        <v>301.97316136630411</v>
      </c>
      <c r="BY116" s="544" t="s">
        <v>431</v>
      </c>
      <c r="BZ116" s="532"/>
      <c r="CA116" s="327">
        <f ca="1">CA114*1000</f>
        <v>78.87049659201557</v>
      </c>
      <c r="CB116" s="544" t="s">
        <v>431</v>
      </c>
      <c r="CC116" s="532"/>
      <c r="CD116" s="186"/>
      <c r="CE116" s="186"/>
      <c r="CF116" s="186"/>
      <c r="CP116" s="327">
        <f ca="1">CP114*1000</f>
        <v>565.32363904451086</v>
      </c>
      <c r="CQ116" s="544" t="s">
        <v>431</v>
      </c>
      <c r="CR116" s="532"/>
      <c r="DH116" s="327">
        <f ca="1">DH114*1000</f>
        <v>128.80123585571948</v>
      </c>
      <c r="DI116" s="544" t="s">
        <v>431</v>
      </c>
      <c r="DJ116" s="532"/>
      <c r="DK116" s="327">
        <f ca="1">DK114*1000</f>
        <v>195.18255653236582</v>
      </c>
      <c r="DL116" s="544" t="s">
        <v>431</v>
      </c>
      <c r="DM116" s="532"/>
      <c r="DN116" s="327">
        <f ca="1">DN114*1000</f>
        <v>24.817334663788756</v>
      </c>
      <c r="DO116" s="544" t="s">
        <v>431</v>
      </c>
      <c r="DP116" s="532"/>
      <c r="DQ116" s="327">
        <f ca="1">DQ114*1000</f>
        <v>205.87672816357721</v>
      </c>
      <c r="DR116" s="544" t="s">
        <v>431</v>
      </c>
      <c r="DS116" s="532"/>
      <c r="DT116" s="327">
        <f ca="1">DT114*1000</f>
        <v>64.624111276708959</v>
      </c>
      <c r="DU116" s="544" t="s">
        <v>431</v>
      </c>
      <c r="DV116" s="532"/>
      <c r="DW116" s="327">
        <f ca="1">DW114*1000</f>
        <v>188.75421945193591</v>
      </c>
      <c r="DX116" s="544" t="s">
        <v>431</v>
      </c>
      <c r="DY116" s="532"/>
      <c r="DZ116" s="327">
        <f ca="1">DZ114*1000</f>
        <v>47.578374670329673</v>
      </c>
      <c r="EA116" s="544" t="s">
        <v>431</v>
      </c>
      <c r="EB116" s="532"/>
      <c r="EC116" s="327">
        <f ca="1">EC114*1000</f>
        <v>32.145793853753688</v>
      </c>
      <c r="ED116" s="544" t="s">
        <v>431</v>
      </c>
      <c r="EE116" s="532"/>
      <c r="EI116" s="327">
        <f ca="1">EI114*1000</f>
        <v>69.232072629687991</v>
      </c>
      <c r="EJ116" s="544" t="s">
        <v>431</v>
      </c>
      <c r="EK116" s="532"/>
      <c r="ER116" s="327">
        <f ca="1">ER114*1000</f>
        <v>145.25601064693038</v>
      </c>
      <c r="ES116" s="544" t="s">
        <v>431</v>
      </c>
      <c r="ET116" s="532"/>
      <c r="EU116" s="327">
        <f ca="1">EU114*1000</f>
        <v>315.9184815106413</v>
      </c>
      <c r="EV116" s="544" t="s">
        <v>431</v>
      </c>
      <c r="EW116" s="532"/>
      <c r="FE116" s="72"/>
    </row>
    <row r="117" spans="1:161" ht="12.75">
      <c r="A117" s="328"/>
      <c r="AZ117" s="613" t="s">
        <v>723</v>
      </c>
      <c r="BA117" s="531"/>
      <c r="BB117" s="531"/>
      <c r="BX117" s="244"/>
      <c r="BY117" s="1"/>
      <c r="BZ117" s="1"/>
      <c r="CA117" s="244"/>
      <c r="CB117" s="1"/>
      <c r="CC117" s="1"/>
      <c r="CD117" s="186"/>
      <c r="CE117" s="186"/>
      <c r="CF117" s="186"/>
      <c r="CP117" s="244"/>
      <c r="CQ117" s="1"/>
      <c r="CR117" s="1"/>
      <c r="FE117" s="72"/>
    </row>
    <row r="118" spans="1:161" ht="12.75">
      <c r="A118" s="609" t="s">
        <v>724</v>
      </c>
      <c r="B118" s="531"/>
      <c r="C118" s="531"/>
      <c r="I118" s="329">
        <f>COUNTA(J2:FC2)</f>
        <v>50</v>
      </c>
      <c r="AZ118" s="632" t="s">
        <v>725</v>
      </c>
      <c r="BA118" s="531"/>
      <c r="BB118" s="531"/>
      <c r="BY118" s="186"/>
      <c r="BZ118" s="186"/>
      <c r="CA118" s="123"/>
      <c r="CB118" s="123"/>
      <c r="CC118" s="123"/>
      <c r="CD118" s="123"/>
      <c r="CE118" s="123"/>
      <c r="CF118" s="123"/>
      <c r="FE118" s="72"/>
    </row>
    <row r="119" spans="1:161" ht="12.75">
      <c r="A119" s="188"/>
      <c r="AZ119" s="531"/>
      <c r="BA119" s="531"/>
      <c r="BB119" s="531"/>
      <c r="EU119" s="183"/>
      <c r="FE119" s="72"/>
    </row>
    <row r="120" spans="1:161" ht="9" customHeight="1">
      <c r="A120" s="610" t="s">
        <v>351</v>
      </c>
      <c r="B120" s="536"/>
      <c r="C120" s="536"/>
      <c r="D120" s="536"/>
      <c r="E120" s="536"/>
      <c r="F120" s="536"/>
      <c r="G120" s="536"/>
      <c r="H120" s="536"/>
      <c r="I120" s="537"/>
      <c r="J120" s="555" t="s">
        <v>726</v>
      </c>
      <c r="K120" s="536"/>
      <c r="L120" s="536"/>
      <c r="M120" s="536"/>
      <c r="N120" s="536"/>
      <c r="O120" s="536"/>
      <c r="P120" s="536"/>
      <c r="Q120" s="536"/>
      <c r="R120" s="536"/>
      <c r="S120" s="536"/>
      <c r="T120" s="536"/>
      <c r="U120" s="536"/>
      <c r="V120" s="536"/>
      <c r="W120" s="536"/>
      <c r="X120" s="536"/>
      <c r="Y120" s="536"/>
      <c r="Z120" s="536"/>
      <c r="AA120" s="536"/>
      <c r="AB120" s="536"/>
      <c r="AC120" s="536"/>
      <c r="AD120" s="536"/>
      <c r="AE120" s="536"/>
      <c r="AF120" s="536"/>
      <c r="AG120" s="536"/>
      <c r="AH120" s="536"/>
      <c r="AI120" s="536"/>
      <c r="AJ120" s="536"/>
      <c r="AK120" s="536"/>
      <c r="AL120" s="536"/>
      <c r="AM120" s="536"/>
      <c r="AN120" s="536"/>
      <c r="AO120" s="537"/>
      <c r="AZ120" s="531"/>
      <c r="BA120" s="531"/>
      <c r="BB120" s="531"/>
      <c r="DE120" s="123"/>
      <c r="DF120" s="123"/>
      <c r="DG120" s="123"/>
      <c r="DH120" s="123"/>
      <c r="DI120" s="123"/>
      <c r="DJ120" s="123"/>
      <c r="DK120" s="123"/>
      <c r="DL120" s="123"/>
      <c r="DM120" s="123"/>
      <c r="DN120" s="123"/>
      <c r="DO120" s="123"/>
      <c r="DP120" s="123"/>
      <c r="DQ120" s="123"/>
      <c r="DR120" s="123"/>
      <c r="DS120" s="123"/>
      <c r="DT120" s="123"/>
      <c r="DU120" s="123"/>
      <c r="DV120" s="123"/>
      <c r="DW120" s="123" t="s">
        <v>727</v>
      </c>
      <c r="FE120" s="72"/>
    </row>
    <row r="121" spans="1:161" ht="6.75" customHeight="1">
      <c r="A121" s="543"/>
      <c r="B121" s="531"/>
      <c r="C121" s="531"/>
      <c r="D121" s="531"/>
      <c r="E121" s="531"/>
      <c r="F121" s="531"/>
      <c r="G121" s="531"/>
      <c r="H121" s="531"/>
      <c r="I121" s="532"/>
      <c r="J121" s="543"/>
      <c r="K121" s="531"/>
      <c r="L121" s="531"/>
      <c r="M121" s="531"/>
      <c r="N121" s="531"/>
      <c r="O121" s="531"/>
      <c r="P121" s="531"/>
      <c r="Q121" s="531"/>
      <c r="R121" s="531"/>
      <c r="S121" s="531"/>
      <c r="T121" s="531"/>
      <c r="U121" s="531"/>
      <c r="V121" s="531"/>
      <c r="W121" s="531"/>
      <c r="X121" s="531"/>
      <c r="Y121" s="531"/>
      <c r="Z121" s="531"/>
      <c r="AA121" s="531"/>
      <c r="AB121" s="531"/>
      <c r="AC121" s="531"/>
      <c r="AD121" s="531"/>
      <c r="AE121" s="531"/>
      <c r="AF121" s="531"/>
      <c r="AG121" s="531"/>
      <c r="AH121" s="531"/>
      <c r="AI121" s="531"/>
      <c r="AJ121" s="531"/>
      <c r="AK121" s="531"/>
      <c r="AL121" s="531"/>
      <c r="AM121" s="531"/>
      <c r="AN121" s="531"/>
      <c r="AO121" s="532"/>
      <c r="AZ121" s="531"/>
      <c r="BA121" s="531"/>
      <c r="BB121" s="531"/>
      <c r="DE121" s="123"/>
      <c r="DF121" s="123"/>
      <c r="DG121" s="123"/>
      <c r="DH121" s="123"/>
      <c r="DI121" s="123"/>
      <c r="DJ121" s="123"/>
      <c r="DK121" s="123"/>
      <c r="DL121" s="123"/>
      <c r="DM121" s="123"/>
      <c r="DN121" s="123"/>
      <c r="DO121" s="123"/>
      <c r="DP121" s="123"/>
      <c r="DQ121" s="123"/>
      <c r="DR121" s="123"/>
      <c r="DS121" s="123"/>
      <c r="DT121" s="123"/>
      <c r="DU121" s="123"/>
      <c r="DV121" s="123"/>
      <c r="DW121" s="123"/>
      <c r="FE121" s="72"/>
    </row>
    <row r="122" spans="1:161" ht="18" customHeight="1">
      <c r="A122" s="621" t="s">
        <v>13</v>
      </c>
      <c r="B122" s="531"/>
      <c r="C122" s="611" t="s">
        <v>15</v>
      </c>
      <c r="D122" s="531"/>
      <c r="E122" s="531"/>
      <c r="F122" s="531"/>
      <c r="G122" s="531"/>
      <c r="H122" s="531"/>
      <c r="I122" s="532"/>
      <c r="J122" s="543"/>
      <c r="K122" s="531"/>
      <c r="L122" s="531"/>
      <c r="M122" s="531"/>
      <c r="N122" s="531"/>
      <c r="O122" s="531"/>
      <c r="P122" s="531"/>
      <c r="Q122" s="531"/>
      <c r="R122" s="531"/>
      <c r="S122" s="531"/>
      <c r="T122" s="531"/>
      <c r="U122" s="531"/>
      <c r="V122" s="531"/>
      <c r="W122" s="531"/>
      <c r="X122" s="531"/>
      <c r="Y122" s="531"/>
      <c r="Z122" s="531"/>
      <c r="AA122" s="531"/>
      <c r="AB122" s="531"/>
      <c r="AC122" s="531"/>
      <c r="AD122" s="531"/>
      <c r="AE122" s="531"/>
      <c r="AF122" s="531"/>
      <c r="AG122" s="531"/>
      <c r="AH122" s="531"/>
      <c r="AI122" s="531"/>
      <c r="AJ122" s="531"/>
      <c r="AK122" s="531"/>
      <c r="AL122" s="531"/>
      <c r="AM122" s="531"/>
      <c r="AN122" s="531"/>
      <c r="AO122" s="532"/>
      <c r="AZ122" s="531"/>
      <c r="BA122" s="531"/>
      <c r="BB122" s="531"/>
      <c r="DE122" s="123"/>
      <c r="DF122" s="123"/>
      <c r="DG122" s="123"/>
      <c r="DH122" s="123"/>
      <c r="DI122" s="123"/>
      <c r="DJ122" s="123"/>
      <c r="DK122" s="123"/>
      <c r="DL122" s="123"/>
      <c r="DM122" s="123"/>
      <c r="DN122" s="123"/>
      <c r="DO122" s="123"/>
      <c r="DP122" s="123"/>
      <c r="DQ122" s="123"/>
      <c r="DR122" s="123"/>
      <c r="DS122" s="123"/>
      <c r="DT122" s="123"/>
      <c r="DU122" s="123"/>
      <c r="DV122" s="123"/>
      <c r="DW122" s="123"/>
      <c r="FE122" s="72"/>
    </row>
    <row r="123" spans="1:161" ht="9.75" customHeight="1">
      <c r="A123" s="543"/>
      <c r="B123" s="531"/>
      <c r="C123" s="531"/>
      <c r="D123" s="531"/>
      <c r="E123" s="531"/>
      <c r="F123" s="531"/>
      <c r="G123" s="531"/>
      <c r="H123" s="531"/>
      <c r="I123" s="532"/>
      <c r="J123" s="556"/>
      <c r="K123" s="531"/>
      <c r="L123" s="531"/>
      <c r="M123" s="531"/>
      <c r="N123" s="531"/>
      <c r="O123" s="531"/>
      <c r="P123" s="531"/>
      <c r="Q123" s="531"/>
      <c r="R123" s="531"/>
      <c r="S123" s="531"/>
      <c r="T123" s="531"/>
      <c r="U123" s="531"/>
      <c r="V123" s="531"/>
      <c r="W123" s="531"/>
      <c r="X123" s="531"/>
      <c r="Y123" s="531"/>
      <c r="Z123" s="531"/>
      <c r="AA123" s="531"/>
      <c r="AB123" s="531"/>
      <c r="AC123" s="531"/>
      <c r="AD123" s="531"/>
      <c r="AE123" s="531"/>
      <c r="AF123" s="531"/>
      <c r="AG123" s="531"/>
      <c r="AH123" s="531"/>
      <c r="AI123" s="531"/>
      <c r="AJ123" s="531"/>
      <c r="AK123" s="531"/>
      <c r="AL123" s="531"/>
      <c r="AM123" s="531"/>
      <c r="AN123" s="531"/>
      <c r="AO123" s="532"/>
      <c r="AZ123" s="531"/>
      <c r="BA123" s="531"/>
      <c r="BB123" s="531"/>
      <c r="DE123" s="123"/>
      <c r="DF123" s="123"/>
      <c r="DG123" s="123"/>
      <c r="DH123" s="123"/>
      <c r="DI123" s="123"/>
      <c r="DJ123" s="123"/>
      <c r="DK123" s="123"/>
      <c r="DL123" s="123"/>
      <c r="DM123" s="123"/>
      <c r="DN123" s="123"/>
      <c r="DO123" s="123"/>
      <c r="DP123" s="123"/>
      <c r="DQ123" s="123"/>
      <c r="DR123" s="123"/>
      <c r="DS123" s="123"/>
      <c r="DT123" s="123"/>
      <c r="DU123" s="123"/>
      <c r="DV123" s="123"/>
      <c r="DW123" s="123"/>
      <c r="FE123" s="72"/>
    </row>
    <row r="124" spans="1:161" ht="33.75" customHeight="1">
      <c r="A124" s="543"/>
      <c r="B124" s="531"/>
      <c r="C124" s="531"/>
      <c r="D124" s="531"/>
      <c r="E124" s="531"/>
      <c r="F124" s="531"/>
      <c r="G124" s="531"/>
      <c r="H124" s="531"/>
      <c r="I124" s="532"/>
      <c r="J124" s="556" t="s">
        <v>728</v>
      </c>
      <c r="K124" s="531"/>
      <c r="L124" s="531"/>
      <c r="M124" s="531"/>
      <c r="N124" s="531"/>
      <c r="O124" s="531"/>
      <c r="P124" s="531"/>
      <c r="Q124" s="531"/>
      <c r="R124" s="531"/>
      <c r="S124" s="531"/>
      <c r="T124" s="531"/>
      <c r="U124" s="531"/>
      <c r="V124" s="531"/>
      <c r="W124" s="531"/>
      <c r="X124" s="531"/>
      <c r="Y124" s="531"/>
      <c r="Z124" s="531"/>
      <c r="AA124" s="531"/>
      <c r="AB124" s="531"/>
      <c r="AC124" s="531"/>
      <c r="AD124" s="531"/>
      <c r="AE124" s="531"/>
      <c r="AF124" s="531"/>
      <c r="AG124" s="531"/>
      <c r="AH124" s="531"/>
      <c r="AI124" s="531"/>
      <c r="AJ124" s="531"/>
      <c r="AK124" s="531"/>
      <c r="AL124" s="531"/>
      <c r="AM124" s="531"/>
      <c r="AN124" s="531"/>
      <c r="AO124" s="532"/>
      <c r="AP124" s="191"/>
      <c r="AQ124" s="191"/>
      <c r="AR124" s="191"/>
      <c r="AS124" s="191"/>
      <c r="AT124" s="191"/>
      <c r="AU124" s="191"/>
      <c r="AV124" s="191"/>
      <c r="AW124" s="191"/>
      <c r="AX124" s="191"/>
      <c r="AY124" s="191"/>
      <c r="AZ124" s="531"/>
      <c r="BA124" s="531"/>
      <c r="BB124" s="531"/>
      <c r="FE124" s="72"/>
    </row>
    <row r="125" spans="1:161" ht="9" customHeight="1">
      <c r="A125" s="612"/>
      <c r="B125" s="531"/>
      <c r="C125" s="531"/>
      <c r="D125" s="531"/>
      <c r="E125" s="531"/>
      <c r="F125" s="531"/>
      <c r="G125" s="531"/>
      <c r="H125" s="531"/>
      <c r="I125" s="532"/>
      <c r="J125" s="543"/>
      <c r="K125" s="531"/>
      <c r="L125" s="531"/>
      <c r="M125" s="531"/>
      <c r="N125" s="531"/>
      <c r="O125" s="531"/>
      <c r="P125" s="531"/>
      <c r="Q125" s="531"/>
      <c r="R125" s="531"/>
      <c r="S125" s="531"/>
      <c r="T125" s="531"/>
      <c r="U125" s="531"/>
      <c r="V125" s="531"/>
      <c r="W125" s="531"/>
      <c r="X125" s="531"/>
      <c r="Y125" s="531"/>
      <c r="Z125" s="531"/>
      <c r="AA125" s="531"/>
      <c r="AB125" s="531"/>
      <c r="AC125" s="531"/>
      <c r="AD125" s="531"/>
      <c r="AE125" s="531"/>
      <c r="AF125" s="531"/>
      <c r="AG125" s="531"/>
      <c r="AH125" s="531"/>
      <c r="AI125" s="531"/>
      <c r="AJ125" s="531"/>
      <c r="AK125" s="531"/>
      <c r="AL125" s="531"/>
      <c r="AM125" s="531"/>
      <c r="AN125" s="531"/>
      <c r="AO125" s="532"/>
      <c r="AP125" s="191"/>
      <c r="AQ125" s="191"/>
      <c r="AR125" s="191"/>
      <c r="AS125" s="191"/>
      <c r="AT125" s="191"/>
      <c r="AU125" s="191"/>
      <c r="AV125" s="191"/>
      <c r="AW125" s="191"/>
      <c r="AX125" s="191"/>
      <c r="AY125" s="191"/>
      <c r="AZ125" s="531"/>
      <c r="BA125" s="531"/>
      <c r="BB125" s="531"/>
      <c r="FE125" s="72"/>
    </row>
    <row r="126" spans="1:161" ht="23.25" customHeight="1">
      <c r="A126" s="622" t="s">
        <v>352</v>
      </c>
      <c r="B126" s="531"/>
      <c r="C126" s="623" t="s">
        <v>353</v>
      </c>
      <c r="D126" s="531"/>
      <c r="E126" s="531"/>
      <c r="F126" s="531"/>
      <c r="G126" s="531"/>
      <c r="H126" s="531"/>
      <c r="I126" s="532"/>
      <c r="J126" s="543"/>
      <c r="K126" s="531"/>
      <c r="L126" s="531"/>
      <c r="M126" s="531"/>
      <c r="N126" s="531"/>
      <c r="O126" s="531"/>
      <c r="P126" s="531"/>
      <c r="Q126" s="531"/>
      <c r="R126" s="531"/>
      <c r="S126" s="531"/>
      <c r="T126" s="531"/>
      <c r="U126" s="531"/>
      <c r="V126" s="531"/>
      <c r="W126" s="531"/>
      <c r="X126" s="531"/>
      <c r="Y126" s="531"/>
      <c r="Z126" s="531"/>
      <c r="AA126" s="531"/>
      <c r="AB126" s="531"/>
      <c r="AC126" s="531"/>
      <c r="AD126" s="531"/>
      <c r="AE126" s="531"/>
      <c r="AF126" s="531"/>
      <c r="AG126" s="531"/>
      <c r="AH126" s="531"/>
      <c r="AI126" s="531"/>
      <c r="AJ126" s="531"/>
      <c r="AK126" s="531"/>
      <c r="AL126" s="531"/>
      <c r="AM126" s="531"/>
      <c r="AN126" s="531"/>
      <c r="AO126" s="532"/>
      <c r="AP126" s="191"/>
      <c r="AQ126" s="191"/>
      <c r="AR126" s="191"/>
      <c r="AS126" s="191"/>
      <c r="AT126" s="191"/>
      <c r="AU126" s="191"/>
      <c r="AV126" s="191"/>
      <c r="AW126" s="191"/>
      <c r="AX126" s="191"/>
      <c r="AY126" s="191"/>
      <c r="AZ126" s="531"/>
      <c r="BA126" s="531"/>
      <c r="BB126" s="531"/>
      <c r="FE126" s="72"/>
    </row>
    <row r="127" spans="1:161" ht="8.25" customHeight="1">
      <c r="A127" s="543"/>
      <c r="B127" s="531"/>
      <c r="C127" s="531"/>
      <c r="D127" s="531"/>
      <c r="E127" s="531"/>
      <c r="F127" s="531"/>
      <c r="G127" s="531"/>
      <c r="H127" s="531"/>
      <c r="I127" s="532"/>
      <c r="J127" s="556"/>
      <c r="K127" s="531"/>
      <c r="L127" s="531"/>
      <c r="M127" s="531"/>
      <c r="N127" s="531"/>
      <c r="O127" s="531"/>
      <c r="P127" s="531"/>
      <c r="Q127" s="531"/>
      <c r="R127" s="531"/>
      <c r="S127" s="531"/>
      <c r="T127" s="531"/>
      <c r="U127" s="531"/>
      <c r="V127" s="531"/>
      <c r="W127" s="531"/>
      <c r="X127" s="531"/>
      <c r="Y127" s="531"/>
      <c r="Z127" s="531"/>
      <c r="AA127" s="531"/>
      <c r="AB127" s="531"/>
      <c r="AC127" s="531"/>
      <c r="AD127" s="531"/>
      <c r="AE127" s="531"/>
      <c r="AF127" s="531"/>
      <c r="AG127" s="531"/>
      <c r="AH127" s="531"/>
      <c r="AI127" s="531"/>
      <c r="AJ127" s="531"/>
      <c r="AK127" s="531"/>
      <c r="AL127" s="531"/>
      <c r="AM127" s="531"/>
      <c r="AN127" s="531"/>
      <c r="AO127" s="532"/>
      <c r="AP127" s="191"/>
      <c r="AQ127" s="191"/>
      <c r="AR127" s="191"/>
      <c r="AS127" s="191"/>
      <c r="AT127" s="191"/>
      <c r="AU127" s="191"/>
      <c r="AV127" s="191"/>
      <c r="AW127" s="191"/>
      <c r="AX127" s="191"/>
      <c r="AY127" s="191"/>
      <c r="AZ127" s="531"/>
      <c r="BA127" s="531"/>
      <c r="BB127" s="531"/>
      <c r="FE127" s="72"/>
    </row>
    <row r="128" spans="1:161" ht="12.75">
      <c r="A128" s="543"/>
      <c r="B128" s="531"/>
      <c r="C128" s="531"/>
      <c r="D128" s="531"/>
      <c r="E128" s="531"/>
      <c r="F128" s="531"/>
      <c r="G128" s="531"/>
      <c r="H128" s="531"/>
      <c r="I128" s="532"/>
      <c r="J128" s="556" t="s">
        <v>729</v>
      </c>
      <c r="K128" s="531"/>
      <c r="L128" s="531"/>
      <c r="M128" s="531"/>
      <c r="N128" s="531"/>
      <c r="O128" s="531"/>
      <c r="P128" s="531"/>
      <c r="Q128" s="531"/>
      <c r="R128" s="531"/>
      <c r="S128" s="531"/>
      <c r="T128" s="531"/>
      <c r="U128" s="531"/>
      <c r="V128" s="531"/>
      <c r="W128" s="531"/>
      <c r="X128" s="531"/>
      <c r="Y128" s="531"/>
      <c r="Z128" s="531"/>
      <c r="AA128" s="531"/>
      <c r="AB128" s="531"/>
      <c r="AC128" s="531"/>
      <c r="AD128" s="531"/>
      <c r="AE128" s="531"/>
      <c r="AF128" s="531"/>
      <c r="AG128" s="531"/>
      <c r="AH128" s="531"/>
      <c r="AI128" s="531"/>
      <c r="AJ128" s="531"/>
      <c r="AK128" s="531"/>
      <c r="AL128" s="531"/>
      <c r="AM128" s="531"/>
      <c r="AN128" s="531"/>
      <c r="AO128" s="532"/>
      <c r="AP128" s="191"/>
      <c r="AQ128" s="191"/>
      <c r="AR128" s="191"/>
      <c r="AS128" s="191"/>
      <c r="AT128" s="191"/>
      <c r="AU128" s="191"/>
      <c r="AV128" s="191"/>
      <c r="AW128" s="191"/>
      <c r="AX128" s="191"/>
      <c r="AY128" s="191"/>
      <c r="AZ128" s="531"/>
      <c r="BA128" s="531"/>
      <c r="BB128" s="531"/>
      <c r="FE128" s="72"/>
    </row>
    <row r="129" spans="1:161" ht="8.25" customHeight="1">
      <c r="A129" s="621"/>
      <c r="B129" s="531"/>
      <c r="C129" s="531"/>
      <c r="D129" s="531"/>
      <c r="E129" s="531"/>
      <c r="F129" s="531"/>
      <c r="G129" s="531"/>
      <c r="H129" s="531"/>
      <c r="I129" s="532"/>
      <c r="J129" s="556"/>
      <c r="K129" s="531"/>
      <c r="L129" s="531"/>
      <c r="M129" s="531"/>
      <c r="N129" s="531"/>
      <c r="O129" s="531"/>
      <c r="P129" s="531"/>
      <c r="Q129" s="531"/>
      <c r="R129" s="531"/>
      <c r="S129" s="531"/>
      <c r="T129" s="531"/>
      <c r="U129" s="531"/>
      <c r="V129" s="531"/>
      <c r="W129" s="531"/>
      <c r="X129" s="531"/>
      <c r="Y129" s="531"/>
      <c r="Z129" s="531"/>
      <c r="AA129" s="531"/>
      <c r="AB129" s="531"/>
      <c r="AC129" s="531"/>
      <c r="AD129" s="531"/>
      <c r="AE129" s="531"/>
      <c r="AF129" s="531"/>
      <c r="AG129" s="531"/>
      <c r="AH129" s="531"/>
      <c r="AI129" s="531"/>
      <c r="AJ129" s="531"/>
      <c r="AK129" s="531"/>
      <c r="AL129" s="531"/>
      <c r="AM129" s="531"/>
      <c r="AN129" s="531"/>
      <c r="AO129" s="532"/>
      <c r="AP129" s="191"/>
      <c r="AQ129" s="191"/>
      <c r="AR129" s="191"/>
      <c r="AS129" s="191"/>
      <c r="AT129" s="191"/>
      <c r="AU129" s="191"/>
      <c r="AV129" s="191"/>
      <c r="AW129" s="191"/>
      <c r="AX129" s="191"/>
      <c r="AY129" s="191"/>
      <c r="AZ129" s="531"/>
      <c r="BA129" s="531"/>
      <c r="BB129" s="531"/>
      <c r="FE129" s="72"/>
    </row>
    <row r="130" spans="1:161" ht="12.75">
      <c r="A130" s="621" t="s">
        <v>356</v>
      </c>
      <c r="B130" s="531"/>
      <c r="C130" s="611" t="s">
        <v>357</v>
      </c>
      <c r="D130" s="531"/>
      <c r="E130" s="531"/>
      <c r="F130" s="531"/>
      <c r="G130" s="531"/>
      <c r="H130" s="531"/>
      <c r="I130" s="532"/>
      <c r="J130" s="608" t="s">
        <v>730</v>
      </c>
      <c r="K130" s="540"/>
      <c r="L130" s="540"/>
      <c r="M130" s="540"/>
      <c r="N130" s="540"/>
      <c r="O130" s="540"/>
      <c r="P130" s="540"/>
      <c r="Q130" s="540"/>
      <c r="R130" s="540"/>
      <c r="S130" s="540"/>
      <c r="T130" s="540"/>
      <c r="U130" s="540"/>
      <c r="V130" s="540"/>
      <c r="W130" s="540"/>
      <c r="X130" s="540"/>
      <c r="Y130" s="540"/>
      <c r="Z130" s="540"/>
      <c r="AA130" s="540"/>
      <c r="AB130" s="540"/>
      <c r="AC130" s="540"/>
      <c r="AD130" s="540"/>
      <c r="AE130" s="540"/>
      <c r="AF130" s="540"/>
      <c r="AG130" s="540"/>
      <c r="AH130" s="540"/>
      <c r="AI130" s="540"/>
      <c r="AJ130" s="540"/>
      <c r="AK130" s="540"/>
      <c r="AL130" s="540"/>
      <c r="AM130" s="540"/>
      <c r="AN130" s="540"/>
      <c r="AO130" s="542"/>
      <c r="AP130" s="191"/>
      <c r="AQ130" s="191"/>
      <c r="AR130" s="191"/>
      <c r="AS130" s="191"/>
      <c r="AT130" s="191"/>
      <c r="AU130" s="191"/>
      <c r="AV130" s="191"/>
      <c r="AW130" s="191"/>
      <c r="AX130" s="191"/>
      <c r="AY130" s="191"/>
      <c r="AZ130" s="531"/>
      <c r="BA130" s="531"/>
      <c r="BB130" s="531"/>
      <c r="FE130" s="72"/>
    </row>
    <row r="131" spans="1:161" ht="8.25" customHeight="1">
      <c r="A131" s="621"/>
      <c r="B131" s="531"/>
      <c r="C131" s="531"/>
      <c r="D131" s="531"/>
      <c r="E131" s="531"/>
      <c r="F131" s="531"/>
      <c r="G131" s="531"/>
      <c r="H131" s="531"/>
      <c r="I131" s="532"/>
      <c r="J131" s="556"/>
      <c r="K131" s="531"/>
      <c r="L131" s="531"/>
      <c r="M131" s="531"/>
      <c r="N131" s="531"/>
      <c r="O131" s="531"/>
      <c r="P131" s="531"/>
      <c r="Q131" s="531"/>
      <c r="R131" s="531"/>
      <c r="S131" s="531"/>
      <c r="T131" s="531"/>
      <c r="U131" s="531"/>
      <c r="V131" s="531"/>
      <c r="W131" s="531"/>
      <c r="X131" s="531"/>
      <c r="Y131" s="531"/>
      <c r="Z131" s="531"/>
      <c r="AA131" s="531"/>
      <c r="AB131" s="531"/>
      <c r="AC131" s="531"/>
      <c r="AD131" s="531"/>
      <c r="AE131" s="531"/>
      <c r="AF131" s="531"/>
      <c r="AG131" s="531"/>
      <c r="AH131" s="531"/>
      <c r="AI131" s="531"/>
      <c r="AJ131" s="531"/>
      <c r="AK131" s="531"/>
      <c r="AL131" s="531"/>
      <c r="AM131" s="531"/>
      <c r="AN131" s="531"/>
      <c r="AO131" s="532"/>
      <c r="AP131" s="191"/>
      <c r="AQ131" s="191"/>
      <c r="AR131" s="191"/>
      <c r="AS131" s="191"/>
      <c r="AT131" s="191"/>
      <c r="AU131" s="191"/>
      <c r="AV131" s="191"/>
      <c r="AW131" s="191"/>
      <c r="AX131" s="191"/>
      <c r="AY131" s="191"/>
      <c r="AZ131" s="531"/>
      <c r="BA131" s="531"/>
      <c r="BB131" s="531"/>
      <c r="FE131" s="72"/>
    </row>
    <row r="132" spans="1:161" ht="12.75">
      <c r="A132" s="616" t="s">
        <v>731</v>
      </c>
      <c r="B132" s="540"/>
      <c r="C132" s="617" t="s">
        <v>732</v>
      </c>
      <c r="D132" s="540"/>
      <c r="E132" s="540"/>
      <c r="F132" s="540"/>
      <c r="G132" s="540"/>
      <c r="H132" s="540"/>
      <c r="I132" s="542"/>
      <c r="J132" s="191"/>
      <c r="K132" s="191"/>
      <c r="L132" s="191"/>
      <c r="M132" s="191"/>
      <c r="N132" s="191"/>
      <c r="O132" s="191"/>
      <c r="P132" s="191"/>
      <c r="Q132" s="191"/>
      <c r="R132" s="191"/>
      <c r="S132" s="191"/>
      <c r="T132" s="191"/>
      <c r="U132" s="191"/>
      <c r="V132" s="191"/>
      <c r="W132" s="191"/>
      <c r="X132" s="191"/>
      <c r="Y132" s="191"/>
      <c r="Z132" s="191"/>
      <c r="AA132" s="191"/>
      <c r="AB132" s="191"/>
      <c r="AC132" s="191"/>
      <c r="AD132" s="191"/>
      <c r="AE132" s="191"/>
      <c r="AF132" s="191"/>
      <c r="AG132" s="191"/>
      <c r="AH132" s="191"/>
      <c r="AI132" s="191"/>
      <c r="AJ132" s="191"/>
      <c r="AK132" s="191"/>
      <c r="AL132" s="191"/>
      <c r="AM132" s="191"/>
      <c r="AN132" s="191"/>
      <c r="AO132" s="191"/>
      <c r="AP132" s="191"/>
      <c r="AQ132" s="191"/>
      <c r="AR132" s="191"/>
      <c r="AS132" s="191"/>
      <c r="AT132" s="191"/>
      <c r="AU132" s="191"/>
      <c r="AV132" s="191"/>
      <c r="AW132" s="191"/>
      <c r="AX132" s="191"/>
      <c r="AY132" s="191"/>
      <c r="AZ132" s="531"/>
      <c r="BA132" s="531"/>
      <c r="BB132" s="531"/>
      <c r="FE132" s="72"/>
    </row>
    <row r="133" spans="1:161" ht="8.25" customHeight="1">
      <c r="A133" s="618"/>
      <c r="B133" s="531"/>
      <c r="C133" s="531"/>
      <c r="D133" s="531"/>
      <c r="E133" s="531"/>
      <c r="F133" s="531"/>
      <c r="G133" s="531"/>
      <c r="H133" s="531"/>
      <c r="I133" s="531"/>
      <c r="AZ133" s="531"/>
      <c r="BA133" s="531"/>
      <c r="BB133" s="531"/>
      <c r="FE133" s="72"/>
    </row>
    <row r="134" spans="1:161" ht="12.75">
      <c r="A134" s="619"/>
      <c r="B134" s="531"/>
      <c r="C134" s="531"/>
      <c r="D134" s="531"/>
      <c r="E134" s="531"/>
      <c r="F134" s="531"/>
      <c r="G134" s="531"/>
      <c r="H134" s="531"/>
      <c r="I134" s="531"/>
      <c r="AZ134" s="531"/>
      <c r="BA134" s="531"/>
      <c r="BB134" s="531"/>
      <c r="FE134" s="72"/>
    </row>
    <row r="135" spans="1:161" ht="9" customHeight="1">
      <c r="A135" s="531"/>
      <c r="B135" s="531"/>
      <c r="C135" s="531"/>
      <c r="D135" s="531"/>
      <c r="E135" s="531"/>
      <c r="F135" s="531"/>
      <c r="G135" s="531"/>
      <c r="H135" s="531"/>
      <c r="I135" s="531"/>
      <c r="AZ135" s="531"/>
      <c r="BA135" s="531"/>
      <c r="BB135" s="531"/>
      <c r="FE135" s="72"/>
    </row>
    <row r="136" spans="1:161" ht="12.75">
      <c r="A136"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B136" s="531"/>
      <c r="C136" s="531"/>
      <c r="D136" s="531"/>
      <c r="E136" s="531"/>
      <c r="F136" s="531"/>
      <c r="G136" s="531"/>
      <c r="H136" s="531"/>
      <c r="I136" s="531"/>
      <c r="AZ136" s="531"/>
      <c r="BA136" s="531"/>
      <c r="BB136" s="531"/>
      <c r="FE136" s="72"/>
    </row>
    <row r="137" spans="1:161" ht="9" customHeight="1">
      <c r="A137" s="330"/>
      <c r="B137" s="331"/>
      <c r="C137" s="331"/>
      <c r="D137" s="331"/>
      <c r="E137" s="331"/>
      <c r="F137" s="331"/>
      <c r="G137" s="331"/>
      <c r="H137" s="331"/>
      <c r="I137" s="331"/>
      <c r="FE137" s="72"/>
    </row>
    <row r="138" spans="1:161" ht="12.75">
      <c r="A138" s="330"/>
      <c r="B138" s="331"/>
      <c r="C138" s="331"/>
      <c r="D138" s="331"/>
      <c r="E138" s="331"/>
      <c r="F138" s="331"/>
      <c r="G138" s="331"/>
      <c r="H138" s="331"/>
      <c r="I138" s="331"/>
      <c r="FE138" s="72"/>
    </row>
    <row r="139" spans="1:161" ht="9" customHeight="1">
      <c r="A139" s="188"/>
      <c r="FE139" s="72"/>
    </row>
    <row r="140" spans="1:161" ht="12.75">
      <c r="A140" s="188"/>
      <c r="BS140" s="530" t="s">
        <v>104</v>
      </c>
      <c r="BT140" s="531"/>
      <c r="BU140" s="531"/>
      <c r="BV140" s="531"/>
      <c r="BW140" s="531"/>
      <c r="BX140" s="531"/>
      <c r="BY140" s="531"/>
      <c r="BZ140" s="532"/>
      <c r="FE140" s="72"/>
    </row>
    <row r="141" spans="1:161" ht="12.75">
      <c r="A141" s="188"/>
      <c r="BS141" s="530" t="s">
        <v>159</v>
      </c>
      <c r="BT141" s="531"/>
      <c r="BU141" s="531"/>
      <c r="BV141" s="531"/>
      <c r="BW141" s="531"/>
      <c r="BX141" s="531"/>
      <c r="BY141" s="531"/>
      <c r="BZ141" s="532"/>
      <c r="FE141" s="72"/>
    </row>
    <row r="142" spans="1:161" ht="12.75">
      <c r="A142" s="188"/>
      <c r="S142" s="330"/>
      <c r="T142" s="330"/>
      <c r="U142" s="330"/>
      <c r="V142" s="330"/>
      <c r="W142" s="330"/>
      <c r="X142" s="330"/>
      <c r="Y142" s="330"/>
      <c r="Z142" s="330"/>
      <c r="AA142" s="330"/>
      <c r="AB142" s="330"/>
      <c r="AC142" s="330"/>
      <c r="AD142" s="330"/>
      <c r="AE142" s="330"/>
      <c r="AF142" s="330"/>
      <c r="AG142" s="330"/>
      <c r="AH142" s="330"/>
      <c r="AI142" s="330"/>
      <c r="AJ142" s="330"/>
      <c r="AK142" s="330"/>
      <c r="AL142" s="330"/>
      <c r="AM142" s="330"/>
      <c r="AN142" s="330"/>
      <c r="AO142" s="330"/>
      <c r="AP142" s="330"/>
      <c r="AQ142" s="330"/>
      <c r="AR142" s="330"/>
      <c r="AS142" s="330"/>
      <c r="AT142" s="330"/>
      <c r="AU142" s="330"/>
      <c r="AV142" s="330"/>
      <c r="AW142" s="330"/>
      <c r="AX142" s="330"/>
      <c r="AY142" s="330"/>
      <c r="AZ142" s="330"/>
      <c r="BA142" s="330"/>
      <c r="BS142" s="530"/>
      <c r="BT142" s="531"/>
      <c r="BU142" s="531"/>
      <c r="BV142" s="531"/>
      <c r="BW142" s="531"/>
      <c r="BX142" s="531"/>
      <c r="BY142" s="531"/>
      <c r="BZ142" s="532"/>
      <c r="FE142" s="72"/>
    </row>
    <row r="143" spans="1:161" ht="12.75">
      <c r="A143" s="188"/>
      <c r="S143" s="330"/>
      <c r="T143" s="330"/>
      <c r="U143" s="330"/>
      <c r="V143" s="330"/>
      <c r="W143" s="330"/>
      <c r="X143" s="330"/>
      <c r="Y143" s="330"/>
      <c r="Z143" s="330"/>
      <c r="AA143" s="330"/>
      <c r="AB143" s="330"/>
      <c r="AC143" s="330"/>
      <c r="AD143" s="330"/>
      <c r="AE143" s="330"/>
      <c r="AF143" s="330"/>
      <c r="AG143" s="330"/>
      <c r="AH143" s="330"/>
      <c r="AI143" s="330"/>
      <c r="AJ143" s="330"/>
      <c r="AK143" s="330"/>
      <c r="AL143" s="330"/>
      <c r="AM143" s="330"/>
      <c r="AN143" s="330"/>
      <c r="AO143" s="330"/>
      <c r="AP143" s="330"/>
      <c r="AQ143" s="330"/>
      <c r="AR143" s="330"/>
      <c r="AS143" s="330"/>
      <c r="AT143" s="330"/>
      <c r="AU143" s="330"/>
      <c r="AV143" s="330"/>
      <c r="AW143" s="330"/>
      <c r="AX143" s="330"/>
      <c r="AY143" s="330"/>
      <c r="AZ143" s="330"/>
      <c r="BA143" s="330"/>
      <c r="BX143" s="30" t="s">
        <v>99</v>
      </c>
      <c r="BY143" s="31" t="s">
        <v>100</v>
      </c>
      <c r="FE143" s="72"/>
    </row>
    <row r="144" spans="1:161" ht="12.75">
      <c r="A144" s="188"/>
      <c r="BS144" s="629">
        <v>43903</v>
      </c>
      <c r="BT144" s="531"/>
      <c r="BU144" s="531"/>
      <c r="BW144" s="93"/>
      <c r="BX144" s="105">
        <v>17660</v>
      </c>
      <c r="BY144" s="139">
        <v>1266</v>
      </c>
      <c r="FE144" s="72"/>
    </row>
    <row r="145" spans="1:161" ht="14.25">
      <c r="A145" s="188"/>
      <c r="O145" s="332"/>
      <c r="BS145" s="629">
        <v>43904</v>
      </c>
      <c r="BT145" s="531"/>
      <c r="BU145" s="531"/>
      <c r="BV145" s="630" t="str">
        <f t="shared" ref="BV145:BV158" si="226">CONCATENATE("+",BX145-BX144)</f>
        <v>+3497</v>
      </c>
      <c r="BW145" s="531"/>
      <c r="BX145" s="105">
        <v>21157</v>
      </c>
      <c r="BY145" s="139">
        <v>1441</v>
      </c>
      <c r="BZ145" s="329" t="str">
        <f t="shared" ref="BZ145:BZ158" si="227">CONCATENATE("+",BY145-BY144)</f>
        <v>+175</v>
      </c>
      <c r="FE145" s="72"/>
    </row>
    <row r="146" spans="1:161" ht="15">
      <c r="A146" s="188"/>
      <c r="P146" s="333"/>
      <c r="Q146" s="334"/>
      <c r="AA146" s="335"/>
      <c r="AB146" s="335"/>
      <c r="AC146" s="335"/>
      <c r="AD146" s="335"/>
      <c r="AE146" s="335"/>
      <c r="AF146" s="335"/>
      <c r="BS146" s="629">
        <v>43905</v>
      </c>
      <c r="BT146" s="531"/>
      <c r="BU146" s="531"/>
      <c r="BV146" s="630" t="str">
        <f t="shared" si="226"/>
        <v>+3590</v>
      </c>
      <c r="BW146" s="531"/>
      <c r="BX146" s="105">
        <v>24747</v>
      </c>
      <c r="BY146" s="139">
        <v>1809</v>
      </c>
      <c r="BZ146" s="329" t="str">
        <f t="shared" si="227"/>
        <v>+368</v>
      </c>
      <c r="FE146" s="72"/>
    </row>
    <row r="147" spans="1:161" ht="15">
      <c r="A147" s="188"/>
      <c r="P147" s="333"/>
      <c r="Q147" s="334"/>
      <c r="AB147" s="335"/>
      <c r="AC147" s="335"/>
      <c r="AD147" s="335"/>
      <c r="AE147" s="335"/>
      <c r="AF147" s="335"/>
      <c r="BS147" s="629">
        <v>43906</v>
      </c>
      <c r="BT147" s="531"/>
      <c r="BU147" s="531"/>
      <c r="BV147" s="630" t="str">
        <f t="shared" si="226"/>
        <v>+3233</v>
      </c>
      <c r="BW147" s="531"/>
      <c r="BX147" s="105">
        <v>27980</v>
      </c>
      <c r="BY147" s="139">
        <v>2158</v>
      </c>
      <c r="BZ147" s="329" t="str">
        <f t="shared" si="227"/>
        <v>+349</v>
      </c>
      <c r="FE147" s="72"/>
    </row>
    <row r="148" spans="1:161" ht="14.25">
      <c r="A148" s="188"/>
      <c r="P148" s="333"/>
      <c r="Q148" s="334"/>
      <c r="AA148" s="332"/>
      <c r="AB148" s="336"/>
      <c r="AC148" s="336"/>
      <c r="AD148" s="336"/>
      <c r="AE148" s="336"/>
      <c r="AF148" s="336"/>
      <c r="BS148" s="629">
        <v>43907</v>
      </c>
      <c r="BT148" s="531"/>
      <c r="BU148" s="531"/>
      <c r="BV148" s="630" t="str">
        <f t="shared" si="226"/>
        <v>+3526</v>
      </c>
      <c r="BW148" s="531"/>
      <c r="BX148" s="105">
        <v>31506</v>
      </c>
      <c r="BY148" s="139">
        <v>2503</v>
      </c>
      <c r="BZ148" s="329" t="str">
        <f t="shared" si="227"/>
        <v>+345</v>
      </c>
      <c r="FE148" s="72"/>
    </row>
    <row r="149" spans="1:161" ht="14.25">
      <c r="A149" s="188"/>
      <c r="O149" s="337"/>
      <c r="P149" s="333"/>
      <c r="Q149" s="334"/>
      <c r="S149" s="123" t="s">
        <v>727</v>
      </c>
      <c r="AA149" s="332"/>
      <c r="AB149" s="336"/>
      <c r="AC149" s="336"/>
      <c r="AD149" s="336"/>
      <c r="AE149" s="336"/>
      <c r="AF149" s="336"/>
      <c r="BS149" s="629">
        <v>43908</v>
      </c>
      <c r="BT149" s="531"/>
      <c r="BU149" s="531"/>
      <c r="BV149" s="630" t="str">
        <f t="shared" si="226"/>
        <v>+4207</v>
      </c>
      <c r="BW149" s="531"/>
      <c r="BX149" s="105">
        <v>35713</v>
      </c>
      <c r="BY149" s="139">
        <v>2978</v>
      </c>
      <c r="BZ149" s="329" t="str">
        <f t="shared" si="227"/>
        <v>+475</v>
      </c>
      <c r="FE149" s="72"/>
    </row>
    <row r="150" spans="1:161" ht="14.25">
      <c r="A150" s="188"/>
      <c r="O150" s="337"/>
      <c r="P150" s="333"/>
      <c r="Q150" s="334"/>
      <c r="AA150" s="332"/>
      <c r="AB150" s="336"/>
      <c r="AC150" s="336"/>
      <c r="AD150" s="336"/>
      <c r="AE150" s="336"/>
      <c r="AF150" s="336"/>
      <c r="BS150" s="629">
        <v>43909</v>
      </c>
      <c r="BT150" s="531"/>
      <c r="BU150" s="531"/>
      <c r="BV150" s="630" t="str">
        <f t="shared" si="226"/>
        <v>+5322</v>
      </c>
      <c r="BW150" s="531"/>
      <c r="BX150" s="105">
        <v>41035</v>
      </c>
      <c r="BY150" s="139">
        <v>3405</v>
      </c>
      <c r="BZ150" s="329" t="str">
        <f t="shared" si="227"/>
        <v>+427</v>
      </c>
      <c r="FE150" s="72"/>
    </row>
    <row r="151" spans="1:161" ht="14.25">
      <c r="A151" s="188"/>
      <c r="O151" s="338"/>
      <c r="P151" s="333"/>
      <c r="Q151" s="334"/>
      <c r="AA151" s="332"/>
      <c r="AB151" s="336"/>
      <c r="AC151" s="336"/>
      <c r="AD151" s="336"/>
      <c r="AE151" s="336"/>
      <c r="AF151" s="336"/>
      <c r="BS151" s="629">
        <v>43910</v>
      </c>
      <c r="BT151" s="531"/>
      <c r="BU151" s="531"/>
      <c r="BV151" s="630" t="str">
        <f t="shared" si="226"/>
        <v>+5986</v>
      </c>
      <c r="BW151" s="531"/>
      <c r="BX151" s="105">
        <v>47021</v>
      </c>
      <c r="BY151" s="139">
        <v>4032</v>
      </c>
      <c r="BZ151" s="329" t="str">
        <f t="shared" si="227"/>
        <v>+627</v>
      </c>
      <c r="FE151" s="72"/>
    </row>
    <row r="152" spans="1:161" ht="14.25">
      <c r="A152" s="188"/>
      <c r="O152" s="337"/>
      <c r="P152" s="333"/>
      <c r="Q152" s="334"/>
      <c r="V152" s="324"/>
      <c r="AA152" s="332"/>
      <c r="AB152" s="336"/>
      <c r="AC152" s="336"/>
      <c r="AD152" s="336"/>
      <c r="AE152" s="336"/>
      <c r="AF152" s="336"/>
      <c r="BS152" s="629">
        <v>43911</v>
      </c>
      <c r="BT152" s="531"/>
      <c r="BU152" s="531"/>
      <c r="BV152" s="630" t="str">
        <f t="shared" si="226"/>
        <v>+6557</v>
      </c>
      <c r="BW152" s="531"/>
      <c r="BX152" s="105">
        <v>53578</v>
      </c>
      <c r="BY152" s="139">
        <v>4825</v>
      </c>
      <c r="BZ152" s="329" t="str">
        <f t="shared" si="227"/>
        <v>+793</v>
      </c>
      <c r="FE152" s="72"/>
    </row>
    <row r="153" spans="1:161" ht="14.25">
      <c r="A153" s="188"/>
      <c r="O153" s="337"/>
      <c r="P153" s="333"/>
      <c r="Q153" s="334"/>
      <c r="AA153" s="332"/>
      <c r="AB153" s="336"/>
      <c r="AC153" s="336"/>
      <c r="AD153" s="336"/>
      <c r="AE153" s="336"/>
      <c r="AF153" s="336"/>
      <c r="BS153" s="629">
        <v>43912</v>
      </c>
      <c r="BT153" s="531"/>
      <c r="BU153" s="531"/>
      <c r="BV153" s="630" t="str">
        <f t="shared" si="226"/>
        <v>+5560</v>
      </c>
      <c r="BW153" s="531"/>
      <c r="BX153" s="105">
        <v>59138</v>
      </c>
      <c r="BY153" s="139">
        <v>5476</v>
      </c>
      <c r="BZ153" s="329" t="str">
        <f t="shared" si="227"/>
        <v>+651</v>
      </c>
      <c r="FE153" s="72"/>
    </row>
    <row r="154" spans="1:161" ht="14.25">
      <c r="A154" s="188"/>
      <c r="O154" s="337"/>
      <c r="P154" s="333"/>
      <c r="Q154" s="334"/>
      <c r="AA154" s="332"/>
      <c r="AB154" s="336"/>
      <c r="AC154" s="336"/>
      <c r="AD154" s="336"/>
      <c r="AE154" s="336"/>
      <c r="AF154" s="336"/>
      <c r="BS154" s="629">
        <v>43913</v>
      </c>
      <c r="BT154" s="531"/>
      <c r="BU154" s="531"/>
      <c r="BV154" s="630" t="str">
        <f t="shared" si="226"/>
        <v>+4789</v>
      </c>
      <c r="BW154" s="531"/>
      <c r="BX154" s="105">
        <v>63927</v>
      </c>
      <c r="BY154" s="139">
        <v>6077</v>
      </c>
      <c r="BZ154" s="329" t="str">
        <f t="shared" si="227"/>
        <v>+601</v>
      </c>
      <c r="FE154" s="72"/>
    </row>
    <row r="155" spans="1:161" ht="14.25">
      <c r="A155" s="188"/>
      <c r="O155" s="337"/>
      <c r="P155" s="333"/>
      <c r="Q155" s="334"/>
      <c r="AA155" s="332"/>
      <c r="AB155" s="336"/>
      <c r="AC155" s="336"/>
      <c r="AD155" s="336"/>
      <c r="AE155" s="336"/>
      <c r="AF155" s="336"/>
      <c r="BS155" s="629">
        <v>43914</v>
      </c>
      <c r="BT155" s="531"/>
      <c r="BU155" s="531"/>
      <c r="BV155" s="630" t="str">
        <f t="shared" si="226"/>
        <v>+5249</v>
      </c>
      <c r="BW155" s="531"/>
      <c r="BX155" s="105">
        <v>69176</v>
      </c>
      <c r="BY155" s="139">
        <v>6820</v>
      </c>
      <c r="BZ155" s="329" t="str">
        <f t="shared" si="227"/>
        <v>+743</v>
      </c>
      <c r="FE155" s="72"/>
    </row>
    <row r="156" spans="1:161" ht="14.25">
      <c r="A156" s="188"/>
      <c r="O156" s="337"/>
      <c r="P156" s="333"/>
      <c r="Q156" s="334"/>
      <c r="AA156" s="332"/>
      <c r="AB156" s="336"/>
      <c r="AC156" s="336"/>
      <c r="AD156" s="336"/>
      <c r="AE156" s="336"/>
      <c r="AF156" s="336"/>
      <c r="BS156" s="629">
        <v>43915</v>
      </c>
      <c r="BT156" s="531"/>
      <c r="BU156" s="531"/>
      <c r="BV156" s="630" t="str">
        <f t="shared" si="226"/>
        <v>+5210</v>
      </c>
      <c r="BW156" s="531"/>
      <c r="BX156" s="105">
        <v>74386</v>
      </c>
      <c r="BY156" s="139">
        <v>7503</v>
      </c>
      <c r="BZ156" s="329" t="str">
        <f t="shared" si="227"/>
        <v>+683</v>
      </c>
      <c r="FE156" s="72"/>
    </row>
    <row r="157" spans="1:161" ht="14.25">
      <c r="A157" s="188"/>
      <c r="O157" s="337"/>
      <c r="P157" s="333"/>
      <c r="Q157" s="334"/>
      <c r="AA157" s="332"/>
      <c r="AB157" s="336"/>
      <c r="AC157" s="336"/>
      <c r="AD157" s="336"/>
      <c r="AE157" s="336"/>
      <c r="AF157" s="336"/>
      <c r="BS157" s="631">
        <v>43916</v>
      </c>
      <c r="BT157" s="531"/>
      <c r="BU157" s="531"/>
      <c r="BV157" s="630" t="str">
        <f t="shared" si="226"/>
        <v>+6203</v>
      </c>
      <c r="BW157" s="531"/>
      <c r="BX157" s="226">
        <v>80589</v>
      </c>
      <c r="BY157" s="135">
        <v>8215</v>
      </c>
      <c r="BZ157" s="329" t="str">
        <f t="shared" si="227"/>
        <v>+712</v>
      </c>
      <c r="FE157" s="72"/>
    </row>
    <row r="158" spans="1:161" ht="14.25">
      <c r="A158" s="188"/>
      <c r="O158" s="337"/>
      <c r="P158" s="333"/>
      <c r="Q158" s="334"/>
      <c r="AA158" s="332"/>
      <c r="AB158" s="336"/>
      <c r="AC158" s="336"/>
      <c r="AD158" s="336"/>
      <c r="AE158" s="336"/>
      <c r="AF158" s="336"/>
      <c r="BS158" s="631">
        <v>43917</v>
      </c>
      <c r="BT158" s="531"/>
      <c r="BU158" s="531"/>
      <c r="BV158" s="630" t="str">
        <f t="shared" si="226"/>
        <v>+5909</v>
      </c>
      <c r="BW158" s="531"/>
      <c r="BX158" s="226">
        <v>86498</v>
      </c>
      <c r="BY158" s="135">
        <v>9134</v>
      </c>
      <c r="BZ158" s="329" t="str">
        <f t="shared" si="227"/>
        <v>+919</v>
      </c>
      <c r="FE158" s="72"/>
    </row>
    <row r="159" spans="1:161" ht="14.25">
      <c r="A159" s="188"/>
      <c r="O159" s="337"/>
      <c r="P159" s="333"/>
      <c r="Q159" s="334"/>
      <c r="AA159" s="332"/>
      <c r="AB159" s="336"/>
      <c r="AC159" s="336"/>
      <c r="AD159" s="336"/>
      <c r="AE159" s="336"/>
      <c r="AF159" s="336"/>
      <c r="FE159" s="72"/>
    </row>
    <row r="160" spans="1:161" ht="14.25">
      <c r="A160" s="188"/>
      <c r="O160" s="337"/>
      <c r="P160" s="333"/>
      <c r="Q160" s="334"/>
      <c r="AA160" s="332"/>
      <c r="AB160" s="336"/>
      <c r="AC160" s="336"/>
      <c r="AD160" s="336"/>
      <c r="AE160" s="336"/>
      <c r="AF160" s="336"/>
      <c r="FE160" s="72"/>
    </row>
    <row r="161" spans="1:161" ht="14.25">
      <c r="A161" s="188"/>
      <c r="O161" s="337"/>
      <c r="P161" s="333"/>
      <c r="Q161" s="334"/>
      <c r="AA161" s="332"/>
      <c r="AB161" s="336"/>
      <c r="AC161" s="336"/>
      <c r="AD161" s="336"/>
      <c r="AE161" s="336"/>
      <c r="AF161" s="336"/>
      <c r="FE161" s="72"/>
    </row>
    <row r="162" spans="1:161" ht="14.25">
      <c r="A162" s="188"/>
      <c r="O162" s="337"/>
      <c r="P162" s="333"/>
      <c r="Q162" s="334"/>
      <c r="AA162" s="332"/>
      <c r="AB162" s="336"/>
      <c r="AC162" s="336"/>
      <c r="AD162" s="336"/>
      <c r="AE162" s="336"/>
      <c r="AF162" s="336"/>
      <c r="FE162" s="72"/>
    </row>
    <row r="163" spans="1:161" ht="14.25">
      <c r="A163" s="188"/>
      <c r="O163" s="337"/>
      <c r="P163" s="333"/>
      <c r="Q163" s="334"/>
      <c r="AA163" s="332"/>
      <c r="AB163" s="336"/>
      <c r="AC163" s="336"/>
      <c r="AD163" s="336"/>
      <c r="AE163" s="336"/>
      <c r="AF163" s="336"/>
      <c r="FE163" s="72"/>
    </row>
    <row r="164" spans="1:161" ht="14.25">
      <c r="A164" s="188"/>
      <c r="O164" s="337"/>
      <c r="P164" s="333"/>
      <c r="Q164" s="334"/>
      <c r="AA164" s="332"/>
      <c r="AB164" s="336"/>
      <c r="AC164" s="336"/>
      <c r="AD164" s="336"/>
      <c r="AE164" s="336"/>
      <c r="AF164" s="336"/>
      <c r="FE164" s="72"/>
    </row>
    <row r="165" spans="1:161" ht="14.25">
      <c r="A165" s="188"/>
      <c r="O165" s="337"/>
      <c r="P165" s="333"/>
      <c r="Q165" s="334"/>
      <c r="AA165" s="332"/>
      <c r="AB165" s="336"/>
      <c r="AC165" s="336"/>
      <c r="AD165" s="336"/>
      <c r="AE165" s="336"/>
      <c r="AF165" s="336"/>
      <c r="FE165" s="72"/>
    </row>
    <row r="166" spans="1:161" ht="14.25">
      <c r="A166" s="188"/>
      <c r="O166" s="337"/>
      <c r="P166" s="333"/>
      <c r="Q166" s="334"/>
      <c r="AA166" s="332"/>
      <c r="AB166" s="336"/>
      <c r="AC166" s="336"/>
      <c r="AD166" s="336"/>
      <c r="AE166" s="336"/>
      <c r="AF166" s="336"/>
      <c r="FE166" s="72"/>
    </row>
    <row r="167" spans="1:161" ht="14.25">
      <c r="A167" s="188"/>
      <c r="O167" s="337"/>
      <c r="P167" s="333"/>
      <c r="Q167" s="334"/>
      <c r="AA167" s="332"/>
      <c r="AB167" s="336"/>
      <c r="AC167" s="336"/>
      <c r="AD167" s="336"/>
      <c r="AE167" s="336"/>
      <c r="AF167" s="336"/>
      <c r="FE167" s="72"/>
    </row>
    <row r="168" spans="1:161" ht="14.25">
      <c r="A168" s="188"/>
      <c r="O168" s="338"/>
      <c r="P168" s="333"/>
      <c r="Q168" s="334"/>
      <c r="AA168" s="332"/>
      <c r="AB168" s="336"/>
      <c r="AC168" s="336"/>
      <c r="AD168" s="336"/>
      <c r="AE168" s="336"/>
      <c r="AF168" s="336"/>
      <c r="FE168" s="72"/>
    </row>
    <row r="169" spans="1:161" ht="14.25">
      <c r="A169" s="188"/>
      <c r="O169" s="337"/>
      <c r="P169" s="333"/>
      <c r="Q169" s="334"/>
      <c r="AA169" s="332"/>
      <c r="AB169" s="336"/>
      <c r="AC169" s="336"/>
      <c r="AD169" s="336"/>
      <c r="AE169" s="336"/>
      <c r="AF169" s="336"/>
      <c r="FE169" s="72"/>
    </row>
    <row r="170" spans="1:161" ht="14.25">
      <c r="A170" s="188"/>
      <c r="O170" s="337"/>
      <c r="P170" s="333"/>
      <c r="Q170" s="334"/>
      <c r="AA170" s="332"/>
      <c r="AB170" s="336"/>
      <c r="AC170" s="336"/>
      <c r="AD170" s="336"/>
      <c r="AE170" s="336"/>
      <c r="AF170" s="336"/>
      <c r="FE170" s="72"/>
    </row>
    <row r="171" spans="1:161" ht="14.25">
      <c r="A171" s="188"/>
      <c r="O171" s="337"/>
      <c r="P171" s="333"/>
      <c r="Q171" s="334"/>
      <c r="AA171" s="332"/>
      <c r="AB171" s="336"/>
      <c r="AC171" s="336"/>
      <c r="AD171" s="336"/>
      <c r="AE171" s="336"/>
      <c r="AF171" s="336"/>
      <c r="FE171" s="72"/>
    </row>
    <row r="172" spans="1:161" ht="14.25">
      <c r="A172" s="188"/>
      <c r="O172" s="337"/>
      <c r="P172" s="333"/>
      <c r="Q172" s="334"/>
      <c r="AA172" s="332"/>
      <c r="AB172" s="336"/>
      <c r="AC172" s="336"/>
      <c r="AD172" s="336"/>
      <c r="AE172" s="336"/>
      <c r="AF172" s="336"/>
      <c r="FE172" s="72"/>
    </row>
    <row r="173" spans="1:161" ht="14.25">
      <c r="A173" s="188"/>
      <c r="P173" s="255"/>
      <c r="Q173" s="256"/>
      <c r="AA173" s="332"/>
      <c r="AB173" s="336"/>
      <c r="AC173" s="336"/>
      <c r="AD173" s="336"/>
      <c r="AE173" s="336"/>
      <c r="AF173" s="336"/>
      <c r="FE173" s="72"/>
    </row>
    <row r="174" spans="1:161" ht="14.25">
      <c r="A174" s="188"/>
      <c r="AA174" s="332"/>
      <c r="FE174" s="72"/>
    </row>
    <row r="175" spans="1:161" ht="12.75">
      <c r="A175" s="188"/>
      <c r="FE175" s="72"/>
    </row>
    <row r="176" spans="1:161" ht="12.75">
      <c r="A176" s="188"/>
      <c r="FE176" s="72"/>
    </row>
    <row r="177" spans="1:161" ht="12.75">
      <c r="A177" s="188"/>
      <c r="FE177" s="72"/>
    </row>
    <row r="178" spans="1:161" ht="12.75">
      <c r="A178" s="188"/>
      <c r="FE178" s="72"/>
    </row>
    <row r="179" spans="1:161" ht="12.75">
      <c r="A179" s="188"/>
      <c r="FE179" s="72"/>
    </row>
    <row r="180" spans="1:161" ht="12.75">
      <c r="A180" s="188"/>
      <c r="FE180" s="72"/>
    </row>
    <row r="181" spans="1:161" ht="12.75">
      <c r="A181" s="188"/>
      <c r="FE181" s="72"/>
    </row>
    <row r="182" spans="1:161" ht="12.75">
      <c r="A182" s="188"/>
      <c r="FE182" s="72"/>
    </row>
    <row r="183" spans="1:161" ht="12.75">
      <c r="A183" s="188"/>
      <c r="FE183" s="72"/>
    </row>
    <row r="184" spans="1:161" ht="12.75">
      <c r="A184" s="188"/>
      <c r="FE184" s="72"/>
    </row>
    <row r="185" spans="1:161" ht="12.75">
      <c r="A185" s="188"/>
      <c r="FE185" s="72"/>
    </row>
    <row r="186" spans="1:161" ht="12.75">
      <c r="A186" s="188"/>
      <c r="FE186" s="72"/>
    </row>
    <row r="187" spans="1:161" ht="12.75">
      <c r="A187" s="188"/>
      <c r="FE187" s="72"/>
    </row>
    <row r="188" spans="1:161" ht="12.75">
      <c r="A188" s="188"/>
      <c r="FE188" s="72"/>
    </row>
    <row r="189" spans="1:161" ht="12.75">
      <c r="A189" s="188"/>
      <c r="FE189" s="72"/>
    </row>
    <row r="190" spans="1:161" ht="12.75">
      <c r="A190" s="188"/>
      <c r="FE190" s="72"/>
    </row>
    <row r="191" spans="1:161" ht="12.75">
      <c r="A191" s="188"/>
      <c r="FE191" s="72"/>
    </row>
    <row r="192" spans="1:161" ht="12.75">
      <c r="A192" s="188"/>
      <c r="FE192" s="72"/>
    </row>
    <row r="193" spans="1:161" ht="12.75">
      <c r="A193" s="188"/>
      <c r="FE193" s="72"/>
    </row>
    <row r="194" spans="1:161" ht="12.75">
      <c r="A194" s="188"/>
      <c r="FE194" s="72"/>
    </row>
    <row r="195" spans="1:161" ht="12.75">
      <c r="A195" s="188"/>
      <c r="FE195" s="72"/>
    </row>
    <row r="196" spans="1:161" ht="12.75">
      <c r="A196" s="188"/>
      <c r="FE196" s="72"/>
    </row>
    <row r="197" spans="1:161" ht="12.75">
      <c r="A197" s="188"/>
      <c r="FE197" s="72"/>
    </row>
    <row r="198" spans="1:161" ht="12.75">
      <c r="A198" s="188"/>
      <c r="FE198" s="72"/>
    </row>
    <row r="199" spans="1:161" ht="12.75">
      <c r="A199" s="188"/>
      <c r="FE199" s="72"/>
    </row>
    <row r="200" spans="1:161" ht="12.75">
      <c r="A200" s="188"/>
      <c r="FE200" s="72"/>
    </row>
    <row r="201" spans="1:161" ht="12.75">
      <c r="A201" s="188"/>
      <c r="FE201" s="72"/>
    </row>
    <row r="202" spans="1:161" ht="12.75">
      <c r="A202" s="188"/>
      <c r="FE202" s="72"/>
    </row>
    <row r="203" spans="1:161" ht="12.75">
      <c r="A203" s="188"/>
      <c r="FE203" s="72"/>
    </row>
    <row r="204" spans="1:161" ht="12.75">
      <c r="A204" s="188"/>
      <c r="FE204" s="72"/>
    </row>
    <row r="205" spans="1:161" ht="12.75">
      <c r="A205" s="188"/>
      <c r="FE205" s="72"/>
    </row>
    <row r="206" spans="1:161" ht="12.75">
      <c r="A206" s="188"/>
      <c r="FE206" s="72"/>
    </row>
    <row r="207" spans="1:161" ht="12.75">
      <c r="A207" s="188"/>
      <c r="FE207" s="72"/>
    </row>
    <row r="208" spans="1:161" ht="12.75">
      <c r="A208" s="188"/>
      <c r="FE208" s="72"/>
    </row>
    <row r="209" spans="1:161" ht="12.75">
      <c r="A209" s="188"/>
      <c r="FE209" s="72"/>
    </row>
    <row r="210" spans="1:161" ht="12.75">
      <c r="A210" s="188"/>
      <c r="FE210" s="72"/>
    </row>
    <row r="211" spans="1:161" ht="12.75">
      <c r="A211" s="188"/>
      <c r="FE211" s="72"/>
    </row>
    <row r="212" spans="1:161" ht="12.75">
      <c r="A212" s="188"/>
      <c r="FE212" s="72"/>
    </row>
    <row r="213" spans="1:161" ht="12.75">
      <c r="A213" s="188"/>
      <c r="FE213" s="72"/>
    </row>
    <row r="214" spans="1:161" ht="12.75">
      <c r="A214" s="188"/>
      <c r="FE214" s="72"/>
    </row>
    <row r="215" spans="1:161" ht="12.75">
      <c r="A215" s="188"/>
      <c r="FE215" s="72"/>
    </row>
    <row r="216" spans="1:161" ht="12.75">
      <c r="A216" s="188"/>
      <c r="FE216" s="72"/>
    </row>
    <row r="217" spans="1:161" ht="12.75">
      <c r="A217" s="188"/>
      <c r="FE217" s="72"/>
    </row>
    <row r="218" spans="1:161" ht="12.75">
      <c r="A218" s="188"/>
      <c r="FE218" s="72"/>
    </row>
    <row r="219" spans="1:161" ht="12.75">
      <c r="A219" s="188"/>
      <c r="FE219" s="72"/>
    </row>
    <row r="220" spans="1:161" ht="12.75">
      <c r="A220" s="188"/>
      <c r="FE220" s="72"/>
    </row>
    <row r="221" spans="1:161" ht="12.75">
      <c r="A221" s="188"/>
      <c r="FE221" s="72"/>
    </row>
    <row r="222" spans="1:161" ht="12.75">
      <c r="A222" s="188"/>
      <c r="FE222" s="72"/>
    </row>
    <row r="223" spans="1:161" ht="12.75">
      <c r="A223" s="188"/>
      <c r="FE223" s="72"/>
    </row>
    <row r="224" spans="1:161" ht="12.75">
      <c r="A224" s="188"/>
      <c r="FE224" s="72"/>
    </row>
    <row r="225" spans="1:161" ht="12.75">
      <c r="A225" s="188"/>
      <c r="FE225" s="72"/>
    </row>
    <row r="226" spans="1:161" ht="12.75">
      <c r="A226" s="188"/>
      <c r="FE226" s="72"/>
    </row>
    <row r="227" spans="1:161" ht="12.75">
      <c r="A227" s="188"/>
      <c r="FE227" s="72"/>
    </row>
    <row r="228" spans="1:161" ht="12.75">
      <c r="A228" s="188"/>
      <c r="FE228" s="72"/>
    </row>
    <row r="229" spans="1:161" ht="12.75">
      <c r="A229" s="188"/>
      <c r="FE229" s="72"/>
    </row>
    <row r="230" spans="1:161" ht="12.75">
      <c r="A230" s="188"/>
      <c r="FE230" s="72"/>
    </row>
    <row r="231" spans="1:161" ht="12.75">
      <c r="A231" s="188"/>
      <c r="FE231" s="72"/>
    </row>
    <row r="232" spans="1:161" ht="12.75">
      <c r="A232" s="188"/>
      <c r="FE232" s="72"/>
    </row>
    <row r="233" spans="1:161" ht="12.75">
      <c r="A233" s="188"/>
      <c r="FE233" s="72"/>
    </row>
    <row r="234" spans="1:161" ht="12.75">
      <c r="A234" s="188"/>
      <c r="FE234" s="72"/>
    </row>
    <row r="235" spans="1:161" ht="12.75">
      <c r="A235" s="188"/>
      <c r="FE235" s="72"/>
    </row>
    <row r="236" spans="1:161" ht="12.75">
      <c r="A236" s="188"/>
      <c r="FE236" s="72"/>
    </row>
    <row r="237" spans="1:161" ht="12.75">
      <c r="A237" s="188"/>
      <c r="FE237" s="72"/>
    </row>
    <row r="238" spans="1:161" ht="12.75">
      <c r="A238" s="188"/>
      <c r="FE238" s="72"/>
    </row>
    <row r="239" spans="1:161" ht="12.75">
      <c r="A239" s="188"/>
      <c r="FE239" s="72"/>
    </row>
    <row r="240" spans="1:161" ht="12.75">
      <c r="A240" s="188"/>
      <c r="FE240" s="72"/>
    </row>
    <row r="241" spans="1:161" ht="12.75">
      <c r="A241" s="188"/>
      <c r="FE241" s="72"/>
    </row>
    <row r="242" spans="1:161" ht="12.75">
      <c r="A242" s="188"/>
      <c r="FE242" s="72"/>
    </row>
    <row r="243" spans="1:161" ht="12.75">
      <c r="A243" s="188"/>
      <c r="FE243" s="72"/>
    </row>
    <row r="244" spans="1:161" ht="12.75">
      <c r="A244" s="188"/>
      <c r="FE244" s="72"/>
    </row>
    <row r="245" spans="1:161" ht="12.75">
      <c r="A245" s="188"/>
      <c r="FE245" s="72"/>
    </row>
    <row r="246" spans="1:161" ht="12.75">
      <c r="A246" s="188"/>
      <c r="FE246" s="72"/>
    </row>
    <row r="247" spans="1:161" ht="12.75">
      <c r="A247" s="188"/>
      <c r="FE247" s="72"/>
    </row>
    <row r="248" spans="1:161" ht="12.75">
      <c r="A248" s="188"/>
      <c r="FE248" s="72"/>
    </row>
    <row r="249" spans="1:161" ht="12.75">
      <c r="A249" s="188"/>
      <c r="FE249" s="72"/>
    </row>
    <row r="250" spans="1:161" ht="12.75">
      <c r="A250" s="188"/>
      <c r="FE250" s="72"/>
    </row>
    <row r="251" spans="1:161" ht="12.75">
      <c r="A251" s="188"/>
      <c r="FE251" s="72"/>
    </row>
    <row r="252" spans="1:161" ht="12.75">
      <c r="A252" s="188"/>
      <c r="FE252" s="72"/>
    </row>
    <row r="253" spans="1:161" ht="12.75">
      <c r="A253" s="188"/>
      <c r="FE253" s="72"/>
    </row>
    <row r="254" spans="1:161" ht="12.75">
      <c r="A254" s="188"/>
      <c r="FE254" s="72"/>
    </row>
    <row r="255" spans="1:161" ht="12.75">
      <c r="A255" s="188"/>
      <c r="FE255" s="72"/>
    </row>
    <row r="256" spans="1:161" ht="12.75">
      <c r="A256" s="188"/>
      <c r="FE256" s="72"/>
    </row>
    <row r="257" spans="1:161" ht="12.75">
      <c r="A257" s="188"/>
      <c r="FE257" s="72"/>
    </row>
    <row r="258" spans="1:161" ht="12.75">
      <c r="A258" s="188"/>
      <c r="FE258" s="72"/>
    </row>
    <row r="259" spans="1:161" ht="12.75">
      <c r="A259" s="188"/>
      <c r="FE259" s="72"/>
    </row>
    <row r="260" spans="1:161" ht="12.75">
      <c r="A260" s="188"/>
      <c r="FE260" s="72"/>
    </row>
    <row r="261" spans="1:161" ht="12.75">
      <c r="A261" s="188"/>
      <c r="FE261" s="72"/>
    </row>
    <row r="262" spans="1:161" ht="12.75">
      <c r="A262" s="188"/>
      <c r="FE262" s="72"/>
    </row>
    <row r="263" spans="1:161" ht="12.75">
      <c r="A263" s="188"/>
      <c r="FE263" s="72"/>
    </row>
    <row r="264" spans="1:161" ht="12.75">
      <c r="A264" s="188"/>
      <c r="FE264" s="72"/>
    </row>
    <row r="265" spans="1:161" ht="12.75">
      <c r="A265" s="188"/>
      <c r="FE265" s="72"/>
    </row>
    <row r="266" spans="1:161" ht="12.75">
      <c r="A266" s="188"/>
      <c r="FE266" s="72"/>
    </row>
    <row r="267" spans="1:161" ht="12.75">
      <c r="A267" s="188"/>
      <c r="FE267" s="72"/>
    </row>
    <row r="268" spans="1:161" ht="12.75">
      <c r="A268" s="188"/>
      <c r="FE268" s="72"/>
    </row>
    <row r="269" spans="1:161" ht="12.75">
      <c r="A269" s="188"/>
      <c r="FE269" s="72"/>
    </row>
    <row r="270" spans="1:161" ht="12.75">
      <c r="A270" s="188"/>
      <c r="FE270" s="72"/>
    </row>
    <row r="271" spans="1:161" ht="12.75">
      <c r="A271" s="188"/>
      <c r="FE271" s="72"/>
    </row>
    <row r="272" spans="1:161" ht="12.75">
      <c r="A272" s="188"/>
      <c r="FE272" s="72"/>
    </row>
    <row r="273" spans="1:161" ht="12.75">
      <c r="A273" s="188"/>
      <c r="FE273" s="72"/>
    </row>
    <row r="274" spans="1:161" ht="12.75">
      <c r="A274" s="188"/>
      <c r="FE274" s="72"/>
    </row>
    <row r="275" spans="1:161" ht="12.75">
      <c r="A275" s="188"/>
      <c r="FE275" s="72"/>
    </row>
    <row r="276" spans="1:161" ht="12.75">
      <c r="A276" s="188"/>
      <c r="FE276" s="72"/>
    </row>
    <row r="277" spans="1:161" ht="12.75">
      <c r="A277" s="188"/>
      <c r="FE277" s="72"/>
    </row>
    <row r="278" spans="1:161" ht="12.75">
      <c r="A278" s="188"/>
      <c r="FE278" s="72"/>
    </row>
    <row r="279" spans="1:161" ht="12.75">
      <c r="A279" s="188"/>
      <c r="FE279" s="72"/>
    </row>
    <row r="280" spans="1:161" ht="12.75">
      <c r="A280" s="188"/>
      <c r="FE280" s="72"/>
    </row>
    <row r="281" spans="1:161" ht="12.75">
      <c r="A281" s="188"/>
      <c r="FE281" s="72"/>
    </row>
    <row r="282" spans="1:161" ht="12.75">
      <c r="A282" s="188"/>
      <c r="FE282" s="72"/>
    </row>
    <row r="283" spans="1:161" ht="12.75">
      <c r="A283" s="188"/>
      <c r="FE283" s="72"/>
    </row>
    <row r="284" spans="1:161" ht="12.75">
      <c r="A284" s="188"/>
      <c r="FE284" s="72"/>
    </row>
    <row r="285" spans="1:161" ht="12.75">
      <c r="A285" s="188"/>
      <c r="FE285" s="72"/>
    </row>
    <row r="286" spans="1:161" ht="12.75">
      <c r="A286" s="188"/>
      <c r="FE286" s="72"/>
    </row>
    <row r="287" spans="1:161" ht="12.75">
      <c r="A287" s="188"/>
      <c r="FE287" s="72"/>
    </row>
    <row r="288" spans="1:161" ht="12.75">
      <c r="A288" s="188"/>
      <c r="FE288" s="72"/>
    </row>
    <row r="289" spans="1:161" ht="12.75">
      <c r="A289" s="188"/>
      <c r="FE289" s="72"/>
    </row>
    <row r="290" spans="1:161" ht="12.75">
      <c r="A290" s="188"/>
      <c r="FE290" s="72"/>
    </row>
    <row r="291" spans="1:161" ht="12.75">
      <c r="A291" s="188"/>
      <c r="FE291" s="72"/>
    </row>
    <row r="292" spans="1:161" ht="12.75">
      <c r="A292" s="188"/>
      <c r="FE292" s="72"/>
    </row>
    <row r="293" spans="1:161" ht="12.75">
      <c r="A293" s="188"/>
      <c r="FE293" s="72"/>
    </row>
    <row r="294" spans="1:161" ht="12.75">
      <c r="A294" s="188"/>
      <c r="FE294" s="72"/>
    </row>
    <row r="295" spans="1:161" ht="12.75">
      <c r="A295" s="188"/>
      <c r="FE295" s="72"/>
    </row>
    <row r="296" spans="1:161" ht="12.75">
      <c r="A296" s="188"/>
      <c r="FE296" s="72"/>
    </row>
    <row r="297" spans="1:161" ht="12.75">
      <c r="A297" s="188"/>
      <c r="FE297" s="72"/>
    </row>
    <row r="298" spans="1:161" ht="12.75">
      <c r="A298" s="188"/>
      <c r="FE298" s="72"/>
    </row>
    <row r="299" spans="1:161" ht="12.75">
      <c r="A299" s="188"/>
      <c r="FE299" s="72"/>
    </row>
    <row r="300" spans="1:161" ht="12.75">
      <c r="A300" s="188"/>
      <c r="FE300" s="72"/>
    </row>
    <row r="301" spans="1:161" ht="12.75">
      <c r="A301" s="188"/>
      <c r="FE301" s="72"/>
    </row>
    <row r="302" spans="1:161" ht="12.75">
      <c r="A302" s="188"/>
      <c r="FE302" s="72"/>
    </row>
    <row r="303" spans="1:161" ht="12.75">
      <c r="A303" s="188"/>
      <c r="FE303" s="72"/>
    </row>
    <row r="304" spans="1:161" ht="12.75">
      <c r="A304" s="188"/>
      <c r="FE304" s="72"/>
    </row>
    <row r="305" spans="1:161" ht="12.75">
      <c r="A305" s="188"/>
      <c r="FE305" s="72"/>
    </row>
    <row r="306" spans="1:161" ht="12.75">
      <c r="A306" s="188"/>
      <c r="FE306" s="72"/>
    </row>
    <row r="307" spans="1:161" ht="12.75">
      <c r="A307" s="188"/>
      <c r="FE307" s="72"/>
    </row>
    <row r="308" spans="1:161" ht="12.75">
      <c r="A308" s="188"/>
      <c r="FE308" s="72"/>
    </row>
    <row r="309" spans="1:161" ht="12.75">
      <c r="A309" s="188"/>
      <c r="FE309" s="72"/>
    </row>
    <row r="310" spans="1:161" ht="12.75">
      <c r="A310" s="188"/>
      <c r="FE310" s="72"/>
    </row>
    <row r="311" spans="1:161" ht="12.75">
      <c r="A311" s="188"/>
      <c r="FE311" s="72"/>
    </row>
    <row r="312" spans="1:161" ht="12.75">
      <c r="A312" s="188"/>
      <c r="FE312" s="72"/>
    </row>
    <row r="313" spans="1:161" ht="12.75">
      <c r="A313" s="188"/>
      <c r="FE313" s="72"/>
    </row>
    <row r="314" spans="1:161" ht="12.75">
      <c r="A314" s="188"/>
      <c r="FE314" s="72"/>
    </row>
    <row r="315" spans="1:161" ht="12.75">
      <c r="A315" s="188"/>
      <c r="FE315" s="72"/>
    </row>
    <row r="316" spans="1:161" ht="12.75">
      <c r="A316" s="188"/>
      <c r="FE316" s="72"/>
    </row>
    <row r="317" spans="1:161" ht="12.75">
      <c r="A317" s="188"/>
      <c r="FE317" s="72"/>
    </row>
    <row r="318" spans="1:161" ht="12.75">
      <c r="A318" s="188"/>
      <c r="FE318" s="72"/>
    </row>
    <row r="319" spans="1:161" ht="12.75">
      <c r="A319" s="188"/>
      <c r="FE319" s="72"/>
    </row>
    <row r="320" spans="1:161" ht="12.75">
      <c r="A320" s="188"/>
      <c r="FE320" s="72"/>
    </row>
    <row r="321" spans="1:161" ht="12.75">
      <c r="A321" s="188"/>
      <c r="FE321" s="72"/>
    </row>
    <row r="322" spans="1:161" ht="12.75">
      <c r="A322" s="188"/>
      <c r="FE322" s="72"/>
    </row>
    <row r="323" spans="1:161" ht="12.75">
      <c r="A323" s="188"/>
      <c r="FE323" s="72"/>
    </row>
    <row r="324" spans="1:161" ht="12.75">
      <c r="A324" s="188"/>
      <c r="FE324" s="72"/>
    </row>
    <row r="325" spans="1:161" ht="12.75">
      <c r="A325" s="188"/>
      <c r="FE325" s="72"/>
    </row>
    <row r="326" spans="1:161" ht="12.75">
      <c r="A326" s="188"/>
      <c r="FE326" s="72"/>
    </row>
    <row r="327" spans="1:161" ht="12.75">
      <c r="A327" s="188"/>
      <c r="FE327" s="72"/>
    </row>
    <row r="328" spans="1:161" ht="12.75">
      <c r="A328" s="188"/>
      <c r="FE328" s="72"/>
    </row>
    <row r="329" spans="1:161" ht="12.75">
      <c r="A329" s="188"/>
      <c r="FE329" s="72"/>
    </row>
    <row r="330" spans="1:161" ht="12.75">
      <c r="A330" s="188"/>
      <c r="FE330" s="72"/>
    </row>
    <row r="331" spans="1:161" ht="12.75">
      <c r="A331" s="188"/>
      <c r="FE331" s="72"/>
    </row>
    <row r="332" spans="1:161" ht="12.75">
      <c r="A332" s="188"/>
      <c r="FE332" s="72"/>
    </row>
    <row r="333" spans="1:161" ht="12.75">
      <c r="A333" s="188"/>
      <c r="FE333" s="72"/>
    </row>
    <row r="334" spans="1:161" ht="12.75">
      <c r="A334" s="188"/>
      <c r="FE334" s="72"/>
    </row>
    <row r="335" spans="1:161" ht="12.75">
      <c r="A335" s="188"/>
      <c r="FE335" s="72"/>
    </row>
    <row r="336" spans="1:161" ht="12.75">
      <c r="A336" s="188"/>
      <c r="FE336" s="72"/>
    </row>
    <row r="337" spans="1:161" ht="12.75">
      <c r="A337" s="188"/>
      <c r="FE337" s="72"/>
    </row>
    <row r="338" spans="1:161" ht="12.75">
      <c r="A338" s="188"/>
      <c r="FE338" s="72"/>
    </row>
    <row r="339" spans="1:161" ht="12.75">
      <c r="A339" s="188"/>
      <c r="FE339" s="72"/>
    </row>
    <row r="340" spans="1:161" ht="12.75">
      <c r="A340" s="188"/>
      <c r="FE340" s="72"/>
    </row>
    <row r="341" spans="1:161" ht="12.75">
      <c r="A341" s="188"/>
      <c r="FE341" s="72"/>
    </row>
    <row r="342" spans="1:161" ht="12.75">
      <c r="A342" s="188"/>
      <c r="FE342" s="72"/>
    </row>
    <row r="343" spans="1:161" ht="12.75">
      <c r="A343" s="188"/>
      <c r="FE343" s="72"/>
    </row>
    <row r="344" spans="1:161" ht="12.75">
      <c r="A344" s="188"/>
      <c r="FE344" s="72"/>
    </row>
    <row r="345" spans="1:161" ht="12.75">
      <c r="A345" s="188"/>
      <c r="FE345" s="72"/>
    </row>
    <row r="346" spans="1:161" ht="12.75">
      <c r="A346" s="188"/>
      <c r="FE346" s="72"/>
    </row>
    <row r="347" spans="1:161" ht="12.75">
      <c r="A347" s="188"/>
      <c r="FE347" s="72"/>
    </row>
    <row r="348" spans="1:161" ht="12.75">
      <c r="A348" s="188"/>
      <c r="FE348" s="72"/>
    </row>
    <row r="349" spans="1:161" ht="12.75">
      <c r="A349" s="188"/>
      <c r="FE349" s="72"/>
    </row>
    <row r="350" spans="1:161" ht="12.75">
      <c r="A350" s="188"/>
      <c r="FE350" s="72"/>
    </row>
    <row r="351" spans="1:161" ht="12.75">
      <c r="A351" s="188"/>
      <c r="FE351" s="72"/>
    </row>
    <row r="352" spans="1:161" ht="12.75">
      <c r="A352" s="188"/>
      <c r="FE352" s="72"/>
    </row>
    <row r="353" spans="1:161" ht="12.75">
      <c r="A353" s="188"/>
      <c r="FE353" s="72"/>
    </row>
    <row r="354" spans="1:161" ht="12.75">
      <c r="A354" s="188"/>
      <c r="FE354" s="72"/>
    </row>
    <row r="355" spans="1:161" ht="12.75">
      <c r="A355" s="188"/>
      <c r="FE355" s="72"/>
    </row>
    <row r="356" spans="1:161" ht="12.75">
      <c r="A356" s="188"/>
      <c r="FE356" s="72"/>
    </row>
    <row r="357" spans="1:161" ht="12.75">
      <c r="A357" s="188"/>
      <c r="FE357" s="72"/>
    </row>
    <row r="358" spans="1:161" ht="12.75">
      <c r="A358" s="188"/>
      <c r="FE358" s="72"/>
    </row>
    <row r="359" spans="1:161" ht="12.75">
      <c r="A359" s="188"/>
      <c r="FE359" s="72"/>
    </row>
    <row r="360" spans="1:161" ht="12.75">
      <c r="A360" s="188"/>
      <c r="FE360" s="72"/>
    </row>
    <row r="361" spans="1:161" ht="12.75">
      <c r="A361" s="188"/>
      <c r="FE361" s="72"/>
    </row>
    <row r="362" spans="1:161" ht="12.75">
      <c r="A362" s="188"/>
      <c r="FE362" s="72"/>
    </row>
    <row r="363" spans="1:161" ht="12.75">
      <c r="A363" s="188"/>
      <c r="FE363" s="72"/>
    </row>
    <row r="364" spans="1:161" ht="12.75">
      <c r="A364" s="188"/>
      <c r="FE364" s="72"/>
    </row>
    <row r="365" spans="1:161" ht="12.75">
      <c r="A365" s="188"/>
      <c r="FE365" s="72"/>
    </row>
    <row r="366" spans="1:161" ht="12.75">
      <c r="A366" s="188"/>
      <c r="FE366" s="72"/>
    </row>
    <row r="367" spans="1:161" ht="12.75">
      <c r="A367" s="188"/>
      <c r="FE367" s="72"/>
    </row>
    <row r="368" spans="1:161" ht="12.75">
      <c r="A368" s="188"/>
      <c r="FE368" s="72"/>
    </row>
    <row r="369" spans="1:161" ht="12.75">
      <c r="A369" s="188"/>
      <c r="FE369" s="72"/>
    </row>
    <row r="370" spans="1:161" ht="12.75">
      <c r="A370" s="188"/>
      <c r="FE370" s="72"/>
    </row>
    <row r="371" spans="1:161" ht="12.75">
      <c r="A371" s="188"/>
      <c r="FE371" s="72"/>
    </row>
    <row r="372" spans="1:161" ht="12.75">
      <c r="A372" s="188"/>
      <c r="FE372" s="72"/>
    </row>
    <row r="373" spans="1:161" ht="12.75">
      <c r="A373" s="188"/>
      <c r="FE373" s="72"/>
    </row>
    <row r="374" spans="1:161" ht="12.75">
      <c r="A374" s="188"/>
      <c r="FE374" s="72"/>
    </row>
    <row r="375" spans="1:161" ht="12.75">
      <c r="A375" s="188"/>
      <c r="FE375" s="72"/>
    </row>
    <row r="376" spans="1:161" ht="12.75">
      <c r="A376" s="188"/>
      <c r="FE376" s="72"/>
    </row>
    <row r="377" spans="1:161" ht="12.75">
      <c r="A377" s="188"/>
      <c r="FE377" s="72"/>
    </row>
    <row r="378" spans="1:161" ht="12.75">
      <c r="A378" s="188"/>
      <c r="FE378" s="72"/>
    </row>
    <row r="379" spans="1:161" ht="12.75">
      <c r="A379" s="188"/>
      <c r="FE379" s="72"/>
    </row>
    <row r="380" spans="1:161" ht="12.75">
      <c r="A380" s="188"/>
      <c r="FE380" s="72"/>
    </row>
    <row r="381" spans="1:161" ht="12.75">
      <c r="A381" s="188"/>
      <c r="FE381" s="72"/>
    </row>
    <row r="382" spans="1:161" ht="12.75">
      <c r="A382" s="188"/>
      <c r="FE382" s="72"/>
    </row>
    <row r="383" spans="1:161" ht="12.75">
      <c r="A383" s="188"/>
      <c r="FE383" s="72"/>
    </row>
    <row r="384" spans="1:161" ht="12.75">
      <c r="A384" s="188"/>
      <c r="FE384" s="72"/>
    </row>
    <row r="385" spans="1:161" ht="12.75">
      <c r="A385" s="188"/>
      <c r="FE385" s="72"/>
    </row>
    <row r="386" spans="1:161" ht="12.75">
      <c r="A386" s="188"/>
      <c r="FE386" s="72"/>
    </row>
    <row r="387" spans="1:161" ht="12.75">
      <c r="A387" s="188"/>
      <c r="FE387" s="72"/>
    </row>
    <row r="388" spans="1:161" ht="12.75">
      <c r="A388" s="188"/>
      <c r="FE388" s="72"/>
    </row>
    <row r="389" spans="1:161" ht="12.75">
      <c r="A389" s="188"/>
      <c r="FE389" s="72"/>
    </row>
    <row r="390" spans="1:161" ht="12.75">
      <c r="A390" s="188"/>
      <c r="FE390" s="72"/>
    </row>
    <row r="391" spans="1:161" ht="12.75">
      <c r="A391" s="188"/>
      <c r="FE391" s="72"/>
    </row>
    <row r="392" spans="1:161" ht="12.75">
      <c r="A392" s="188"/>
      <c r="FE392" s="72"/>
    </row>
    <row r="393" spans="1:161" ht="12.75">
      <c r="A393" s="188"/>
      <c r="FE393" s="72"/>
    </row>
    <row r="394" spans="1:161" ht="12.75">
      <c r="A394" s="188"/>
      <c r="FE394" s="72"/>
    </row>
    <row r="395" spans="1:161" ht="12.75">
      <c r="A395" s="188"/>
      <c r="FE395" s="72"/>
    </row>
    <row r="396" spans="1:161" ht="12.75">
      <c r="A396" s="188"/>
      <c r="FE396" s="72"/>
    </row>
    <row r="397" spans="1:161" ht="12.75">
      <c r="A397" s="188"/>
      <c r="FE397" s="72"/>
    </row>
    <row r="398" spans="1:161" ht="12.75">
      <c r="A398" s="188"/>
      <c r="FE398" s="72"/>
    </row>
    <row r="399" spans="1:161" ht="12.75">
      <c r="A399" s="188"/>
      <c r="FE399" s="72"/>
    </row>
    <row r="400" spans="1:161" ht="12.75">
      <c r="A400" s="188"/>
      <c r="FE400" s="72"/>
    </row>
    <row r="401" spans="1:161" ht="12.75">
      <c r="A401" s="188"/>
      <c r="FE401" s="72"/>
    </row>
    <row r="402" spans="1:161" ht="12.75">
      <c r="A402" s="188"/>
      <c r="FE402" s="72"/>
    </row>
    <row r="403" spans="1:161" ht="12.75">
      <c r="A403" s="188"/>
      <c r="FE403" s="72"/>
    </row>
    <row r="404" spans="1:161" ht="12.75">
      <c r="A404" s="188"/>
      <c r="FE404" s="72"/>
    </row>
    <row r="405" spans="1:161" ht="12.75">
      <c r="A405" s="188"/>
      <c r="FE405" s="72"/>
    </row>
    <row r="406" spans="1:161" ht="12.75">
      <c r="A406" s="188"/>
      <c r="FE406" s="72"/>
    </row>
    <row r="407" spans="1:161" ht="12.75">
      <c r="A407" s="188"/>
      <c r="FE407" s="72"/>
    </row>
    <row r="408" spans="1:161" ht="12.75">
      <c r="A408" s="188"/>
      <c r="FE408" s="72"/>
    </row>
    <row r="409" spans="1:161" ht="12.75">
      <c r="A409" s="188"/>
      <c r="FE409" s="72"/>
    </row>
    <row r="410" spans="1:161" ht="12.75">
      <c r="A410" s="188"/>
      <c r="FE410" s="72"/>
    </row>
    <row r="411" spans="1:161" ht="12.75">
      <c r="A411" s="188"/>
      <c r="FE411" s="72"/>
    </row>
    <row r="412" spans="1:161" ht="12.75">
      <c r="A412" s="188"/>
      <c r="FE412" s="72"/>
    </row>
    <row r="413" spans="1:161" ht="12.75">
      <c r="A413" s="188"/>
      <c r="FE413" s="72"/>
    </row>
    <row r="414" spans="1:161" ht="12.75">
      <c r="A414" s="188"/>
      <c r="FE414" s="72"/>
    </row>
    <row r="415" spans="1:161" ht="12.75">
      <c r="A415" s="188"/>
      <c r="FE415" s="72"/>
    </row>
    <row r="416" spans="1:161" ht="12.75">
      <c r="A416" s="188"/>
      <c r="FE416" s="72"/>
    </row>
    <row r="417" spans="1:161" ht="12.75">
      <c r="A417" s="188"/>
      <c r="FE417" s="72"/>
    </row>
    <row r="418" spans="1:161" ht="12.75">
      <c r="A418" s="188"/>
      <c r="FE418" s="72"/>
    </row>
    <row r="419" spans="1:161" ht="12.75">
      <c r="A419" s="188"/>
      <c r="FE419" s="72"/>
    </row>
    <row r="420" spans="1:161" ht="12.75">
      <c r="A420" s="188"/>
      <c r="FE420" s="72"/>
    </row>
    <row r="421" spans="1:161" ht="12.75">
      <c r="A421" s="188"/>
      <c r="FE421" s="72"/>
    </row>
    <row r="422" spans="1:161" ht="12.75">
      <c r="A422" s="188"/>
      <c r="FE422" s="72"/>
    </row>
    <row r="423" spans="1:161" ht="12.75">
      <c r="A423" s="188"/>
      <c r="FE423" s="72"/>
    </row>
    <row r="424" spans="1:161" ht="12.75">
      <c r="A424" s="188"/>
      <c r="FE424" s="72"/>
    </row>
    <row r="425" spans="1:161" ht="12.75">
      <c r="A425" s="188"/>
      <c r="FE425" s="72"/>
    </row>
    <row r="426" spans="1:161" ht="12.75">
      <c r="A426" s="188"/>
      <c r="FE426" s="72"/>
    </row>
    <row r="427" spans="1:161" ht="12.75">
      <c r="A427" s="188"/>
      <c r="FE427" s="72"/>
    </row>
    <row r="428" spans="1:161" ht="12.75">
      <c r="A428" s="188"/>
      <c r="FE428" s="72"/>
    </row>
    <row r="429" spans="1:161" ht="12.75">
      <c r="A429" s="188"/>
      <c r="FE429" s="72"/>
    </row>
    <row r="430" spans="1:161" ht="12.75">
      <c r="A430" s="188"/>
      <c r="FE430" s="72"/>
    </row>
    <row r="431" spans="1:161" ht="12.75">
      <c r="A431" s="188"/>
      <c r="FE431" s="72"/>
    </row>
    <row r="432" spans="1:161" ht="12.75">
      <c r="A432" s="188"/>
      <c r="FE432" s="72"/>
    </row>
    <row r="433" spans="1:161" ht="12.75">
      <c r="A433" s="188"/>
      <c r="FE433" s="72"/>
    </row>
    <row r="434" spans="1:161" ht="12.75">
      <c r="A434" s="188"/>
      <c r="FE434" s="72"/>
    </row>
    <row r="435" spans="1:161" ht="12.75">
      <c r="A435" s="188"/>
      <c r="FE435" s="72"/>
    </row>
    <row r="436" spans="1:161" ht="12.75">
      <c r="A436" s="188"/>
      <c r="FE436" s="72"/>
    </row>
    <row r="437" spans="1:161" ht="12.75">
      <c r="A437" s="188"/>
      <c r="FE437" s="72"/>
    </row>
    <row r="438" spans="1:161" ht="12.75">
      <c r="A438" s="188"/>
      <c r="FE438" s="72"/>
    </row>
    <row r="439" spans="1:161" ht="12.75">
      <c r="A439" s="188"/>
      <c r="FE439" s="72"/>
    </row>
    <row r="440" spans="1:161" ht="12.75">
      <c r="A440" s="188"/>
      <c r="FE440" s="72"/>
    </row>
    <row r="441" spans="1:161" ht="12.75">
      <c r="A441" s="188"/>
      <c r="FE441" s="72"/>
    </row>
    <row r="442" spans="1:161" ht="12.75">
      <c r="A442" s="188"/>
      <c r="FE442" s="72"/>
    </row>
    <row r="443" spans="1:161" ht="12.75">
      <c r="A443" s="188"/>
      <c r="FE443" s="72"/>
    </row>
    <row r="444" spans="1:161" ht="12.75">
      <c r="A444" s="188"/>
      <c r="FE444" s="72"/>
    </row>
    <row r="445" spans="1:161" ht="12.75">
      <c r="A445" s="188"/>
      <c r="FE445" s="72"/>
    </row>
    <row r="446" spans="1:161" ht="12.75">
      <c r="A446" s="188"/>
      <c r="FE446" s="72"/>
    </row>
    <row r="447" spans="1:161" ht="12.75">
      <c r="A447" s="188"/>
      <c r="FE447" s="72"/>
    </row>
    <row r="448" spans="1:161" ht="12.75">
      <c r="A448" s="188"/>
      <c r="FE448" s="72"/>
    </row>
    <row r="449" spans="1:161" ht="12.75">
      <c r="A449" s="188"/>
      <c r="FE449" s="72"/>
    </row>
    <row r="450" spans="1:161" ht="12.75">
      <c r="A450" s="188"/>
      <c r="FE450" s="72"/>
    </row>
    <row r="451" spans="1:161" ht="12.75">
      <c r="A451" s="188"/>
      <c r="FE451" s="72"/>
    </row>
    <row r="452" spans="1:161" ht="12.75">
      <c r="A452" s="188"/>
      <c r="FE452" s="72"/>
    </row>
    <row r="453" spans="1:161" ht="12.75">
      <c r="A453" s="188"/>
      <c r="FE453" s="72"/>
    </row>
    <row r="454" spans="1:161" ht="12.75">
      <c r="A454" s="188"/>
      <c r="FE454" s="72"/>
    </row>
    <row r="455" spans="1:161" ht="12.75">
      <c r="A455" s="188"/>
      <c r="FE455" s="72"/>
    </row>
    <row r="456" spans="1:161" ht="12.75">
      <c r="A456" s="188"/>
      <c r="FE456" s="72"/>
    </row>
    <row r="457" spans="1:161" ht="12.75">
      <c r="A457" s="188"/>
      <c r="FE457" s="72"/>
    </row>
    <row r="458" spans="1:161" ht="12.75">
      <c r="A458" s="188"/>
      <c r="FE458" s="72"/>
    </row>
    <row r="459" spans="1:161" ht="12.75">
      <c r="A459" s="188"/>
      <c r="FE459" s="72"/>
    </row>
    <row r="460" spans="1:161" ht="12.75">
      <c r="A460" s="188"/>
      <c r="FE460" s="72"/>
    </row>
    <row r="461" spans="1:161" ht="12.75">
      <c r="A461" s="188"/>
      <c r="FE461" s="72"/>
    </row>
    <row r="462" spans="1:161" ht="12.75">
      <c r="A462" s="188"/>
      <c r="FE462" s="72"/>
    </row>
    <row r="463" spans="1:161" ht="12.75">
      <c r="A463" s="188"/>
      <c r="FE463" s="72"/>
    </row>
    <row r="464" spans="1:161" ht="12.75">
      <c r="A464" s="188"/>
      <c r="FE464" s="72"/>
    </row>
    <row r="465" spans="1:161" ht="12.75">
      <c r="A465" s="188"/>
      <c r="FE465" s="72"/>
    </row>
    <row r="466" spans="1:161" ht="12.75">
      <c r="A466" s="188"/>
      <c r="FE466" s="72"/>
    </row>
    <row r="467" spans="1:161" ht="12.75">
      <c r="A467" s="188"/>
      <c r="FE467" s="72"/>
    </row>
    <row r="468" spans="1:161" ht="12.75">
      <c r="A468" s="188"/>
      <c r="FE468" s="72"/>
    </row>
    <row r="469" spans="1:161" ht="12.75">
      <c r="A469" s="188"/>
      <c r="FE469" s="72"/>
    </row>
    <row r="470" spans="1:161" ht="12.75">
      <c r="A470" s="188"/>
      <c r="FE470" s="72"/>
    </row>
    <row r="471" spans="1:161" ht="12.75">
      <c r="A471" s="188"/>
      <c r="FE471" s="72"/>
    </row>
    <row r="472" spans="1:161" ht="12.75">
      <c r="A472" s="188"/>
      <c r="FE472" s="72"/>
    </row>
    <row r="473" spans="1:161" ht="12.75">
      <c r="A473" s="188"/>
      <c r="FE473" s="72"/>
    </row>
    <row r="474" spans="1:161" ht="12.75">
      <c r="A474" s="188"/>
      <c r="FE474" s="72"/>
    </row>
    <row r="475" spans="1:161" ht="12.75">
      <c r="A475" s="188"/>
      <c r="FE475" s="72"/>
    </row>
    <row r="476" spans="1:161" ht="12.75">
      <c r="A476" s="188"/>
      <c r="FE476" s="72"/>
    </row>
    <row r="477" spans="1:161" ht="12.75">
      <c r="A477" s="188"/>
      <c r="FE477" s="72"/>
    </row>
    <row r="478" spans="1:161" ht="12.75">
      <c r="A478" s="188"/>
      <c r="FE478" s="72"/>
    </row>
    <row r="479" spans="1:161" ht="12.75">
      <c r="A479" s="188"/>
      <c r="FE479" s="72"/>
    </row>
    <row r="480" spans="1:161" ht="12.75">
      <c r="A480" s="188"/>
      <c r="FE480" s="72"/>
    </row>
    <row r="481" spans="1:161" ht="12.75">
      <c r="A481" s="188"/>
      <c r="FE481" s="72"/>
    </row>
    <row r="482" spans="1:161" ht="12.75">
      <c r="A482" s="188"/>
      <c r="FE482" s="72"/>
    </row>
    <row r="483" spans="1:161" ht="12.75">
      <c r="A483" s="188"/>
      <c r="FE483" s="72"/>
    </row>
    <row r="484" spans="1:161" ht="12.75">
      <c r="A484" s="188"/>
      <c r="FE484" s="72"/>
    </row>
    <row r="485" spans="1:161" ht="12.75">
      <c r="A485" s="188"/>
      <c r="FE485" s="72"/>
    </row>
    <row r="486" spans="1:161" ht="12.75">
      <c r="A486" s="188"/>
      <c r="FE486" s="72"/>
    </row>
    <row r="487" spans="1:161" ht="12.75">
      <c r="A487" s="188"/>
      <c r="FE487" s="72"/>
    </row>
    <row r="488" spans="1:161" ht="12.75">
      <c r="A488" s="188"/>
      <c r="FE488" s="72"/>
    </row>
    <row r="489" spans="1:161" ht="12.75">
      <c r="A489" s="188"/>
      <c r="FE489" s="72"/>
    </row>
    <row r="490" spans="1:161" ht="12.75">
      <c r="A490" s="188"/>
      <c r="FE490" s="72"/>
    </row>
    <row r="491" spans="1:161" ht="12.75">
      <c r="A491" s="188"/>
      <c r="FE491" s="72"/>
    </row>
    <row r="492" spans="1:161" ht="12.75">
      <c r="A492" s="188"/>
      <c r="FE492" s="72"/>
    </row>
    <row r="493" spans="1:161" ht="12.75">
      <c r="A493" s="188"/>
      <c r="FE493" s="72"/>
    </row>
    <row r="494" spans="1:161" ht="12.75">
      <c r="A494" s="188"/>
      <c r="FE494" s="72"/>
    </row>
    <row r="495" spans="1:161" ht="12.75">
      <c r="A495" s="188"/>
      <c r="FE495" s="72"/>
    </row>
    <row r="496" spans="1:161" ht="12.75">
      <c r="A496" s="188"/>
      <c r="FE496" s="72"/>
    </row>
    <row r="497" spans="1:161" ht="12.75">
      <c r="A497" s="188"/>
      <c r="FE497" s="72"/>
    </row>
    <row r="498" spans="1:161" ht="12.75">
      <c r="A498" s="188"/>
      <c r="FE498" s="72"/>
    </row>
    <row r="499" spans="1:161" ht="12.75">
      <c r="A499" s="188"/>
      <c r="FE499" s="72"/>
    </row>
    <row r="500" spans="1:161" ht="12.75">
      <c r="A500" s="188"/>
      <c r="FE500" s="72"/>
    </row>
    <row r="501" spans="1:161" ht="12.75">
      <c r="A501" s="188"/>
      <c r="FE501" s="72"/>
    </row>
    <row r="502" spans="1:161" ht="12.75">
      <c r="A502" s="188"/>
      <c r="FE502" s="72"/>
    </row>
    <row r="503" spans="1:161" ht="12.75">
      <c r="A503" s="188"/>
      <c r="FE503" s="72"/>
    </row>
    <row r="504" spans="1:161" ht="12.75">
      <c r="A504" s="188"/>
      <c r="FE504" s="72"/>
    </row>
    <row r="505" spans="1:161" ht="12.75">
      <c r="A505" s="188"/>
      <c r="FE505" s="72"/>
    </row>
    <row r="506" spans="1:161" ht="12.75">
      <c r="A506" s="188"/>
      <c r="FE506" s="72"/>
    </row>
    <row r="507" spans="1:161" ht="12.75">
      <c r="A507" s="188"/>
      <c r="FE507" s="72"/>
    </row>
    <row r="508" spans="1:161" ht="12.75">
      <c r="A508" s="188"/>
      <c r="FE508" s="72"/>
    </row>
    <row r="509" spans="1:161" ht="12.75">
      <c r="A509" s="188"/>
      <c r="FE509" s="72"/>
    </row>
    <row r="510" spans="1:161" ht="12.75">
      <c r="A510" s="188"/>
      <c r="FE510" s="72"/>
    </row>
    <row r="511" spans="1:161" ht="12.75">
      <c r="A511" s="188"/>
      <c r="FE511" s="72"/>
    </row>
    <row r="512" spans="1:161" ht="12.75">
      <c r="A512" s="188"/>
      <c r="FE512" s="72"/>
    </row>
    <row r="513" spans="1:161" ht="12.75">
      <c r="A513" s="188"/>
      <c r="FE513" s="72"/>
    </row>
    <row r="514" spans="1:161" ht="12.75">
      <c r="A514" s="188"/>
      <c r="FE514" s="72"/>
    </row>
    <row r="515" spans="1:161" ht="12.75">
      <c r="A515" s="188"/>
      <c r="FE515" s="72"/>
    </row>
    <row r="516" spans="1:161" ht="12.75">
      <c r="A516" s="188"/>
      <c r="FE516" s="72"/>
    </row>
    <row r="517" spans="1:161" ht="12.75">
      <c r="A517" s="188"/>
      <c r="FE517" s="72"/>
    </row>
    <row r="518" spans="1:161" ht="12.75">
      <c r="A518" s="188"/>
      <c r="FE518" s="72"/>
    </row>
    <row r="519" spans="1:161" ht="12.75">
      <c r="A519" s="188"/>
      <c r="FE519" s="72"/>
    </row>
    <row r="520" spans="1:161" ht="12.75">
      <c r="A520" s="188"/>
      <c r="FE520" s="72"/>
    </row>
    <row r="521" spans="1:161" ht="12.75">
      <c r="A521" s="188"/>
      <c r="FE521" s="72"/>
    </row>
    <row r="522" spans="1:161" ht="12.75">
      <c r="A522" s="188"/>
      <c r="FE522" s="72"/>
    </row>
    <row r="523" spans="1:161" ht="12.75">
      <c r="A523" s="188"/>
      <c r="FE523" s="72"/>
    </row>
    <row r="524" spans="1:161" ht="12.75">
      <c r="A524" s="188"/>
      <c r="FE524" s="72"/>
    </row>
    <row r="525" spans="1:161" ht="12.75">
      <c r="A525" s="188"/>
      <c r="FE525" s="72"/>
    </row>
    <row r="526" spans="1:161" ht="12.75">
      <c r="A526" s="188"/>
      <c r="FE526" s="72"/>
    </row>
    <row r="527" spans="1:161" ht="12.75">
      <c r="A527" s="188"/>
      <c r="FE527" s="72"/>
    </row>
    <row r="528" spans="1:161" ht="12.75">
      <c r="A528" s="188"/>
      <c r="FE528" s="72"/>
    </row>
    <row r="529" spans="1:161" ht="12.75">
      <c r="A529" s="188"/>
      <c r="FE529" s="72"/>
    </row>
    <row r="530" spans="1:161" ht="12.75">
      <c r="A530" s="188"/>
      <c r="FE530" s="72"/>
    </row>
    <row r="531" spans="1:161" ht="12.75">
      <c r="A531" s="188"/>
      <c r="FE531" s="72"/>
    </row>
    <row r="532" spans="1:161" ht="12.75">
      <c r="A532" s="188"/>
      <c r="FE532" s="72"/>
    </row>
    <row r="533" spans="1:161" ht="12.75">
      <c r="A533" s="188"/>
      <c r="FE533" s="72"/>
    </row>
    <row r="534" spans="1:161" ht="12.75">
      <c r="A534" s="188"/>
      <c r="FE534" s="72"/>
    </row>
    <row r="535" spans="1:161" ht="12.75">
      <c r="A535" s="188"/>
      <c r="FE535" s="72"/>
    </row>
    <row r="536" spans="1:161" ht="12.75">
      <c r="A536" s="188"/>
      <c r="FE536" s="72"/>
    </row>
    <row r="537" spans="1:161" ht="12.75">
      <c r="A537" s="188"/>
      <c r="FE537" s="72"/>
    </row>
    <row r="538" spans="1:161" ht="12.75">
      <c r="A538" s="188"/>
      <c r="FE538" s="72"/>
    </row>
    <row r="539" spans="1:161" ht="12.75">
      <c r="A539" s="188"/>
      <c r="FE539" s="72"/>
    </row>
    <row r="540" spans="1:161" ht="12.75">
      <c r="A540" s="188"/>
      <c r="FE540" s="72"/>
    </row>
    <row r="541" spans="1:161" ht="12.75">
      <c r="A541" s="188"/>
      <c r="FE541" s="72"/>
    </row>
    <row r="542" spans="1:161" ht="12.75">
      <c r="A542" s="188"/>
      <c r="FE542" s="72"/>
    </row>
    <row r="543" spans="1:161" ht="12.75">
      <c r="A543" s="188"/>
      <c r="FE543" s="72"/>
    </row>
    <row r="544" spans="1:161" ht="12.75">
      <c r="A544" s="188"/>
      <c r="FE544" s="72"/>
    </row>
    <row r="545" spans="1:161" ht="12.75">
      <c r="A545" s="188"/>
      <c r="FE545" s="72"/>
    </row>
    <row r="546" spans="1:161" ht="12.75">
      <c r="A546" s="188"/>
      <c r="FE546" s="72"/>
    </row>
    <row r="547" spans="1:161" ht="12.75">
      <c r="A547" s="188"/>
      <c r="FE547" s="72"/>
    </row>
    <row r="548" spans="1:161" ht="12.75">
      <c r="A548" s="188"/>
      <c r="FE548" s="72"/>
    </row>
    <row r="549" spans="1:161" ht="12.75">
      <c r="A549" s="188"/>
      <c r="FE549" s="72"/>
    </row>
    <row r="550" spans="1:161" ht="12.75">
      <c r="A550" s="188"/>
      <c r="FE550" s="72"/>
    </row>
    <row r="551" spans="1:161" ht="12.75">
      <c r="A551" s="188"/>
      <c r="FE551" s="72"/>
    </row>
    <row r="552" spans="1:161" ht="12.75">
      <c r="A552" s="188"/>
      <c r="FE552" s="72"/>
    </row>
    <row r="553" spans="1:161" ht="12.75">
      <c r="A553" s="188"/>
      <c r="FE553" s="72"/>
    </row>
    <row r="554" spans="1:161" ht="12.75">
      <c r="A554" s="188"/>
      <c r="FE554" s="72"/>
    </row>
    <row r="555" spans="1:161" ht="12.75">
      <c r="A555" s="188"/>
      <c r="FE555" s="72"/>
    </row>
    <row r="556" spans="1:161" ht="12.75">
      <c r="A556" s="188"/>
      <c r="FE556" s="72"/>
    </row>
    <row r="557" spans="1:161" ht="12.75">
      <c r="A557" s="188"/>
      <c r="FE557" s="72"/>
    </row>
    <row r="558" spans="1:161" ht="12.75">
      <c r="A558" s="188"/>
      <c r="FE558" s="72"/>
    </row>
    <row r="559" spans="1:161" ht="12.75">
      <c r="A559" s="188"/>
      <c r="FE559" s="72"/>
    </row>
    <row r="560" spans="1:161" ht="12.75">
      <c r="A560" s="188"/>
      <c r="FE560" s="72"/>
    </row>
    <row r="561" spans="1:161" ht="12.75">
      <c r="A561" s="188"/>
      <c r="FE561" s="72"/>
    </row>
    <row r="562" spans="1:161" ht="12.75">
      <c r="A562" s="188"/>
      <c r="FE562" s="72"/>
    </row>
    <row r="563" spans="1:161" ht="12.75">
      <c r="A563" s="188"/>
      <c r="FE563" s="72"/>
    </row>
    <row r="564" spans="1:161" ht="12.75">
      <c r="A564" s="188"/>
      <c r="FE564" s="72"/>
    </row>
    <row r="565" spans="1:161" ht="12.75">
      <c r="A565" s="188"/>
      <c r="FE565" s="72"/>
    </row>
    <row r="566" spans="1:161" ht="12.75">
      <c r="A566" s="188"/>
      <c r="FE566" s="72"/>
    </row>
    <row r="567" spans="1:161" ht="12.75">
      <c r="A567" s="188"/>
      <c r="FE567" s="72"/>
    </row>
    <row r="568" spans="1:161" ht="12.75">
      <c r="A568" s="188"/>
      <c r="FE568" s="72"/>
    </row>
    <row r="569" spans="1:161" ht="12.75">
      <c r="A569" s="188"/>
      <c r="FE569" s="72"/>
    </row>
    <row r="570" spans="1:161" ht="12.75">
      <c r="A570" s="188"/>
      <c r="FE570" s="72"/>
    </row>
    <row r="571" spans="1:161" ht="12.75">
      <c r="A571" s="188"/>
      <c r="FE571" s="72"/>
    </row>
    <row r="572" spans="1:161" ht="12.75">
      <c r="A572" s="188"/>
      <c r="FE572" s="72"/>
    </row>
    <row r="573" spans="1:161" ht="12.75">
      <c r="A573" s="188"/>
      <c r="FE573" s="72"/>
    </row>
    <row r="574" spans="1:161" ht="12.75">
      <c r="A574" s="188"/>
      <c r="FE574" s="72"/>
    </row>
    <row r="575" spans="1:161" ht="12.75">
      <c r="A575" s="188"/>
      <c r="FE575" s="72"/>
    </row>
    <row r="576" spans="1:161" ht="12.75">
      <c r="A576" s="188"/>
      <c r="FE576" s="72"/>
    </row>
    <row r="577" spans="1:161" ht="12.75">
      <c r="A577" s="188"/>
      <c r="FE577" s="72"/>
    </row>
    <row r="578" spans="1:161" ht="12.75">
      <c r="A578" s="188"/>
      <c r="FE578" s="72"/>
    </row>
    <row r="579" spans="1:161" ht="12.75">
      <c r="A579" s="188"/>
      <c r="FE579" s="72"/>
    </row>
    <row r="580" spans="1:161" ht="12.75">
      <c r="A580" s="188"/>
      <c r="FE580" s="72"/>
    </row>
    <row r="581" spans="1:161" ht="12.75">
      <c r="A581" s="188"/>
      <c r="FE581" s="72"/>
    </row>
    <row r="582" spans="1:161" ht="12.75">
      <c r="A582" s="188"/>
      <c r="FE582" s="72"/>
    </row>
    <row r="583" spans="1:161" ht="12.75">
      <c r="A583" s="188"/>
      <c r="FE583" s="72"/>
    </row>
    <row r="584" spans="1:161" ht="12.75">
      <c r="A584" s="188"/>
      <c r="FE584" s="72"/>
    </row>
    <row r="585" spans="1:161" ht="12.75">
      <c r="A585" s="188"/>
      <c r="FE585" s="72"/>
    </row>
    <row r="586" spans="1:161" ht="12.75">
      <c r="A586" s="188"/>
      <c r="FE586" s="72"/>
    </row>
    <row r="587" spans="1:161" ht="12.75">
      <c r="A587" s="188"/>
      <c r="FE587" s="72"/>
    </row>
    <row r="588" spans="1:161" ht="12.75">
      <c r="A588" s="188"/>
      <c r="FE588" s="72"/>
    </row>
    <row r="589" spans="1:161" ht="12.75">
      <c r="A589" s="188"/>
      <c r="FE589" s="72"/>
    </row>
    <row r="590" spans="1:161" ht="12.75">
      <c r="A590" s="188"/>
      <c r="FE590" s="72"/>
    </row>
    <row r="591" spans="1:161" ht="12.75">
      <c r="A591" s="188"/>
      <c r="FE591" s="72"/>
    </row>
    <row r="592" spans="1:161" ht="12.75">
      <c r="A592" s="188"/>
      <c r="FE592" s="72"/>
    </row>
    <row r="593" spans="1:161" ht="12.75">
      <c r="A593" s="188"/>
      <c r="FE593" s="72"/>
    </row>
    <row r="594" spans="1:161" ht="12.75">
      <c r="A594" s="188"/>
      <c r="FE594" s="72"/>
    </row>
    <row r="595" spans="1:161" ht="12.75">
      <c r="A595" s="188"/>
      <c r="FE595" s="72"/>
    </row>
    <row r="596" spans="1:161" ht="12.75">
      <c r="A596" s="188"/>
      <c r="FE596" s="72"/>
    </row>
    <row r="597" spans="1:161" ht="12.75">
      <c r="A597" s="188"/>
      <c r="FE597" s="72"/>
    </row>
    <row r="598" spans="1:161" ht="12.75">
      <c r="A598" s="188"/>
      <c r="FE598" s="72"/>
    </row>
    <row r="599" spans="1:161" ht="12.75">
      <c r="A599" s="188"/>
      <c r="FE599" s="72"/>
    </row>
    <row r="600" spans="1:161" ht="12.75">
      <c r="A600" s="188"/>
      <c r="FE600" s="72"/>
    </row>
    <row r="601" spans="1:161" ht="12.75">
      <c r="A601" s="188"/>
      <c r="FE601" s="72"/>
    </row>
    <row r="602" spans="1:161" ht="12.75">
      <c r="A602" s="188"/>
      <c r="FE602" s="72"/>
    </row>
    <row r="603" spans="1:161" ht="12.75">
      <c r="A603" s="188"/>
      <c r="FE603" s="72"/>
    </row>
    <row r="604" spans="1:161" ht="12.75">
      <c r="A604" s="188"/>
      <c r="FE604" s="72"/>
    </row>
    <row r="605" spans="1:161" ht="12.75">
      <c r="A605" s="188"/>
      <c r="FE605" s="72"/>
    </row>
    <row r="606" spans="1:161" ht="12.75">
      <c r="A606" s="188"/>
      <c r="FE606" s="72"/>
    </row>
    <row r="607" spans="1:161" ht="12.75">
      <c r="A607" s="188"/>
      <c r="FE607" s="72"/>
    </row>
    <row r="608" spans="1:161" ht="12.75">
      <c r="A608" s="188"/>
      <c r="FE608" s="72"/>
    </row>
    <row r="609" spans="1:161" ht="12.75">
      <c r="A609" s="188"/>
      <c r="FE609" s="72"/>
    </row>
    <row r="610" spans="1:161" ht="12.75">
      <c r="A610" s="188"/>
      <c r="FE610" s="72"/>
    </row>
    <row r="611" spans="1:161" ht="12.75">
      <c r="A611" s="188"/>
      <c r="FE611" s="72"/>
    </row>
    <row r="612" spans="1:161" ht="12.75">
      <c r="A612" s="188"/>
      <c r="FE612" s="72"/>
    </row>
    <row r="613" spans="1:161" ht="12.75">
      <c r="A613" s="188"/>
      <c r="FE613" s="72"/>
    </row>
    <row r="614" spans="1:161" ht="12.75">
      <c r="A614" s="188"/>
      <c r="FE614" s="72"/>
    </row>
    <row r="615" spans="1:161" ht="12.75">
      <c r="A615" s="188"/>
      <c r="FE615" s="72"/>
    </row>
    <row r="616" spans="1:161" ht="12.75">
      <c r="A616" s="188"/>
      <c r="FE616" s="72"/>
    </row>
    <row r="617" spans="1:161" ht="12.75">
      <c r="A617" s="188"/>
      <c r="FE617" s="72"/>
    </row>
    <row r="618" spans="1:161" ht="12.75">
      <c r="A618" s="188"/>
      <c r="FE618" s="72"/>
    </row>
    <row r="619" spans="1:161" ht="12.75">
      <c r="A619" s="188"/>
      <c r="FE619" s="72"/>
    </row>
    <row r="620" spans="1:161" ht="12.75">
      <c r="A620" s="188"/>
      <c r="FE620" s="72"/>
    </row>
    <row r="621" spans="1:161" ht="12.75">
      <c r="A621" s="188"/>
      <c r="FE621" s="72"/>
    </row>
    <row r="622" spans="1:161" ht="12.75">
      <c r="A622" s="188"/>
      <c r="FE622" s="72"/>
    </row>
    <row r="623" spans="1:161" ht="12.75">
      <c r="A623" s="188"/>
      <c r="FE623" s="72"/>
    </row>
    <row r="624" spans="1:161" ht="12.75">
      <c r="A624" s="188"/>
      <c r="FE624" s="72"/>
    </row>
    <row r="625" spans="1:161" ht="12.75">
      <c r="A625" s="188"/>
      <c r="FE625" s="72"/>
    </row>
    <row r="626" spans="1:161" ht="12.75">
      <c r="A626" s="188"/>
      <c r="FE626" s="72"/>
    </row>
    <row r="627" spans="1:161" ht="12.75">
      <c r="A627" s="188"/>
      <c r="FE627" s="72"/>
    </row>
    <row r="628" spans="1:161" ht="12.75">
      <c r="A628" s="188"/>
      <c r="FE628" s="72"/>
    </row>
    <row r="629" spans="1:161" ht="12.75">
      <c r="A629" s="188"/>
      <c r="FE629" s="72"/>
    </row>
    <row r="630" spans="1:161" ht="12.75">
      <c r="A630" s="188"/>
      <c r="FE630" s="72"/>
    </row>
    <row r="631" spans="1:161" ht="12.75">
      <c r="A631" s="188"/>
      <c r="FE631" s="72"/>
    </row>
    <row r="632" spans="1:161" ht="12.75">
      <c r="A632" s="188"/>
      <c r="FE632" s="72"/>
    </row>
    <row r="633" spans="1:161" ht="12.75">
      <c r="A633" s="188"/>
      <c r="FE633" s="72"/>
    </row>
    <row r="634" spans="1:161" ht="12.75">
      <c r="A634" s="188"/>
      <c r="FE634" s="72"/>
    </row>
    <row r="635" spans="1:161" ht="12.75">
      <c r="A635" s="188"/>
      <c r="FE635" s="72"/>
    </row>
    <row r="636" spans="1:161" ht="12.75">
      <c r="A636" s="188"/>
      <c r="FE636" s="72"/>
    </row>
    <row r="637" spans="1:161" ht="12.75">
      <c r="A637" s="188"/>
      <c r="FE637" s="72"/>
    </row>
    <row r="638" spans="1:161" ht="12.75">
      <c r="A638" s="188"/>
      <c r="FE638" s="72"/>
    </row>
    <row r="639" spans="1:161" ht="12.75">
      <c r="A639" s="188"/>
      <c r="FE639" s="72"/>
    </row>
    <row r="640" spans="1:161" ht="12.75">
      <c r="A640" s="188"/>
      <c r="FE640" s="72"/>
    </row>
    <row r="641" spans="1:161" ht="12.75">
      <c r="A641" s="188"/>
      <c r="FE641" s="72"/>
    </row>
    <row r="642" spans="1:161" ht="12.75">
      <c r="A642" s="188"/>
      <c r="FE642" s="72"/>
    </row>
    <row r="643" spans="1:161" ht="12.75">
      <c r="A643" s="188"/>
      <c r="FE643" s="72"/>
    </row>
    <row r="644" spans="1:161" ht="12.75">
      <c r="A644" s="188"/>
      <c r="FE644" s="72"/>
    </row>
    <row r="645" spans="1:161" ht="12.75">
      <c r="A645" s="188"/>
      <c r="FE645" s="72"/>
    </row>
    <row r="646" spans="1:161" ht="12.75">
      <c r="A646" s="188"/>
      <c r="FE646" s="72"/>
    </row>
    <row r="647" spans="1:161" ht="12.75">
      <c r="A647" s="188"/>
      <c r="FE647" s="72"/>
    </row>
    <row r="648" spans="1:161" ht="12.75">
      <c r="A648" s="188"/>
      <c r="FE648" s="72"/>
    </row>
    <row r="649" spans="1:161" ht="12.75">
      <c r="A649" s="188"/>
      <c r="FE649" s="72"/>
    </row>
    <row r="650" spans="1:161" ht="12.75">
      <c r="A650" s="188"/>
      <c r="FE650" s="72"/>
    </row>
    <row r="651" spans="1:161" ht="12.75">
      <c r="A651" s="188"/>
      <c r="FE651" s="72"/>
    </row>
    <row r="652" spans="1:161" ht="12.75">
      <c r="A652" s="188"/>
      <c r="FE652" s="72"/>
    </row>
    <row r="653" spans="1:161" ht="12.75">
      <c r="A653" s="188"/>
      <c r="FE653" s="72"/>
    </row>
    <row r="654" spans="1:161" ht="12.75">
      <c r="A654" s="188"/>
      <c r="FE654" s="72"/>
    </row>
    <row r="655" spans="1:161" ht="12.75">
      <c r="A655" s="188"/>
      <c r="FE655" s="72"/>
    </row>
    <row r="656" spans="1:161" ht="12.75">
      <c r="A656" s="188"/>
      <c r="FE656" s="72"/>
    </row>
    <row r="657" spans="1:161" ht="12.75">
      <c r="A657" s="188"/>
      <c r="FE657" s="72"/>
    </row>
    <row r="658" spans="1:161" ht="12.75">
      <c r="A658" s="188"/>
      <c r="FE658" s="72"/>
    </row>
    <row r="659" spans="1:161" ht="12.75">
      <c r="A659" s="188"/>
      <c r="FE659" s="72"/>
    </row>
    <row r="660" spans="1:161" ht="12.75">
      <c r="A660" s="188"/>
      <c r="FE660" s="72"/>
    </row>
    <row r="661" spans="1:161" ht="12.75">
      <c r="A661" s="188"/>
      <c r="FE661" s="72"/>
    </row>
    <row r="662" spans="1:161" ht="12.75">
      <c r="A662" s="188"/>
      <c r="FE662" s="72"/>
    </row>
    <row r="663" spans="1:161" ht="12.75">
      <c r="A663" s="188"/>
      <c r="FE663" s="72"/>
    </row>
    <row r="664" spans="1:161" ht="12.75">
      <c r="A664" s="188"/>
      <c r="FE664" s="72"/>
    </row>
    <row r="665" spans="1:161" ht="12.75">
      <c r="A665" s="188"/>
      <c r="FE665" s="72"/>
    </row>
    <row r="666" spans="1:161" ht="12.75">
      <c r="A666" s="188"/>
      <c r="FE666" s="72"/>
    </row>
    <row r="667" spans="1:161" ht="12.75">
      <c r="A667" s="188"/>
      <c r="FE667" s="72"/>
    </row>
    <row r="668" spans="1:161" ht="12.75">
      <c r="A668" s="188"/>
      <c r="FE668" s="72"/>
    </row>
    <row r="669" spans="1:161" ht="12.75">
      <c r="A669" s="188"/>
      <c r="FE669" s="72"/>
    </row>
    <row r="670" spans="1:161" ht="12.75">
      <c r="A670" s="188"/>
      <c r="FE670" s="72"/>
    </row>
    <row r="671" spans="1:161" ht="12.75">
      <c r="A671" s="188"/>
      <c r="FE671" s="72"/>
    </row>
    <row r="672" spans="1:161" ht="12.75">
      <c r="A672" s="188"/>
      <c r="FE672" s="72"/>
    </row>
    <row r="673" spans="1:161" ht="12.75">
      <c r="A673" s="188"/>
      <c r="FE673" s="72"/>
    </row>
    <row r="674" spans="1:161" ht="12.75">
      <c r="A674" s="188"/>
      <c r="FE674" s="72"/>
    </row>
    <row r="675" spans="1:161" ht="12.75">
      <c r="A675" s="188"/>
      <c r="FE675" s="72"/>
    </row>
    <row r="676" spans="1:161" ht="12.75">
      <c r="A676" s="188"/>
      <c r="FE676" s="72"/>
    </row>
    <row r="677" spans="1:161" ht="12.75">
      <c r="A677" s="188"/>
      <c r="FE677" s="72"/>
    </row>
    <row r="678" spans="1:161" ht="12.75">
      <c r="A678" s="188"/>
      <c r="FE678" s="72"/>
    </row>
    <row r="679" spans="1:161" ht="12.75">
      <c r="A679" s="188"/>
      <c r="FE679" s="72"/>
    </row>
    <row r="680" spans="1:161" ht="12.75">
      <c r="A680" s="188"/>
      <c r="FE680" s="72"/>
    </row>
    <row r="681" spans="1:161" ht="12.75">
      <c r="A681" s="188"/>
      <c r="FE681" s="72"/>
    </row>
    <row r="682" spans="1:161" ht="12.75">
      <c r="A682" s="188"/>
      <c r="FE682" s="72"/>
    </row>
    <row r="683" spans="1:161" ht="12.75">
      <c r="A683" s="188"/>
      <c r="FE683" s="72"/>
    </row>
    <row r="684" spans="1:161" ht="12.75">
      <c r="A684" s="188"/>
      <c r="FE684" s="72"/>
    </row>
    <row r="685" spans="1:161" ht="12.75">
      <c r="A685" s="188"/>
      <c r="FE685" s="72"/>
    </row>
    <row r="686" spans="1:161" ht="12.75">
      <c r="A686" s="188"/>
      <c r="FE686" s="72"/>
    </row>
    <row r="687" spans="1:161" ht="12.75">
      <c r="A687" s="188"/>
      <c r="FE687" s="72"/>
    </row>
    <row r="688" spans="1:161" ht="12.75">
      <c r="A688" s="188"/>
      <c r="FE688" s="72"/>
    </row>
    <row r="689" spans="1:161" ht="12.75">
      <c r="A689" s="188"/>
      <c r="FE689" s="72"/>
    </row>
    <row r="690" spans="1:161" ht="12.75">
      <c r="A690" s="188"/>
      <c r="FE690" s="72"/>
    </row>
    <row r="691" spans="1:161" ht="12.75">
      <c r="A691" s="188"/>
      <c r="FE691" s="72"/>
    </row>
    <row r="692" spans="1:161" ht="12.75">
      <c r="A692" s="188"/>
      <c r="FE692" s="72"/>
    </row>
    <row r="693" spans="1:161" ht="12.75">
      <c r="A693" s="188"/>
      <c r="FE693" s="72"/>
    </row>
    <row r="694" spans="1:161" ht="12.75">
      <c r="A694" s="188"/>
      <c r="FE694" s="72"/>
    </row>
    <row r="695" spans="1:161" ht="12.75">
      <c r="A695" s="188"/>
      <c r="FE695" s="72"/>
    </row>
    <row r="696" spans="1:161" ht="12.75">
      <c r="A696" s="188"/>
      <c r="FE696" s="72"/>
    </row>
    <row r="697" spans="1:161" ht="12.75">
      <c r="A697" s="188"/>
      <c r="FE697" s="72"/>
    </row>
    <row r="698" spans="1:161" ht="12.75">
      <c r="A698" s="188"/>
      <c r="FE698" s="72"/>
    </row>
    <row r="699" spans="1:161" ht="12.75">
      <c r="A699" s="188"/>
      <c r="FE699" s="72"/>
    </row>
    <row r="700" spans="1:161" ht="12.75">
      <c r="A700" s="188"/>
      <c r="FE700" s="72"/>
    </row>
    <row r="701" spans="1:161" ht="12.75">
      <c r="A701" s="188"/>
      <c r="FE701" s="72"/>
    </row>
    <row r="702" spans="1:161" ht="12.75">
      <c r="A702" s="188"/>
      <c r="FE702" s="72"/>
    </row>
    <row r="703" spans="1:161" ht="12.75">
      <c r="A703" s="188"/>
      <c r="FE703" s="72"/>
    </row>
    <row r="704" spans="1:161" ht="12.75">
      <c r="A704" s="188"/>
      <c r="FE704" s="72"/>
    </row>
    <row r="705" spans="1:161" ht="12.75">
      <c r="A705" s="188"/>
      <c r="FE705" s="72"/>
    </row>
    <row r="706" spans="1:161" ht="12.75">
      <c r="A706" s="188"/>
      <c r="FE706" s="72"/>
    </row>
    <row r="707" spans="1:161" ht="12.75">
      <c r="A707" s="188"/>
      <c r="FE707" s="72"/>
    </row>
    <row r="708" spans="1:161" ht="12.75">
      <c r="A708" s="188"/>
      <c r="FE708" s="72"/>
    </row>
    <row r="709" spans="1:161" ht="12.75">
      <c r="A709" s="188"/>
      <c r="FE709" s="72"/>
    </row>
    <row r="710" spans="1:161" ht="12.75">
      <c r="A710" s="188"/>
      <c r="FE710" s="72"/>
    </row>
    <row r="711" spans="1:161" ht="12.75">
      <c r="A711" s="188"/>
      <c r="FE711" s="72"/>
    </row>
    <row r="712" spans="1:161" ht="12.75">
      <c r="A712" s="188"/>
      <c r="FE712" s="72"/>
    </row>
    <row r="713" spans="1:161" ht="12.75">
      <c r="A713" s="188"/>
      <c r="FE713" s="72"/>
    </row>
    <row r="714" spans="1:161" ht="12.75">
      <c r="A714" s="188"/>
      <c r="FE714" s="72"/>
    </row>
    <row r="715" spans="1:161" ht="12.75">
      <c r="A715" s="188"/>
      <c r="FE715" s="72"/>
    </row>
    <row r="716" spans="1:161" ht="12.75">
      <c r="A716" s="188"/>
      <c r="FE716" s="72"/>
    </row>
    <row r="717" spans="1:161" ht="12.75">
      <c r="A717" s="188"/>
      <c r="FE717" s="72"/>
    </row>
    <row r="718" spans="1:161" ht="12.75">
      <c r="A718" s="188"/>
      <c r="FE718" s="72"/>
    </row>
    <row r="719" spans="1:161" ht="12.75">
      <c r="A719" s="188"/>
      <c r="FE719" s="72"/>
    </row>
    <row r="720" spans="1:161" ht="12.75">
      <c r="A720" s="188"/>
      <c r="FE720" s="72"/>
    </row>
    <row r="721" spans="1:161" ht="12.75">
      <c r="A721" s="188"/>
      <c r="FE721" s="72"/>
    </row>
    <row r="722" spans="1:161" ht="12.75">
      <c r="A722" s="188"/>
      <c r="FE722" s="72"/>
    </row>
    <row r="723" spans="1:161" ht="12.75">
      <c r="A723" s="188"/>
      <c r="FE723" s="72"/>
    </row>
    <row r="724" spans="1:161" ht="12.75">
      <c r="A724" s="188"/>
      <c r="FE724" s="72"/>
    </row>
    <row r="725" spans="1:161" ht="12.75">
      <c r="A725" s="188"/>
      <c r="FE725" s="72"/>
    </row>
    <row r="726" spans="1:161" ht="12.75">
      <c r="A726" s="188"/>
      <c r="FE726" s="72"/>
    </row>
    <row r="727" spans="1:161" ht="12.75">
      <c r="A727" s="188"/>
      <c r="FE727" s="72"/>
    </row>
    <row r="728" spans="1:161" ht="12.75">
      <c r="A728" s="188"/>
      <c r="FE728" s="72"/>
    </row>
    <row r="729" spans="1:161" ht="12.75">
      <c r="A729" s="188"/>
      <c r="FE729" s="72"/>
    </row>
    <row r="730" spans="1:161" ht="12.75">
      <c r="A730" s="188"/>
      <c r="FE730" s="72"/>
    </row>
    <row r="731" spans="1:161" ht="12.75">
      <c r="A731" s="188"/>
      <c r="FE731" s="72"/>
    </row>
    <row r="732" spans="1:161" ht="12.75">
      <c r="A732" s="188"/>
      <c r="FE732" s="72"/>
    </row>
    <row r="733" spans="1:161" ht="12.75">
      <c r="A733" s="188"/>
      <c r="FE733" s="72"/>
    </row>
    <row r="734" spans="1:161" ht="12.75">
      <c r="A734" s="188"/>
      <c r="FE734" s="72"/>
    </row>
    <row r="735" spans="1:161" ht="12.75">
      <c r="A735" s="188"/>
      <c r="FE735" s="72"/>
    </row>
    <row r="736" spans="1:161" ht="12.75">
      <c r="A736" s="188"/>
      <c r="FE736" s="72"/>
    </row>
    <row r="737" spans="1:161" ht="12.75">
      <c r="A737" s="188"/>
      <c r="FE737" s="72"/>
    </row>
    <row r="738" spans="1:161" ht="12.75">
      <c r="A738" s="188"/>
      <c r="FE738" s="72"/>
    </row>
    <row r="739" spans="1:161" ht="12.75">
      <c r="A739" s="188"/>
      <c r="FE739" s="72"/>
    </row>
    <row r="740" spans="1:161" ht="12.75">
      <c r="A740" s="188"/>
      <c r="FE740" s="72"/>
    </row>
    <row r="741" spans="1:161" ht="12.75">
      <c r="A741" s="188"/>
      <c r="FE741" s="72"/>
    </row>
    <row r="742" spans="1:161" ht="12.75">
      <c r="A742" s="188"/>
      <c r="FE742" s="72"/>
    </row>
    <row r="743" spans="1:161" ht="12.75">
      <c r="A743" s="188"/>
      <c r="FE743" s="72"/>
    </row>
    <row r="744" spans="1:161" ht="12.75">
      <c r="A744" s="188"/>
      <c r="FE744" s="72"/>
    </row>
    <row r="745" spans="1:161" ht="12.75">
      <c r="A745" s="188"/>
      <c r="FE745" s="72"/>
    </row>
    <row r="746" spans="1:161" ht="12.75">
      <c r="A746" s="188"/>
      <c r="FE746" s="72"/>
    </row>
    <row r="747" spans="1:161" ht="12.75">
      <c r="A747" s="188"/>
      <c r="FE747" s="72"/>
    </row>
    <row r="748" spans="1:161" ht="12.75">
      <c r="A748" s="188"/>
      <c r="FE748" s="72"/>
    </row>
    <row r="749" spans="1:161" ht="12.75">
      <c r="A749" s="188"/>
      <c r="FE749" s="72"/>
    </row>
    <row r="750" spans="1:161" ht="12.75">
      <c r="A750" s="188"/>
      <c r="FE750" s="72"/>
    </row>
    <row r="751" spans="1:161" ht="12.75">
      <c r="A751" s="188"/>
      <c r="FE751" s="72"/>
    </row>
    <row r="752" spans="1:161" ht="12.75">
      <c r="A752" s="188"/>
      <c r="FE752" s="72"/>
    </row>
    <row r="753" spans="1:161" ht="12.75">
      <c r="A753" s="188"/>
      <c r="FE753" s="72"/>
    </row>
    <row r="754" spans="1:161" ht="12.75">
      <c r="A754" s="188"/>
      <c r="FE754" s="72"/>
    </row>
    <row r="755" spans="1:161" ht="12.75">
      <c r="A755" s="188"/>
      <c r="FE755" s="72"/>
    </row>
    <row r="756" spans="1:161" ht="12.75">
      <c r="A756" s="188"/>
      <c r="FE756" s="72"/>
    </row>
    <row r="757" spans="1:161" ht="12.75">
      <c r="A757" s="188"/>
      <c r="FE757" s="72"/>
    </row>
    <row r="758" spans="1:161" ht="12.75">
      <c r="A758" s="188"/>
      <c r="FE758" s="72"/>
    </row>
    <row r="759" spans="1:161" ht="12.75">
      <c r="A759" s="188"/>
      <c r="FE759" s="72"/>
    </row>
    <row r="760" spans="1:161" ht="12.75">
      <c r="A760" s="188"/>
      <c r="FE760" s="72"/>
    </row>
    <row r="761" spans="1:161" ht="12.75">
      <c r="A761" s="188"/>
      <c r="FE761" s="72"/>
    </row>
    <row r="762" spans="1:161" ht="12.75">
      <c r="A762" s="188"/>
      <c r="FE762" s="72"/>
    </row>
    <row r="763" spans="1:161" ht="12.75">
      <c r="A763" s="188"/>
      <c r="FE763" s="72"/>
    </row>
    <row r="764" spans="1:161" ht="12.75">
      <c r="A764" s="188"/>
      <c r="FE764" s="72"/>
    </row>
    <row r="765" spans="1:161" ht="12.75">
      <c r="A765" s="188"/>
      <c r="FE765" s="72"/>
    </row>
    <row r="766" spans="1:161" ht="12.75">
      <c r="A766" s="188"/>
      <c r="FE766" s="72"/>
    </row>
    <row r="767" spans="1:161" ht="12.75">
      <c r="A767" s="188"/>
      <c r="FE767" s="72"/>
    </row>
    <row r="768" spans="1:161" ht="12.75">
      <c r="A768" s="188"/>
      <c r="FE768" s="72"/>
    </row>
    <row r="769" spans="1:161" ht="12.75">
      <c r="A769" s="188"/>
      <c r="FE769" s="72"/>
    </row>
    <row r="770" spans="1:161" ht="12.75">
      <c r="A770" s="188"/>
      <c r="FE770" s="72"/>
    </row>
    <row r="771" spans="1:161" ht="12.75">
      <c r="A771" s="188"/>
      <c r="FE771" s="72"/>
    </row>
    <row r="772" spans="1:161" ht="12.75">
      <c r="A772" s="188"/>
      <c r="FE772" s="72"/>
    </row>
    <row r="773" spans="1:161" ht="12.75">
      <c r="A773" s="188"/>
      <c r="FE773" s="72"/>
    </row>
    <row r="774" spans="1:161" ht="12.75">
      <c r="A774" s="188"/>
      <c r="FE774" s="72"/>
    </row>
    <row r="775" spans="1:161" ht="12.75">
      <c r="A775" s="188"/>
      <c r="FE775" s="72"/>
    </row>
    <row r="776" spans="1:161" ht="12.75">
      <c r="A776" s="188"/>
      <c r="FE776" s="72"/>
    </row>
    <row r="777" spans="1:161" ht="12.75">
      <c r="A777" s="188"/>
      <c r="FE777" s="72"/>
    </row>
    <row r="778" spans="1:161" ht="12.75">
      <c r="A778" s="188"/>
      <c r="FE778" s="72"/>
    </row>
    <row r="779" spans="1:161" ht="12.75">
      <c r="A779" s="188"/>
      <c r="FE779" s="72"/>
    </row>
    <row r="780" spans="1:161" ht="12.75">
      <c r="A780" s="188"/>
      <c r="FE780" s="72"/>
    </row>
    <row r="781" spans="1:161" ht="12.75">
      <c r="A781" s="188"/>
      <c r="FE781" s="72"/>
    </row>
    <row r="782" spans="1:161" ht="12.75">
      <c r="A782" s="188"/>
      <c r="FE782" s="72"/>
    </row>
    <row r="783" spans="1:161" ht="12.75">
      <c r="A783" s="188"/>
      <c r="FE783" s="72"/>
    </row>
    <row r="784" spans="1:161" ht="12.75">
      <c r="A784" s="188"/>
      <c r="FE784" s="72"/>
    </row>
    <row r="785" spans="1:161" ht="12.75">
      <c r="A785" s="188"/>
      <c r="FE785" s="72"/>
    </row>
    <row r="786" spans="1:161" ht="12.75">
      <c r="A786" s="188"/>
      <c r="FE786" s="72"/>
    </row>
    <row r="787" spans="1:161" ht="12.75">
      <c r="A787" s="188"/>
      <c r="FE787" s="72"/>
    </row>
    <row r="788" spans="1:161" ht="12.75">
      <c r="A788" s="188"/>
      <c r="FE788" s="72"/>
    </row>
    <row r="789" spans="1:161" ht="12.75">
      <c r="A789" s="188"/>
      <c r="FE789" s="72"/>
    </row>
    <row r="790" spans="1:161" ht="12.75">
      <c r="A790" s="188"/>
      <c r="FE790" s="72"/>
    </row>
    <row r="791" spans="1:161" ht="12.75">
      <c r="A791" s="188"/>
      <c r="FE791" s="72"/>
    </row>
    <row r="792" spans="1:161" ht="12.75">
      <c r="A792" s="188"/>
      <c r="FE792" s="72"/>
    </row>
    <row r="793" spans="1:161" ht="12.75">
      <c r="A793" s="188"/>
      <c r="FE793" s="72"/>
    </row>
    <row r="794" spans="1:161" ht="12.75">
      <c r="A794" s="188"/>
      <c r="FE794" s="72"/>
    </row>
    <row r="795" spans="1:161" ht="12.75">
      <c r="A795" s="188"/>
      <c r="FE795" s="72"/>
    </row>
    <row r="796" spans="1:161" ht="12.75">
      <c r="A796" s="188"/>
      <c r="FE796" s="72"/>
    </row>
    <row r="797" spans="1:161" ht="12.75">
      <c r="A797" s="188"/>
      <c r="FE797" s="72"/>
    </row>
    <row r="798" spans="1:161" ht="12.75">
      <c r="A798" s="188"/>
      <c r="FE798" s="72"/>
    </row>
    <row r="799" spans="1:161" ht="12.75">
      <c r="A799" s="188"/>
      <c r="FE799" s="72"/>
    </row>
    <row r="800" spans="1:161" ht="12.75">
      <c r="A800" s="188"/>
      <c r="FE800" s="72"/>
    </row>
    <row r="801" spans="1:161" ht="12.75">
      <c r="A801" s="188"/>
      <c r="FE801" s="72"/>
    </row>
    <row r="802" spans="1:161" ht="12.75">
      <c r="A802" s="188"/>
      <c r="FE802" s="72"/>
    </row>
    <row r="803" spans="1:161" ht="12.75">
      <c r="A803" s="188"/>
      <c r="FE803" s="72"/>
    </row>
    <row r="804" spans="1:161" ht="12.75">
      <c r="A804" s="188"/>
      <c r="FE804" s="72"/>
    </row>
    <row r="805" spans="1:161" ht="12.75">
      <c r="A805" s="188"/>
      <c r="FE805" s="72"/>
    </row>
    <row r="806" spans="1:161" ht="12.75">
      <c r="A806" s="188"/>
      <c r="FE806" s="72"/>
    </row>
    <row r="807" spans="1:161" ht="12.75">
      <c r="A807" s="188"/>
      <c r="FE807" s="72"/>
    </row>
    <row r="808" spans="1:161" ht="12.75">
      <c r="A808" s="188"/>
      <c r="FE808" s="72"/>
    </row>
    <row r="809" spans="1:161" ht="12.75">
      <c r="A809" s="188"/>
      <c r="FE809" s="72"/>
    </row>
    <row r="810" spans="1:161" ht="12.75">
      <c r="A810" s="188"/>
      <c r="FE810" s="72"/>
    </row>
    <row r="811" spans="1:161" ht="12.75">
      <c r="A811" s="188"/>
      <c r="FE811" s="72"/>
    </row>
    <row r="812" spans="1:161" ht="12.75">
      <c r="A812" s="188"/>
      <c r="FE812" s="72"/>
    </row>
    <row r="813" spans="1:161" ht="12.75">
      <c r="A813" s="188"/>
      <c r="FE813" s="72"/>
    </row>
    <row r="814" spans="1:161" ht="12.75">
      <c r="A814" s="188"/>
      <c r="FE814" s="72"/>
    </row>
    <row r="815" spans="1:161" ht="12.75">
      <c r="A815" s="188"/>
      <c r="FE815" s="72"/>
    </row>
    <row r="816" spans="1:161" ht="12.75">
      <c r="A816" s="188"/>
      <c r="FE816" s="72"/>
    </row>
    <row r="817" spans="1:161" ht="12.75">
      <c r="A817" s="188"/>
      <c r="FE817" s="72"/>
    </row>
    <row r="818" spans="1:161" ht="12.75">
      <c r="A818" s="188"/>
      <c r="FE818" s="72"/>
    </row>
    <row r="819" spans="1:161" ht="12.75">
      <c r="A819" s="188"/>
      <c r="FE819" s="72"/>
    </row>
    <row r="820" spans="1:161" ht="12.75">
      <c r="A820" s="188"/>
      <c r="FE820" s="72"/>
    </row>
    <row r="821" spans="1:161" ht="12.75">
      <c r="A821" s="188"/>
      <c r="FE821" s="72"/>
    </row>
    <row r="822" spans="1:161" ht="12.75">
      <c r="A822" s="188"/>
      <c r="FE822" s="72"/>
    </row>
    <row r="823" spans="1:161" ht="12.75">
      <c r="A823" s="188"/>
      <c r="FE823" s="72"/>
    </row>
    <row r="824" spans="1:161" ht="12.75">
      <c r="A824" s="188"/>
      <c r="FE824" s="72"/>
    </row>
    <row r="825" spans="1:161" ht="12.75">
      <c r="A825" s="188"/>
      <c r="FE825" s="72"/>
    </row>
    <row r="826" spans="1:161" ht="12.75">
      <c r="A826" s="188"/>
      <c r="FE826" s="72"/>
    </row>
    <row r="827" spans="1:161" ht="12.75">
      <c r="A827" s="188"/>
      <c r="FE827" s="72"/>
    </row>
    <row r="828" spans="1:161" ht="12.75">
      <c r="A828" s="188"/>
      <c r="FE828" s="72"/>
    </row>
    <row r="829" spans="1:161" ht="12.75">
      <c r="A829" s="188"/>
      <c r="FE829" s="72"/>
    </row>
    <row r="830" spans="1:161" ht="12.75">
      <c r="A830" s="188"/>
      <c r="FE830" s="72"/>
    </row>
    <row r="831" spans="1:161" ht="12.75">
      <c r="A831" s="188"/>
      <c r="FE831" s="72"/>
    </row>
    <row r="832" spans="1:161" ht="12.75">
      <c r="A832" s="188"/>
      <c r="FE832" s="72"/>
    </row>
    <row r="833" spans="1:161" ht="12.75">
      <c r="A833" s="188"/>
      <c r="FE833" s="72"/>
    </row>
    <row r="834" spans="1:161" ht="12.75">
      <c r="A834" s="188"/>
      <c r="FE834" s="72"/>
    </row>
    <row r="835" spans="1:161" ht="12.75">
      <c r="A835" s="188"/>
      <c r="FE835" s="72"/>
    </row>
    <row r="836" spans="1:161" ht="12.75">
      <c r="A836" s="188"/>
      <c r="FE836" s="72"/>
    </row>
    <row r="837" spans="1:161" ht="12.75">
      <c r="A837" s="188"/>
      <c r="FE837" s="72"/>
    </row>
    <row r="838" spans="1:161" ht="12.75">
      <c r="A838" s="188"/>
      <c r="FE838" s="72"/>
    </row>
    <row r="839" spans="1:161" ht="12.75">
      <c r="A839" s="188"/>
      <c r="FE839" s="72"/>
    </row>
    <row r="840" spans="1:161" ht="12.75">
      <c r="A840" s="188"/>
      <c r="FE840" s="72"/>
    </row>
    <row r="841" spans="1:161" ht="12.75">
      <c r="A841" s="188"/>
      <c r="FE841" s="72"/>
    </row>
    <row r="842" spans="1:161" ht="12.75">
      <c r="A842" s="188"/>
      <c r="FE842" s="72"/>
    </row>
    <row r="843" spans="1:161" ht="12.75">
      <c r="A843" s="188"/>
      <c r="FE843" s="72"/>
    </row>
    <row r="844" spans="1:161" ht="12.75">
      <c r="A844" s="188"/>
      <c r="FE844" s="72"/>
    </row>
    <row r="845" spans="1:161" ht="12.75">
      <c r="A845" s="188"/>
      <c r="FE845" s="72"/>
    </row>
    <row r="846" spans="1:161" ht="12.75">
      <c r="A846" s="188"/>
      <c r="FE846" s="72"/>
    </row>
    <row r="847" spans="1:161" ht="12.75">
      <c r="A847" s="188"/>
      <c r="FE847" s="72"/>
    </row>
    <row r="848" spans="1:161" ht="12.75">
      <c r="A848" s="188"/>
      <c r="FE848" s="72"/>
    </row>
    <row r="849" spans="1:161" ht="12.75">
      <c r="A849" s="188"/>
      <c r="FE849" s="72"/>
    </row>
    <row r="850" spans="1:161" ht="12.75">
      <c r="A850" s="188"/>
      <c r="FE850" s="72"/>
    </row>
    <row r="851" spans="1:161" ht="12.75">
      <c r="A851" s="188"/>
      <c r="FE851" s="72"/>
    </row>
    <row r="852" spans="1:161" ht="12.75">
      <c r="A852" s="188"/>
      <c r="FE852" s="72"/>
    </row>
    <row r="853" spans="1:161" ht="12.75">
      <c r="A853" s="188"/>
      <c r="FE853" s="72"/>
    </row>
    <row r="854" spans="1:161" ht="12.75">
      <c r="A854" s="188"/>
      <c r="FE854" s="72"/>
    </row>
    <row r="855" spans="1:161" ht="12.75">
      <c r="A855" s="188"/>
      <c r="FE855" s="72"/>
    </row>
    <row r="856" spans="1:161" ht="12.75">
      <c r="A856" s="188"/>
      <c r="FE856" s="72"/>
    </row>
    <row r="857" spans="1:161" ht="12.75">
      <c r="A857" s="188"/>
      <c r="FE857" s="72"/>
    </row>
    <row r="858" spans="1:161" ht="12.75">
      <c r="A858" s="188"/>
      <c r="FE858" s="72"/>
    </row>
    <row r="859" spans="1:161" ht="12.75">
      <c r="A859" s="188"/>
      <c r="FE859" s="72"/>
    </row>
    <row r="860" spans="1:161" ht="12.75">
      <c r="A860" s="188"/>
      <c r="FE860" s="72"/>
    </row>
    <row r="861" spans="1:161" ht="12.75">
      <c r="A861" s="188"/>
      <c r="FE861" s="72"/>
    </row>
    <row r="862" spans="1:161" ht="12.75">
      <c r="A862" s="188"/>
      <c r="FE862" s="72"/>
    </row>
    <row r="863" spans="1:161" ht="12.75">
      <c r="A863" s="188"/>
      <c r="FE863" s="72"/>
    </row>
    <row r="864" spans="1:161" ht="12.75">
      <c r="A864" s="188"/>
      <c r="FE864" s="72"/>
    </row>
    <row r="865" spans="1:161" ht="12.75">
      <c r="A865" s="188"/>
      <c r="FE865" s="72"/>
    </row>
    <row r="866" spans="1:161" ht="12.75">
      <c r="A866" s="188"/>
      <c r="FE866" s="72"/>
    </row>
    <row r="867" spans="1:161" ht="12.75">
      <c r="A867" s="188"/>
      <c r="FE867" s="72"/>
    </row>
    <row r="868" spans="1:161" ht="12.75">
      <c r="A868" s="188"/>
      <c r="FE868" s="72"/>
    </row>
    <row r="869" spans="1:161" ht="12.75">
      <c r="A869" s="188"/>
      <c r="FE869" s="72"/>
    </row>
    <row r="870" spans="1:161" ht="12.75">
      <c r="A870" s="188"/>
      <c r="FE870" s="72"/>
    </row>
    <row r="871" spans="1:161" ht="12.75">
      <c r="A871" s="188"/>
      <c r="FE871" s="72"/>
    </row>
    <row r="872" spans="1:161" ht="12.75">
      <c r="A872" s="188"/>
      <c r="FE872" s="72"/>
    </row>
    <row r="873" spans="1:161" ht="12.75">
      <c r="A873" s="188"/>
      <c r="FE873" s="72"/>
    </row>
    <row r="874" spans="1:161" ht="12.75">
      <c r="A874" s="188"/>
      <c r="FE874" s="72"/>
    </row>
    <row r="875" spans="1:161" ht="12.75">
      <c r="A875" s="188"/>
      <c r="FE875" s="72"/>
    </row>
    <row r="876" spans="1:161" ht="12.75">
      <c r="A876" s="188"/>
      <c r="FE876" s="72"/>
    </row>
    <row r="877" spans="1:161" ht="12.75">
      <c r="A877" s="188"/>
      <c r="FE877" s="72"/>
    </row>
    <row r="878" spans="1:161" ht="12.75">
      <c r="A878" s="188"/>
      <c r="FE878" s="72"/>
    </row>
    <row r="879" spans="1:161" ht="12.75">
      <c r="A879" s="188"/>
      <c r="FE879" s="72"/>
    </row>
    <row r="880" spans="1:161" ht="12.75">
      <c r="A880" s="188"/>
      <c r="FE880" s="72"/>
    </row>
    <row r="881" spans="1:161" ht="12.75">
      <c r="A881" s="188"/>
      <c r="FE881" s="72"/>
    </row>
    <row r="882" spans="1:161" ht="12.75">
      <c r="A882" s="188"/>
      <c r="FE882" s="72"/>
    </row>
    <row r="883" spans="1:161" ht="12.75">
      <c r="A883" s="188"/>
      <c r="FE883" s="72"/>
    </row>
    <row r="884" spans="1:161" ht="12.75">
      <c r="A884" s="188"/>
      <c r="FE884" s="72"/>
    </row>
    <row r="885" spans="1:161" ht="12.75">
      <c r="A885" s="188"/>
      <c r="FE885" s="72"/>
    </row>
    <row r="886" spans="1:161" ht="12.75">
      <c r="A886" s="188"/>
      <c r="FE886" s="72"/>
    </row>
    <row r="887" spans="1:161" ht="12.75">
      <c r="A887" s="188"/>
      <c r="FE887" s="72"/>
    </row>
    <row r="888" spans="1:161" ht="12.75">
      <c r="A888" s="188"/>
      <c r="FE888" s="72"/>
    </row>
    <row r="889" spans="1:161" ht="12.75">
      <c r="A889" s="188"/>
      <c r="FE889" s="72"/>
    </row>
    <row r="890" spans="1:161" ht="12.75">
      <c r="A890" s="188"/>
      <c r="FE890" s="72"/>
    </row>
    <row r="891" spans="1:161" ht="12.75">
      <c r="A891" s="188"/>
      <c r="FE891" s="72"/>
    </row>
    <row r="892" spans="1:161" ht="12.75">
      <c r="A892" s="188"/>
      <c r="FE892" s="72"/>
    </row>
    <row r="893" spans="1:161" ht="12.75">
      <c r="A893" s="188"/>
      <c r="FE893" s="72"/>
    </row>
    <row r="894" spans="1:161" ht="12.75">
      <c r="A894" s="188"/>
      <c r="FE894" s="72"/>
    </row>
    <row r="895" spans="1:161" ht="12.75">
      <c r="A895" s="188"/>
      <c r="FE895" s="72"/>
    </row>
    <row r="896" spans="1:161" ht="12.75">
      <c r="A896" s="188"/>
      <c r="FE896" s="72"/>
    </row>
    <row r="897" spans="1:161" ht="12.75">
      <c r="A897" s="188"/>
      <c r="FE897" s="72"/>
    </row>
    <row r="898" spans="1:161" ht="12.75">
      <c r="A898" s="188"/>
      <c r="FE898" s="72"/>
    </row>
    <row r="899" spans="1:161" ht="12.75">
      <c r="A899" s="188"/>
      <c r="FE899" s="72"/>
    </row>
    <row r="900" spans="1:161" ht="12.75">
      <c r="A900" s="188"/>
      <c r="FE900" s="72"/>
    </row>
    <row r="901" spans="1:161" ht="12.75">
      <c r="A901" s="188"/>
      <c r="FE901" s="72"/>
    </row>
    <row r="902" spans="1:161" ht="12.75">
      <c r="A902" s="188"/>
      <c r="FE902" s="72"/>
    </row>
    <row r="903" spans="1:161" ht="12.75">
      <c r="A903" s="188"/>
      <c r="FE903" s="72"/>
    </row>
    <row r="904" spans="1:161" ht="12.75">
      <c r="A904" s="188"/>
      <c r="FE904" s="72"/>
    </row>
    <row r="905" spans="1:161" ht="12.75">
      <c r="A905" s="188"/>
      <c r="FE905" s="72"/>
    </row>
    <row r="906" spans="1:161" ht="12.75">
      <c r="A906" s="188"/>
      <c r="FE906" s="72"/>
    </row>
    <row r="907" spans="1:161" ht="12.75">
      <c r="A907" s="188"/>
      <c r="FE907" s="72"/>
    </row>
    <row r="908" spans="1:161" ht="12.75">
      <c r="A908" s="188"/>
      <c r="FE908" s="72"/>
    </row>
    <row r="909" spans="1:161" ht="12.75">
      <c r="A909" s="188"/>
      <c r="FE909" s="72"/>
    </row>
    <row r="910" spans="1:161" ht="12.75">
      <c r="A910" s="188"/>
      <c r="FE910" s="72"/>
    </row>
    <row r="911" spans="1:161" ht="12.75">
      <c r="A911" s="188"/>
      <c r="FE911" s="72"/>
    </row>
    <row r="912" spans="1:161" ht="12.75">
      <c r="A912" s="188"/>
      <c r="FE912" s="72"/>
    </row>
    <row r="913" spans="1:161" ht="12.75">
      <c r="A913" s="188"/>
      <c r="FE913" s="72"/>
    </row>
    <row r="914" spans="1:161" ht="12.75">
      <c r="A914" s="188"/>
      <c r="FE914" s="72"/>
    </row>
    <row r="915" spans="1:161" ht="12.75">
      <c r="A915" s="188"/>
      <c r="FE915" s="72"/>
    </row>
    <row r="916" spans="1:161" ht="12.75">
      <c r="A916" s="188"/>
      <c r="FE916" s="72"/>
    </row>
    <row r="917" spans="1:161" ht="12.75">
      <c r="A917" s="188"/>
      <c r="FE917" s="72"/>
    </row>
    <row r="918" spans="1:161" ht="12.75">
      <c r="A918" s="188"/>
      <c r="FE918" s="72"/>
    </row>
    <row r="919" spans="1:161" ht="12.75">
      <c r="A919" s="188"/>
      <c r="FE919" s="72"/>
    </row>
    <row r="920" spans="1:161" ht="12.75">
      <c r="A920" s="188"/>
      <c r="FE920" s="72"/>
    </row>
    <row r="921" spans="1:161" ht="12.75">
      <c r="A921" s="188"/>
      <c r="FE921" s="72"/>
    </row>
    <row r="922" spans="1:161" ht="12.75">
      <c r="A922" s="188"/>
      <c r="FE922" s="72"/>
    </row>
    <row r="923" spans="1:161" ht="12.75">
      <c r="A923" s="188"/>
      <c r="FE923" s="72"/>
    </row>
    <row r="924" spans="1:161" ht="12.75">
      <c r="A924" s="188"/>
      <c r="FE924" s="72"/>
    </row>
    <row r="925" spans="1:161" ht="12.75">
      <c r="A925" s="188"/>
      <c r="FE925" s="72"/>
    </row>
    <row r="926" spans="1:161" ht="12.75">
      <c r="A926" s="188"/>
      <c r="FE926" s="72"/>
    </row>
    <row r="927" spans="1:161" ht="12.75">
      <c r="A927" s="188"/>
      <c r="FE927" s="72"/>
    </row>
    <row r="928" spans="1:161" ht="12.75">
      <c r="A928" s="188"/>
      <c r="FE928" s="72"/>
    </row>
    <row r="929" spans="1:161" ht="12.75">
      <c r="A929" s="188"/>
      <c r="FE929" s="72"/>
    </row>
    <row r="930" spans="1:161" ht="12.75">
      <c r="A930" s="188"/>
      <c r="FE930" s="72"/>
    </row>
    <row r="931" spans="1:161" ht="12.75">
      <c r="A931" s="188"/>
      <c r="FE931" s="72"/>
    </row>
    <row r="932" spans="1:161" ht="12.75">
      <c r="A932" s="188"/>
      <c r="FE932" s="72"/>
    </row>
    <row r="933" spans="1:161" ht="12.75">
      <c r="A933" s="188"/>
      <c r="FE933" s="72"/>
    </row>
    <row r="934" spans="1:161" ht="12.75">
      <c r="A934" s="188"/>
      <c r="FE934" s="72"/>
    </row>
    <row r="935" spans="1:161" ht="12.75">
      <c r="A935" s="188"/>
      <c r="FE935" s="72"/>
    </row>
    <row r="936" spans="1:161" ht="12.75">
      <c r="A936" s="188"/>
      <c r="FE936" s="72"/>
    </row>
    <row r="937" spans="1:161" ht="12.75">
      <c r="A937" s="188"/>
      <c r="FE937" s="72"/>
    </row>
    <row r="938" spans="1:161" ht="12.75">
      <c r="A938" s="188"/>
      <c r="FE938" s="72"/>
    </row>
    <row r="939" spans="1:161" ht="12.75">
      <c r="A939" s="188"/>
      <c r="FE939" s="72"/>
    </row>
    <row r="940" spans="1:161" ht="12.75">
      <c r="A940" s="188"/>
      <c r="FE940" s="72"/>
    </row>
    <row r="941" spans="1:161" ht="12.75">
      <c r="A941" s="188"/>
      <c r="FE941" s="72"/>
    </row>
    <row r="942" spans="1:161" ht="12.75">
      <c r="A942" s="188"/>
      <c r="FE942" s="72"/>
    </row>
    <row r="943" spans="1:161" ht="12.75">
      <c r="A943" s="188"/>
      <c r="FE943" s="72"/>
    </row>
    <row r="944" spans="1:161" ht="12.75">
      <c r="A944" s="188"/>
      <c r="FE944" s="72"/>
    </row>
    <row r="945" spans="1:161" ht="12.75">
      <c r="A945" s="188"/>
      <c r="FE945" s="72"/>
    </row>
    <row r="946" spans="1:161" ht="12.75">
      <c r="A946" s="188"/>
      <c r="FE946" s="72"/>
    </row>
    <row r="947" spans="1:161" ht="12.75">
      <c r="A947" s="188"/>
      <c r="FE947" s="72"/>
    </row>
    <row r="948" spans="1:161" ht="12.75">
      <c r="A948" s="188"/>
      <c r="FE948" s="72"/>
    </row>
    <row r="949" spans="1:161" ht="12.75">
      <c r="A949" s="188"/>
      <c r="FE949" s="72"/>
    </row>
    <row r="950" spans="1:161" ht="12.75">
      <c r="A950" s="188"/>
      <c r="FE950" s="72"/>
    </row>
    <row r="951" spans="1:161" ht="12.75">
      <c r="A951" s="188"/>
      <c r="FE951" s="72"/>
    </row>
    <row r="952" spans="1:161" ht="12.75">
      <c r="A952" s="188"/>
      <c r="FE952" s="72"/>
    </row>
    <row r="953" spans="1:161" ht="12.75">
      <c r="A953" s="188"/>
      <c r="FE953" s="72"/>
    </row>
    <row r="954" spans="1:161" ht="12.75">
      <c r="A954" s="188"/>
      <c r="FE954" s="72"/>
    </row>
    <row r="955" spans="1:161" ht="12.75">
      <c r="A955" s="188"/>
      <c r="FE955" s="72"/>
    </row>
    <row r="956" spans="1:161" ht="12.75">
      <c r="A956" s="188"/>
      <c r="FE956" s="72"/>
    </row>
    <row r="957" spans="1:161" ht="12.75">
      <c r="A957" s="188"/>
      <c r="FE957" s="72"/>
    </row>
    <row r="958" spans="1:161" ht="12.75">
      <c r="A958" s="188"/>
      <c r="FE958" s="72"/>
    </row>
    <row r="959" spans="1:161" ht="12.75">
      <c r="A959" s="188"/>
      <c r="FE959" s="72"/>
    </row>
    <row r="960" spans="1:161" ht="12.75">
      <c r="A960" s="188"/>
      <c r="FE960" s="72"/>
    </row>
    <row r="961" spans="1:161" ht="12.75">
      <c r="A961" s="188"/>
      <c r="FE961" s="72"/>
    </row>
    <row r="962" spans="1:161" ht="12.75">
      <c r="A962" s="188"/>
      <c r="FE962" s="72"/>
    </row>
    <row r="963" spans="1:161" ht="12.75">
      <c r="A963" s="188"/>
      <c r="FE963" s="72"/>
    </row>
    <row r="964" spans="1:161" ht="12.75">
      <c r="A964" s="188"/>
      <c r="FE964" s="72"/>
    </row>
    <row r="965" spans="1:161" ht="12.75">
      <c r="A965" s="188"/>
      <c r="FE965" s="72"/>
    </row>
    <row r="966" spans="1:161" ht="12.75">
      <c r="A966" s="188"/>
      <c r="FE966" s="72"/>
    </row>
    <row r="967" spans="1:161" ht="12.75">
      <c r="A967" s="188"/>
      <c r="FE967" s="72"/>
    </row>
    <row r="968" spans="1:161" ht="12.75">
      <c r="A968" s="188"/>
      <c r="FE968" s="72"/>
    </row>
    <row r="969" spans="1:161" ht="12.75">
      <c r="A969" s="188"/>
      <c r="FE969" s="72"/>
    </row>
    <row r="970" spans="1:161" ht="12.75">
      <c r="A970" s="188"/>
      <c r="FE970" s="72"/>
    </row>
    <row r="971" spans="1:161" ht="12.75">
      <c r="A971" s="188"/>
      <c r="FE971" s="72"/>
    </row>
    <row r="972" spans="1:161" ht="12.75">
      <c r="A972" s="188"/>
      <c r="FE972" s="72"/>
    </row>
    <row r="973" spans="1:161" ht="12.75">
      <c r="A973" s="188"/>
      <c r="FE973" s="72"/>
    </row>
    <row r="974" spans="1:161" ht="12.75">
      <c r="A974" s="188"/>
      <c r="FE974" s="72"/>
    </row>
    <row r="975" spans="1:161" ht="12.75">
      <c r="A975" s="188"/>
      <c r="FE975" s="72"/>
    </row>
    <row r="976" spans="1:161" ht="12.75">
      <c r="A976" s="188"/>
      <c r="FE976" s="72"/>
    </row>
    <row r="977" spans="1:161" ht="12.75">
      <c r="A977" s="188"/>
      <c r="FE977" s="72"/>
    </row>
    <row r="978" spans="1:161" ht="12.75">
      <c r="A978" s="188"/>
      <c r="FE978" s="72"/>
    </row>
    <row r="979" spans="1:161" ht="12.75">
      <c r="A979" s="188"/>
      <c r="FE979" s="72"/>
    </row>
    <row r="980" spans="1:161" ht="12.75">
      <c r="A980" s="188"/>
      <c r="FE980" s="72"/>
    </row>
    <row r="981" spans="1:161" ht="12.75">
      <c r="A981" s="188"/>
      <c r="FE981" s="72"/>
    </row>
    <row r="982" spans="1:161" ht="12.75">
      <c r="A982" s="188"/>
      <c r="FE982" s="72"/>
    </row>
    <row r="983" spans="1:161" ht="12.75">
      <c r="A983" s="188"/>
      <c r="FE983" s="72"/>
    </row>
    <row r="984" spans="1:161" ht="12.75">
      <c r="A984" s="188"/>
      <c r="FE984" s="72"/>
    </row>
    <row r="985" spans="1:161" ht="12.75">
      <c r="A985" s="188"/>
      <c r="FE985" s="72"/>
    </row>
    <row r="986" spans="1:161" ht="12.75">
      <c r="A986" s="188"/>
      <c r="FE986" s="72"/>
    </row>
    <row r="987" spans="1:161" ht="12.75">
      <c r="A987" s="188"/>
      <c r="FE987" s="72"/>
    </row>
    <row r="988" spans="1:161" ht="12.75">
      <c r="A988" s="188"/>
      <c r="FE988" s="72"/>
    </row>
    <row r="989" spans="1:161" ht="12.75">
      <c r="A989" s="188"/>
      <c r="FE989" s="72"/>
    </row>
    <row r="990" spans="1:161" ht="12.75">
      <c r="A990" s="188"/>
      <c r="FE990" s="72"/>
    </row>
    <row r="991" spans="1:161" ht="12.75">
      <c r="A991" s="188"/>
      <c r="FE991" s="72"/>
    </row>
    <row r="992" spans="1:161" ht="12.75">
      <c r="A992" s="188"/>
      <c r="FE992" s="72"/>
    </row>
    <row r="993" spans="1:161" ht="12.75">
      <c r="A993" s="188"/>
      <c r="FE993" s="72"/>
    </row>
    <row r="994" spans="1:161" ht="12.75">
      <c r="A994" s="188"/>
      <c r="FE994" s="72"/>
    </row>
    <row r="995" spans="1:161" ht="12.75">
      <c r="A995" s="188"/>
      <c r="FE995" s="72"/>
    </row>
    <row r="996" spans="1:161" ht="12.75">
      <c r="A996" s="188"/>
      <c r="FE996" s="72"/>
    </row>
    <row r="997" spans="1:161" ht="12.75">
      <c r="A997" s="188"/>
      <c r="FE997" s="72"/>
    </row>
    <row r="998" spans="1:161" ht="12.75">
      <c r="A998" s="188"/>
      <c r="FE998" s="72"/>
    </row>
    <row r="999" spans="1:161" ht="12.75">
      <c r="A999" s="188"/>
      <c r="FE999" s="72"/>
    </row>
    <row r="1000" spans="1:161" ht="12.75">
      <c r="A1000" s="188"/>
      <c r="FE1000" s="72"/>
    </row>
    <row r="1001" spans="1:161" ht="12.75">
      <c r="A1001" s="188"/>
      <c r="FE1001" s="72"/>
    </row>
    <row r="1002" spans="1:161" ht="12.75">
      <c r="A1002" s="188"/>
      <c r="FE1002" s="72"/>
    </row>
    <row r="1003" spans="1:161" ht="12.75">
      <c r="A1003" s="188"/>
      <c r="FE1003" s="72"/>
    </row>
    <row r="1004" spans="1:161" ht="12.75">
      <c r="A1004" s="188"/>
      <c r="FE1004" s="72"/>
    </row>
    <row r="1005" spans="1:161" ht="12.75">
      <c r="A1005" s="188"/>
      <c r="FE1005" s="72"/>
    </row>
    <row r="1006" spans="1:161" ht="12.75">
      <c r="A1006" s="188"/>
      <c r="FE1006" s="72"/>
    </row>
    <row r="1007" spans="1:161" ht="12.75">
      <c r="A1007" s="188"/>
      <c r="FE1007" s="72"/>
    </row>
    <row r="1008" spans="1:161" ht="12.75">
      <c r="A1008" s="188"/>
      <c r="FE1008" s="72"/>
    </row>
    <row r="1009" spans="1:161" ht="12.75">
      <c r="A1009" s="188"/>
      <c r="FE1009" s="72"/>
    </row>
    <row r="1010" spans="1:161" ht="12.75">
      <c r="A1010" s="188"/>
      <c r="FE1010" s="72"/>
    </row>
    <row r="1011" spans="1:161" ht="12.75">
      <c r="A1011" s="188"/>
      <c r="FE1011" s="72"/>
    </row>
    <row r="1012" spans="1:161" ht="12.75">
      <c r="A1012" s="188"/>
      <c r="FE1012" s="72"/>
    </row>
    <row r="1013" spans="1:161" ht="12.75">
      <c r="A1013" s="188"/>
      <c r="FE1013" s="72"/>
    </row>
    <row r="1014" spans="1:161" ht="12.75">
      <c r="A1014" s="188"/>
      <c r="FE1014" s="72"/>
    </row>
    <row r="1015" spans="1:161" ht="12.75">
      <c r="A1015" s="188"/>
      <c r="FE1015" s="72"/>
    </row>
    <row r="1016" spans="1:161" ht="12.75">
      <c r="A1016" s="188"/>
      <c r="FE1016" s="72"/>
    </row>
    <row r="1017" spans="1:161" ht="12.75">
      <c r="A1017" s="188"/>
      <c r="FE1017" s="72"/>
    </row>
    <row r="1018" spans="1:161" ht="12.75">
      <c r="A1018" s="188"/>
      <c r="FE1018" s="72"/>
    </row>
    <row r="1019" spans="1:161" ht="12.75">
      <c r="A1019" s="188"/>
      <c r="FE1019" s="72"/>
    </row>
    <row r="1020" spans="1:161" ht="12.75">
      <c r="A1020" s="188"/>
      <c r="FE1020" s="72"/>
    </row>
    <row r="1021" spans="1:161" ht="12.75">
      <c r="A1021" s="188"/>
      <c r="FE1021" s="72"/>
    </row>
    <row r="1022" spans="1:161" ht="12.75">
      <c r="A1022" s="188"/>
      <c r="FE1022" s="72"/>
    </row>
    <row r="1023" spans="1:161" ht="12.75">
      <c r="A1023" s="188"/>
      <c r="FE1023" s="72"/>
    </row>
    <row r="1024" spans="1:161" ht="12.75">
      <c r="A1024" s="188"/>
      <c r="FE1024" s="72"/>
    </row>
    <row r="1025" spans="1:161" ht="12.75">
      <c r="A1025" s="188"/>
      <c r="FE1025" s="72"/>
    </row>
    <row r="1026" spans="1:161" ht="12.75">
      <c r="A1026" s="188"/>
      <c r="FE1026" s="72"/>
    </row>
    <row r="1027" spans="1:161" ht="12.75">
      <c r="A1027" s="188"/>
      <c r="FE1027" s="72"/>
    </row>
    <row r="1028" spans="1:161" ht="12.75">
      <c r="A1028" s="188"/>
      <c r="FE1028" s="72"/>
    </row>
    <row r="1029" spans="1:161" ht="12.75">
      <c r="A1029" s="188"/>
      <c r="FE1029" s="72"/>
    </row>
    <row r="1030" spans="1:161" ht="12.75">
      <c r="A1030" s="188"/>
      <c r="FE1030" s="72"/>
    </row>
    <row r="1031" spans="1:161" ht="12.75">
      <c r="A1031" s="188"/>
      <c r="FE1031" s="72"/>
    </row>
    <row r="1032" spans="1:161" ht="12.75">
      <c r="A1032" s="188"/>
      <c r="FE1032" s="72"/>
    </row>
    <row r="1033" spans="1:161" ht="12.75">
      <c r="A1033" s="188"/>
      <c r="FE1033" s="72"/>
    </row>
    <row r="1034" spans="1:161" ht="12.75">
      <c r="A1034" s="188"/>
      <c r="FE1034" s="72"/>
    </row>
    <row r="1035" spans="1:161" ht="12.75">
      <c r="A1035" s="188"/>
      <c r="FE1035" s="72"/>
    </row>
    <row r="1036" spans="1:161" ht="12.75">
      <c r="A1036" s="188"/>
      <c r="FE1036" s="72"/>
    </row>
    <row r="1037" spans="1:161" ht="12.75">
      <c r="A1037" s="188"/>
      <c r="FE1037" s="72"/>
    </row>
    <row r="1038" spans="1:161" ht="12.75">
      <c r="A1038" s="188"/>
      <c r="FE1038" s="72"/>
    </row>
    <row r="1039" spans="1:161" ht="12.75">
      <c r="A1039" s="188"/>
      <c r="FE1039" s="72"/>
    </row>
    <row r="1040" spans="1:161" ht="12.75">
      <c r="A1040" s="188"/>
      <c r="FE1040" s="72"/>
    </row>
    <row r="1041" spans="1:161" ht="12.75">
      <c r="A1041" s="188"/>
      <c r="FE1041" s="72"/>
    </row>
    <row r="1042" spans="1:161" ht="12.75">
      <c r="A1042" s="188"/>
      <c r="FE1042" s="72"/>
    </row>
    <row r="1043" spans="1:161" ht="12.75">
      <c r="A1043" s="188"/>
      <c r="FE1043" s="72"/>
    </row>
    <row r="1044" spans="1:161" ht="12.75">
      <c r="A1044" s="188"/>
      <c r="FE1044" s="72"/>
    </row>
    <row r="1045" spans="1:161" ht="12.75">
      <c r="A1045" s="188"/>
      <c r="FE1045" s="72"/>
    </row>
    <row r="1046" spans="1:161" ht="12.75">
      <c r="A1046" s="188"/>
      <c r="FE1046" s="72"/>
    </row>
    <row r="1047" spans="1:161" ht="12.75">
      <c r="A1047" s="188"/>
      <c r="FE1047" s="72"/>
    </row>
    <row r="1048" spans="1:161" ht="12.75">
      <c r="A1048" s="188"/>
      <c r="FE1048" s="72"/>
    </row>
    <row r="1049" spans="1:161" ht="12.75">
      <c r="A1049" s="188"/>
      <c r="FE1049" s="72"/>
    </row>
    <row r="1050" spans="1:161" ht="12.75">
      <c r="A1050" s="188"/>
      <c r="FE1050" s="72"/>
    </row>
    <row r="1051" spans="1:161" ht="12.75">
      <c r="A1051" s="188"/>
      <c r="FE1051" s="72"/>
    </row>
    <row r="1052" spans="1:161" ht="12.75">
      <c r="A1052" s="188"/>
      <c r="FE1052" s="72"/>
    </row>
    <row r="1053" spans="1:161" ht="12.75">
      <c r="A1053" s="188"/>
      <c r="FE1053" s="72"/>
    </row>
    <row r="1054" spans="1:161" ht="12.75">
      <c r="A1054" s="188"/>
      <c r="FE1054" s="72"/>
    </row>
    <row r="1055" spans="1:161" ht="12.75">
      <c r="A1055" s="188"/>
      <c r="FE1055" s="72"/>
    </row>
    <row r="1056" spans="1:161" ht="12.75">
      <c r="A1056" s="188"/>
      <c r="FE1056" s="72"/>
    </row>
    <row r="1057" spans="1:161" ht="12.75">
      <c r="A1057" s="188"/>
      <c r="FE1057" s="72"/>
    </row>
    <row r="1058" spans="1:161" ht="12.75">
      <c r="A1058" s="188"/>
      <c r="FE1058" s="72"/>
    </row>
    <row r="1059" spans="1:161" ht="12.75">
      <c r="A1059" s="188"/>
      <c r="FE1059" s="72"/>
    </row>
    <row r="1060" spans="1:161" ht="12.75">
      <c r="A1060" s="188"/>
      <c r="FE1060" s="72"/>
    </row>
    <row r="1061" spans="1:161" ht="12.75">
      <c r="A1061" s="188"/>
      <c r="FE1061" s="72"/>
    </row>
    <row r="1062" spans="1:161" ht="12.75">
      <c r="A1062" s="188"/>
      <c r="FE1062" s="72"/>
    </row>
    <row r="1063" spans="1:161" ht="12.75">
      <c r="A1063" s="188"/>
      <c r="FE1063" s="72"/>
    </row>
    <row r="1064" spans="1:161" ht="12.75">
      <c r="A1064" s="188"/>
      <c r="FE1064" s="72"/>
    </row>
    <row r="1065" spans="1:161" ht="12.75">
      <c r="A1065" s="188"/>
      <c r="FE1065" s="72"/>
    </row>
    <row r="1066" spans="1:161" ht="12.75">
      <c r="A1066" s="188"/>
      <c r="FE1066" s="72"/>
    </row>
    <row r="1067" spans="1:161" ht="12.75">
      <c r="A1067" s="188"/>
      <c r="FE1067" s="72"/>
    </row>
    <row r="1068" spans="1:161" ht="12.75">
      <c r="A1068" s="188"/>
      <c r="FE1068" s="72"/>
    </row>
    <row r="1069" spans="1:161" ht="12.75">
      <c r="A1069" s="188"/>
      <c r="FE1069" s="72"/>
    </row>
    <row r="1070" spans="1:161" ht="12.75">
      <c r="A1070" s="188"/>
      <c r="FE1070" s="72"/>
    </row>
    <row r="1071" spans="1:161" ht="12.75">
      <c r="A1071" s="188"/>
      <c r="FE1071" s="72"/>
    </row>
    <row r="1072" spans="1:161" ht="12.75">
      <c r="A1072" s="188"/>
      <c r="FE1072" s="72"/>
    </row>
    <row r="1073" spans="1:161" ht="12.75">
      <c r="A1073" s="188"/>
      <c r="FE1073" s="72"/>
    </row>
    <row r="1074" spans="1:161" ht="12.75">
      <c r="A1074" s="188"/>
      <c r="FE1074" s="72"/>
    </row>
    <row r="1075" spans="1:161" ht="12.75">
      <c r="A1075" s="188"/>
      <c r="FE1075" s="72"/>
    </row>
    <row r="1076" spans="1:161" ht="12.75">
      <c r="A1076" s="188"/>
      <c r="FE1076" s="72"/>
    </row>
    <row r="1077" spans="1:161" ht="12.75">
      <c r="A1077" s="188"/>
      <c r="FE1077" s="72"/>
    </row>
    <row r="1078" spans="1:161" ht="12.75">
      <c r="A1078" s="188"/>
      <c r="FE1078" s="72"/>
    </row>
    <row r="1079" spans="1:161" ht="12.75">
      <c r="A1079" s="188"/>
      <c r="FE1079" s="72"/>
    </row>
    <row r="1080" spans="1:161" ht="12.75">
      <c r="A1080" s="188"/>
      <c r="FE1080" s="72"/>
    </row>
  </sheetData>
  <mergeCells count="348">
    <mergeCell ref="CV2:CX2"/>
    <mergeCell ref="CY2:DA2"/>
    <mergeCell ref="AZ4:BB4"/>
    <mergeCell ref="BC4:BE4"/>
    <mergeCell ref="EO2:EQ2"/>
    <mergeCell ref="ER2:ET2"/>
    <mergeCell ref="EU2:EW2"/>
    <mergeCell ref="EX2:EZ2"/>
    <mergeCell ref="J3:L3"/>
    <mergeCell ref="M3:O3"/>
    <mergeCell ref="P3:R3"/>
    <mergeCell ref="S3:U3"/>
    <mergeCell ref="V3:X3"/>
    <mergeCell ref="Y3:AA3"/>
    <mergeCell ref="AB3:AD3"/>
    <mergeCell ref="AE3:AG3"/>
    <mergeCell ref="AH3:AJ3"/>
    <mergeCell ref="AK3:AM3"/>
    <mergeCell ref="CD3:CF3"/>
    <mergeCell ref="CG3:CI3"/>
    <mergeCell ref="CJ3:CL3"/>
    <mergeCell ref="CM3:CO3"/>
    <mergeCell ref="CP3:CR3"/>
    <mergeCell ref="CM2:CO2"/>
    <mergeCell ref="CP2:CR2"/>
    <mergeCell ref="CS2:CU2"/>
    <mergeCell ref="DT3:DV3"/>
    <mergeCell ref="DW3:DY3"/>
    <mergeCell ref="BL4:BN4"/>
    <mergeCell ref="BO4:BQ4"/>
    <mergeCell ref="BR4:BT4"/>
    <mergeCell ref="BU4:BW4"/>
    <mergeCell ref="BX4:BZ4"/>
    <mergeCell ref="DW4:DY4"/>
    <mergeCell ref="DK3:DM3"/>
    <mergeCell ref="CG4:CI4"/>
    <mergeCell ref="CJ4:CL4"/>
    <mergeCell ref="CM4:CO4"/>
    <mergeCell ref="CP4:CR4"/>
    <mergeCell ref="CS4:CU4"/>
    <mergeCell ref="CV4:CX4"/>
    <mergeCell ref="CY4:DA4"/>
    <mergeCell ref="DB4:DD4"/>
    <mergeCell ref="DE4:DG4"/>
    <mergeCell ref="FA2:FC2"/>
    <mergeCell ref="FD2:FD5"/>
    <mergeCell ref="FE2:FE5"/>
    <mergeCell ref="FA3:FC3"/>
    <mergeCell ref="FA4:FC4"/>
    <mergeCell ref="DZ3:EB3"/>
    <mergeCell ref="EC3:EE3"/>
    <mergeCell ref="DZ4:EB4"/>
    <mergeCell ref="EC4:EE4"/>
    <mergeCell ref="EF3:EH3"/>
    <mergeCell ref="EI3:EK3"/>
    <mergeCell ref="EF4:EH4"/>
    <mergeCell ref="EI4:EK4"/>
    <mergeCell ref="EL3:EN3"/>
    <mergeCell ref="EO3:EQ3"/>
    <mergeCell ref="EL4:EN4"/>
    <mergeCell ref="EO4:EQ4"/>
    <mergeCell ref="ER3:ET3"/>
    <mergeCell ref="EU3:EW3"/>
    <mergeCell ref="ER4:ET4"/>
    <mergeCell ref="EU4:EW4"/>
    <mergeCell ref="EX4:EZ4"/>
    <mergeCell ref="EC2:EE2"/>
    <mergeCell ref="EF2:EH2"/>
    <mergeCell ref="B1:E3"/>
    <mergeCell ref="F1:I3"/>
    <mergeCell ref="J1:FC1"/>
    <mergeCell ref="J2:L2"/>
    <mergeCell ref="M2:O2"/>
    <mergeCell ref="P2:R2"/>
    <mergeCell ref="EX3:EZ3"/>
    <mergeCell ref="CA4:CC4"/>
    <mergeCell ref="CD4:CF4"/>
    <mergeCell ref="H4:H5"/>
    <mergeCell ref="I4:I5"/>
    <mergeCell ref="AZ2:BB2"/>
    <mergeCell ref="BC2:BE2"/>
    <mergeCell ref="BF2:BH2"/>
    <mergeCell ref="BI2:BK2"/>
    <mergeCell ref="BL2:BN2"/>
    <mergeCell ref="BO2:BQ2"/>
    <mergeCell ref="BR2:BT2"/>
    <mergeCell ref="BU2:BW2"/>
    <mergeCell ref="BX2:BZ2"/>
    <mergeCell ref="CA2:CC2"/>
    <mergeCell ref="CD2:CF2"/>
    <mergeCell ref="CG2:CI2"/>
    <mergeCell ref="CJ2:CL2"/>
    <mergeCell ref="DH115:DJ115"/>
    <mergeCell ref="AN115:AP115"/>
    <mergeCell ref="AQ115:AS115"/>
    <mergeCell ref="AW115:AY115"/>
    <mergeCell ref="AZ115:BB115"/>
    <mergeCell ref="BF115:BH115"/>
    <mergeCell ref="BR115:BT115"/>
    <mergeCell ref="BU115:BW115"/>
    <mergeCell ref="AN114:AP114"/>
    <mergeCell ref="AQ114:AS114"/>
    <mergeCell ref="AW114:AY114"/>
    <mergeCell ref="AZ114:BB114"/>
    <mergeCell ref="BF114:BH114"/>
    <mergeCell ref="BR114:BT114"/>
    <mergeCell ref="BU114:BW114"/>
    <mergeCell ref="BX115:BZ115"/>
    <mergeCell ref="CA115:CC115"/>
    <mergeCell ref="BX114:BZ114"/>
    <mergeCell ref="CA114:CC114"/>
    <mergeCell ref="BS140:BZ140"/>
    <mergeCell ref="BS141:BZ141"/>
    <mergeCell ref="BS142:BZ142"/>
    <mergeCell ref="BS144:BU144"/>
    <mergeCell ref="BS145:BU145"/>
    <mergeCell ref="BV145:BW145"/>
    <mergeCell ref="BS146:BU146"/>
    <mergeCell ref="BV146:BW146"/>
    <mergeCell ref="CP115:CR115"/>
    <mergeCell ref="BS147:BU147"/>
    <mergeCell ref="BV147:BW147"/>
    <mergeCell ref="BV148:BW148"/>
    <mergeCell ref="BS148:BU148"/>
    <mergeCell ref="BS149:BU149"/>
    <mergeCell ref="BV149:BW149"/>
    <mergeCell ref="BS150:BU150"/>
    <mergeCell ref="BV150:BW150"/>
    <mergeCell ref="BS151:BU151"/>
    <mergeCell ref="BV151:BW151"/>
    <mergeCell ref="BS155:BU155"/>
    <mergeCell ref="BS156:BU156"/>
    <mergeCell ref="BV156:BW156"/>
    <mergeCell ref="BS157:BU157"/>
    <mergeCell ref="BV157:BW157"/>
    <mergeCell ref="BS158:BU158"/>
    <mergeCell ref="BV158:BW158"/>
    <mergeCell ref="BS152:BU152"/>
    <mergeCell ref="BV152:BW152"/>
    <mergeCell ref="BS153:BU153"/>
    <mergeCell ref="BV153:BW153"/>
    <mergeCell ref="BS154:BU154"/>
    <mergeCell ref="BV154:BW154"/>
    <mergeCell ref="BV155:BW155"/>
    <mergeCell ref="A1:A5"/>
    <mergeCell ref="B4:B5"/>
    <mergeCell ref="C4:C5"/>
    <mergeCell ref="D4:D5"/>
    <mergeCell ref="E4:E5"/>
    <mergeCell ref="F4:F5"/>
    <mergeCell ref="G4:G5"/>
    <mergeCell ref="AT113:AV113"/>
    <mergeCell ref="AW113:AY113"/>
    <mergeCell ref="S2:U2"/>
    <mergeCell ref="V2:X2"/>
    <mergeCell ref="Y2:AA2"/>
    <mergeCell ref="AB2:AD2"/>
    <mergeCell ref="AE2:AG2"/>
    <mergeCell ref="AH2:AJ2"/>
    <mergeCell ref="AK2:AM2"/>
    <mergeCell ref="AN2:AP2"/>
    <mergeCell ref="AQ2:AS2"/>
    <mergeCell ref="AT2:AV2"/>
    <mergeCell ref="AW2:AY2"/>
    <mergeCell ref="AE4:AG4"/>
    <mergeCell ref="AH4:AJ4"/>
    <mergeCell ref="J4:L4"/>
    <mergeCell ref="M4:O4"/>
    <mergeCell ref="CJ114:CL114"/>
    <mergeCell ref="CP114:CR114"/>
    <mergeCell ref="DB114:DD114"/>
    <mergeCell ref="DH114:DJ114"/>
    <mergeCell ref="BU113:BW113"/>
    <mergeCell ref="BX113:BZ113"/>
    <mergeCell ref="CA113:CC113"/>
    <mergeCell ref="CD113:CF113"/>
    <mergeCell ref="CG113:CI113"/>
    <mergeCell ref="CJ113:CL113"/>
    <mergeCell ref="CM113:CO113"/>
    <mergeCell ref="CP113:CR113"/>
    <mergeCell ref="CS113:CU113"/>
    <mergeCell ref="CV113:CX113"/>
    <mergeCell ref="CY113:DA113"/>
    <mergeCell ref="A132:B132"/>
    <mergeCell ref="C132:I132"/>
    <mergeCell ref="A133:I133"/>
    <mergeCell ref="A134:I135"/>
    <mergeCell ref="A136:I136"/>
    <mergeCell ref="A122:B124"/>
    <mergeCell ref="A126:B128"/>
    <mergeCell ref="C126:I128"/>
    <mergeCell ref="A129:I129"/>
    <mergeCell ref="A130:B130"/>
    <mergeCell ref="C130:I130"/>
    <mergeCell ref="A131:I131"/>
    <mergeCell ref="V114:X114"/>
    <mergeCell ref="B113:E113"/>
    <mergeCell ref="F113:I113"/>
    <mergeCell ref="J113:L113"/>
    <mergeCell ref="M113:O113"/>
    <mergeCell ref="S113:U113"/>
    <mergeCell ref="V113:X113"/>
    <mergeCell ref="A114:I114"/>
    <mergeCell ref="BV116:BW116"/>
    <mergeCell ref="P113:R113"/>
    <mergeCell ref="P114:R114"/>
    <mergeCell ref="Y113:AA113"/>
    <mergeCell ref="AB113:AD113"/>
    <mergeCell ref="AE113:AG113"/>
    <mergeCell ref="AH113:AJ113"/>
    <mergeCell ref="AK113:AM113"/>
    <mergeCell ref="AN113:AP113"/>
    <mergeCell ref="AQ113:AS113"/>
    <mergeCell ref="S114:U114"/>
    <mergeCell ref="AZ113:BB113"/>
    <mergeCell ref="BF113:BH113"/>
    <mergeCell ref="BI113:BK113"/>
    <mergeCell ref="BL113:BN113"/>
    <mergeCell ref="BR113:BT113"/>
    <mergeCell ref="BY116:BZ116"/>
    <mergeCell ref="CB116:CC116"/>
    <mergeCell ref="CQ116:CR116"/>
    <mergeCell ref="DI116:DJ116"/>
    <mergeCell ref="W116:X116"/>
    <mergeCell ref="AO116:AP116"/>
    <mergeCell ref="AR116:AS116"/>
    <mergeCell ref="AX116:AY116"/>
    <mergeCell ref="BA116:BB116"/>
    <mergeCell ref="BG116:BH116"/>
    <mergeCell ref="BS116:BT116"/>
    <mergeCell ref="AZ117:BB117"/>
    <mergeCell ref="A115:I115"/>
    <mergeCell ref="P115:R115"/>
    <mergeCell ref="S115:U115"/>
    <mergeCell ref="V115:X115"/>
    <mergeCell ref="A116:I116"/>
    <mergeCell ref="Q116:R116"/>
    <mergeCell ref="T116:U116"/>
    <mergeCell ref="J127:AO127"/>
    <mergeCell ref="AZ118:BB136"/>
    <mergeCell ref="J128:AO128"/>
    <mergeCell ref="J129:AO129"/>
    <mergeCell ref="J130:AO130"/>
    <mergeCell ref="J131:AO131"/>
    <mergeCell ref="A118:C118"/>
    <mergeCell ref="A120:I121"/>
    <mergeCell ref="J120:AO122"/>
    <mergeCell ref="C122:I124"/>
    <mergeCell ref="J123:AO123"/>
    <mergeCell ref="J124:AO126"/>
    <mergeCell ref="A125:I125"/>
    <mergeCell ref="DB2:DD2"/>
    <mergeCell ref="DE2:DG2"/>
    <mergeCell ref="DH2:DJ2"/>
    <mergeCell ref="DK2:DM2"/>
    <mergeCell ref="DN2:DP2"/>
    <mergeCell ref="DQ2:DS2"/>
    <mergeCell ref="DT2:DV2"/>
    <mergeCell ref="DW2:DY2"/>
    <mergeCell ref="DZ2:EB2"/>
    <mergeCell ref="EI2:EK2"/>
    <mergeCell ref="EL2:EN2"/>
    <mergeCell ref="AN3:AP3"/>
    <mergeCell ref="AQ3:AS3"/>
    <mergeCell ref="AT3:AV3"/>
    <mergeCell ref="AW3:AY3"/>
    <mergeCell ref="AZ3:BB3"/>
    <mergeCell ref="BC3:BE3"/>
    <mergeCell ref="BF3:BH3"/>
    <mergeCell ref="BI3:BK3"/>
    <mergeCell ref="BL3:BN3"/>
    <mergeCell ref="BO3:BQ3"/>
    <mergeCell ref="BR3:BT3"/>
    <mergeCell ref="BU3:BW3"/>
    <mergeCell ref="BX3:BZ3"/>
    <mergeCell ref="CA3:CC3"/>
    <mergeCell ref="DN3:DP3"/>
    <mergeCell ref="DQ3:DS3"/>
    <mergeCell ref="CS3:CU3"/>
    <mergeCell ref="CV3:CX3"/>
    <mergeCell ref="CY3:DA3"/>
    <mergeCell ref="DB3:DD3"/>
    <mergeCell ref="DE3:DG3"/>
    <mergeCell ref="DH3:DJ3"/>
    <mergeCell ref="P4:R4"/>
    <mergeCell ref="S4:U4"/>
    <mergeCell ref="V4:X4"/>
    <mergeCell ref="Y4:AA4"/>
    <mergeCell ref="AB4:AD4"/>
    <mergeCell ref="EF113:EH113"/>
    <mergeCell ref="EI113:EK113"/>
    <mergeCell ref="EL113:EN113"/>
    <mergeCell ref="EO113:EQ113"/>
    <mergeCell ref="DB113:DD113"/>
    <mergeCell ref="DE113:DG113"/>
    <mergeCell ref="DH113:DJ113"/>
    <mergeCell ref="DH4:DJ4"/>
    <mergeCell ref="DK4:DM4"/>
    <mergeCell ref="DN4:DP4"/>
    <mergeCell ref="DQ4:DS4"/>
    <mergeCell ref="DT4:DV4"/>
    <mergeCell ref="BF4:BH4"/>
    <mergeCell ref="BI4:BK4"/>
    <mergeCell ref="AK4:AM4"/>
    <mergeCell ref="AN4:AP4"/>
    <mergeCell ref="AQ4:AS4"/>
    <mergeCell ref="AT4:AV4"/>
    <mergeCell ref="AW4:AY4"/>
    <mergeCell ref="ER113:ET113"/>
    <mergeCell ref="EU113:EW113"/>
    <mergeCell ref="EX113:EZ113"/>
    <mergeCell ref="DK113:DM113"/>
    <mergeCell ref="DN113:DP113"/>
    <mergeCell ref="DQ113:DS113"/>
    <mergeCell ref="DT113:DV113"/>
    <mergeCell ref="DW113:DY113"/>
    <mergeCell ref="DZ113:EB113"/>
    <mergeCell ref="EC113:EE113"/>
    <mergeCell ref="EI114:EK114"/>
    <mergeCell ref="ER114:ET114"/>
    <mergeCell ref="EU114:EW114"/>
    <mergeCell ref="DK114:DM114"/>
    <mergeCell ref="DN114:DP114"/>
    <mergeCell ref="DQ114:DS114"/>
    <mergeCell ref="DT114:DV114"/>
    <mergeCell ref="DW114:DY114"/>
    <mergeCell ref="DZ114:EB114"/>
    <mergeCell ref="EC114:EE114"/>
    <mergeCell ref="EI115:EK115"/>
    <mergeCell ref="ER115:ET115"/>
    <mergeCell ref="EU115:EW115"/>
    <mergeCell ref="DK115:DM115"/>
    <mergeCell ref="DN115:DP115"/>
    <mergeCell ref="DQ115:DS115"/>
    <mergeCell ref="DT115:DV115"/>
    <mergeCell ref="DW115:DY115"/>
    <mergeCell ref="DZ115:EB115"/>
    <mergeCell ref="EC115:EE115"/>
    <mergeCell ref="EJ116:EK116"/>
    <mergeCell ref="ES116:ET116"/>
    <mergeCell ref="EV116:EW116"/>
    <mergeCell ref="DL116:DM116"/>
    <mergeCell ref="DO116:DP116"/>
    <mergeCell ref="DR116:DS116"/>
    <mergeCell ref="DU116:DV116"/>
    <mergeCell ref="DX116:DY116"/>
    <mergeCell ref="EA116:EB116"/>
    <mergeCell ref="ED116:EE116"/>
  </mergeCells>
  <conditionalFormatting sqref="A6:E110 J6:FD110 I107:I110 BS144:BT158 BX144:BY158">
    <cfRule type="expression" dxfId="8" priority="1">
      <formula>ISODD(ROW())</formula>
    </cfRule>
  </conditionalFormatting>
  <conditionalFormatting sqref="FE6:FE110">
    <cfRule type="expression" dxfId="7" priority="2">
      <formula>ISODD(ROW())</formula>
    </cfRule>
  </conditionalFormatting>
  <conditionalFormatting sqref="F6:I110">
    <cfRule type="expression" dxfId="6" priority="3">
      <formula>ISODD(ROW())</formula>
    </cfRule>
  </conditionalFormatting>
  <hyperlinks>
    <hyperlink ref="FE24" r:id="rId1" xr:uid="{00000000-0004-0000-0300-000000000000}"/>
    <hyperlink ref="FE26" r:id="rId2" xr:uid="{00000000-0004-0000-0300-000001000000}"/>
    <hyperlink ref="FE28" r:id="rId3" xr:uid="{00000000-0004-0000-0300-000002000000}"/>
    <hyperlink ref="FE29" r:id="rId4" xr:uid="{00000000-0004-0000-0300-000003000000}"/>
    <hyperlink ref="FE30" r:id="rId5" xr:uid="{00000000-0004-0000-0300-000004000000}"/>
    <hyperlink ref="FE34" r:id="rId6" xr:uid="{00000000-0004-0000-0300-000005000000}"/>
    <hyperlink ref="FE36" r:id="rId7" xr:uid="{00000000-0004-0000-0300-000006000000}"/>
    <hyperlink ref="FE37" r:id="rId8" xr:uid="{00000000-0004-0000-0300-000007000000}"/>
    <hyperlink ref="FE38" r:id="rId9" xr:uid="{00000000-0004-0000-0300-000008000000}"/>
    <hyperlink ref="FE39" r:id="rId10" xr:uid="{00000000-0004-0000-0300-000009000000}"/>
    <hyperlink ref="FE40" r:id="rId11" xr:uid="{00000000-0004-0000-0300-00000A000000}"/>
    <hyperlink ref="FE41" r:id="rId12" xr:uid="{00000000-0004-0000-0300-00000B000000}"/>
    <hyperlink ref="FE45" r:id="rId13" xr:uid="{00000000-0004-0000-0300-00000C000000}"/>
    <hyperlink ref="FE51" r:id="rId14" xr:uid="{00000000-0004-0000-0300-00000D000000}"/>
    <hyperlink ref="FE52" r:id="rId15" xr:uid="{00000000-0004-0000-0300-00000E000000}"/>
    <hyperlink ref="FE53" r:id="rId16" xr:uid="{00000000-0004-0000-0300-00000F000000}"/>
    <hyperlink ref="FE54" r:id="rId17" xr:uid="{00000000-0004-0000-0300-000010000000}"/>
    <hyperlink ref="FE55" r:id="rId18" xr:uid="{00000000-0004-0000-0300-000011000000}"/>
    <hyperlink ref="FE56" r:id="rId19" xr:uid="{00000000-0004-0000-0300-000012000000}"/>
    <hyperlink ref="FE57" r:id="rId20" xr:uid="{00000000-0004-0000-0300-000013000000}"/>
    <hyperlink ref="FE58" r:id="rId21" xr:uid="{00000000-0004-0000-0300-000014000000}"/>
    <hyperlink ref="FE62" r:id="rId22" xr:uid="{00000000-0004-0000-0300-000015000000}"/>
    <hyperlink ref="FE63" r:id="rId23" xr:uid="{00000000-0004-0000-0300-000016000000}"/>
    <hyperlink ref="FE64" r:id="rId24" xr:uid="{00000000-0004-0000-0300-000017000000}"/>
    <hyperlink ref="FE65" r:id="rId25" xr:uid="{00000000-0004-0000-0300-000018000000}"/>
    <hyperlink ref="FE66" r:id="rId26" xr:uid="{00000000-0004-0000-0300-000019000000}"/>
    <hyperlink ref="FE68" r:id="rId27" xr:uid="{00000000-0004-0000-0300-00001A000000}"/>
    <hyperlink ref="FE72" r:id="rId28" xr:uid="{00000000-0004-0000-0300-00001B000000}"/>
    <hyperlink ref="FE73" r:id="rId29" xr:uid="{00000000-0004-0000-0300-00001C000000}"/>
    <hyperlink ref="FE78" r:id="rId30" xr:uid="{00000000-0004-0000-0300-00001D000000}"/>
    <hyperlink ref="FE84" r:id="rId31" xr:uid="{00000000-0004-0000-0300-00001E000000}"/>
    <hyperlink ref="FE85" r:id="rId32" xr:uid="{00000000-0004-0000-0300-00001F000000}"/>
    <hyperlink ref="FE87" r:id="rId33" xr:uid="{00000000-0004-0000-0300-000020000000}"/>
    <hyperlink ref="FE91" r:id="rId34" xr:uid="{00000000-0004-0000-0300-000021000000}"/>
    <hyperlink ref="FE94" r:id="rId35" xr:uid="{00000000-0004-0000-0300-000022000000}"/>
    <hyperlink ref="FE98" r:id="rId36" xr:uid="{00000000-0004-0000-0300-000023000000}"/>
    <hyperlink ref="FE107" r:id="rId37" xr:uid="{00000000-0004-0000-0300-000024000000}"/>
    <hyperlink ref="CJ114" r:id="rId38" xr:uid="{00000000-0004-0000-0300-000025000000}"/>
    <hyperlink ref="DB114" r:id="rId39" xr:uid="{00000000-0004-0000-0300-000026000000}"/>
    <hyperlink ref="AZ117" r:id="rId40" xr:uid="{00000000-0004-0000-0300-000027000000}"/>
    <hyperlink ref="C122" r:id="rId41" xr:uid="{00000000-0004-0000-0300-000028000000}"/>
    <hyperlink ref="C126" r:id="rId42" location="/c88e37cfc43b4ed3baf977d77e4a0667" xr:uid="{00000000-0004-0000-0300-000029000000}"/>
    <hyperlink ref="C130" r:id="rId43" xr:uid="{00000000-0004-0000-0300-00002A000000}"/>
    <hyperlink ref="C132" r:id="rId44" xr:uid="{00000000-0004-0000-0300-00002B000000}"/>
  </hyperlinks>
  <printOptions horizontalCentered="1"/>
  <pageMargins left="0.7" right="0.7" top="0.75" bottom="0.75" header="0" footer="0"/>
  <pageSetup fitToHeight="0" pageOrder="overThenDown" orientation="landscape" cellComments="atEnd"/>
  <drawing r:id="rId4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FZ1071"/>
  <sheetViews>
    <sheetView workbookViewId="0">
      <pane xSplit="5" ySplit="5" topLeftCell="F6" activePane="bottomRight" state="frozen"/>
      <selection pane="topRight" activeCell="F1" sqref="F1"/>
      <selection pane="bottomLeft" activeCell="A6" sqref="A6"/>
      <selection pane="bottomRight" activeCell="F6" sqref="F6"/>
    </sheetView>
  </sheetViews>
  <sheetFormatPr baseColWidth="10" defaultColWidth="14.42578125" defaultRowHeight="15.75" customHeight="1"/>
  <cols>
    <col min="1" max="1" width="10.85546875" customWidth="1"/>
    <col min="2" max="5" width="7.28515625" customWidth="1"/>
    <col min="6" max="6" width="5.140625" customWidth="1"/>
    <col min="7" max="7" width="4.140625" customWidth="1"/>
    <col min="8" max="8" width="4.7109375" customWidth="1"/>
    <col min="9" max="9" width="5.28515625" customWidth="1"/>
    <col min="10" max="10" width="4.140625" customWidth="1"/>
    <col min="11" max="11" width="4.85546875" customWidth="1"/>
    <col min="12" max="26" width="4.140625" customWidth="1"/>
    <col min="27" max="27" width="4.7109375" customWidth="1"/>
    <col min="28" max="28" width="4.140625" customWidth="1"/>
    <col min="29" max="29" width="4.85546875" customWidth="1"/>
    <col min="30" max="32" width="4.140625" customWidth="1"/>
    <col min="33" max="33" width="4.85546875" customWidth="1"/>
    <col min="34" max="38" width="4.140625" customWidth="1"/>
    <col min="39" max="39" width="5" customWidth="1"/>
    <col min="40" max="40" width="4.140625" customWidth="1"/>
    <col min="41" max="41" width="4.85546875" customWidth="1"/>
    <col min="42" max="56" width="4.140625" customWidth="1"/>
    <col min="57" max="57" width="5" customWidth="1"/>
    <col min="58" max="89" width="4.140625" customWidth="1"/>
    <col min="90" max="90" width="4.85546875" customWidth="1"/>
    <col min="91" max="118" width="4.140625" customWidth="1"/>
    <col min="119" max="119" width="4.7109375" customWidth="1"/>
    <col min="120" max="170" width="4.140625" customWidth="1"/>
    <col min="171" max="175" width="8" customWidth="1"/>
    <col min="176" max="176" width="15.7109375" customWidth="1"/>
    <col min="177" max="182" width="5.7109375" customWidth="1"/>
  </cols>
  <sheetData>
    <row r="1" spans="1:182" ht="12.75">
      <c r="A1" s="530" t="s">
        <v>16</v>
      </c>
      <c r="B1" s="530" t="s">
        <v>580</v>
      </c>
      <c r="C1" s="531"/>
      <c r="D1" s="531"/>
      <c r="E1" s="532"/>
      <c r="F1" s="530" t="s">
        <v>77</v>
      </c>
      <c r="G1" s="531"/>
      <c r="H1" s="531"/>
      <c r="I1" s="531"/>
      <c r="J1" s="531"/>
      <c r="K1" s="531"/>
      <c r="L1" s="531"/>
      <c r="M1" s="531"/>
      <c r="N1" s="531"/>
      <c r="O1" s="531"/>
      <c r="P1" s="531"/>
      <c r="Q1" s="531"/>
      <c r="R1" s="531"/>
      <c r="S1" s="531"/>
      <c r="T1" s="531"/>
      <c r="U1" s="531"/>
      <c r="V1" s="531"/>
      <c r="W1" s="531"/>
      <c r="X1" s="531"/>
      <c r="Y1" s="531"/>
      <c r="Z1" s="531"/>
      <c r="AA1" s="531"/>
      <c r="AB1" s="531"/>
      <c r="AC1" s="531"/>
      <c r="AD1" s="531"/>
      <c r="AE1" s="531"/>
      <c r="AF1" s="531"/>
      <c r="AG1" s="531"/>
      <c r="AH1" s="531"/>
      <c r="AI1" s="531"/>
      <c r="AJ1" s="531"/>
      <c r="AK1" s="531"/>
      <c r="AL1" s="531"/>
      <c r="AM1" s="531"/>
      <c r="AN1" s="531"/>
      <c r="AO1" s="531"/>
      <c r="AP1" s="531"/>
      <c r="AQ1" s="531"/>
      <c r="AR1" s="531"/>
      <c r="AS1" s="531"/>
      <c r="AT1" s="531"/>
      <c r="AU1" s="531"/>
      <c r="AV1" s="531"/>
      <c r="AW1" s="531"/>
      <c r="AX1" s="531"/>
      <c r="AY1" s="531"/>
      <c r="AZ1" s="531"/>
      <c r="BA1" s="531"/>
      <c r="BB1" s="531"/>
      <c r="BC1" s="531"/>
      <c r="BD1" s="531"/>
      <c r="BE1" s="531"/>
      <c r="BF1" s="531"/>
      <c r="BG1" s="531"/>
      <c r="BH1" s="531"/>
      <c r="BI1" s="531"/>
      <c r="BJ1" s="531"/>
      <c r="BK1" s="531"/>
      <c r="BL1" s="531"/>
      <c r="BM1" s="531"/>
      <c r="BN1" s="531"/>
      <c r="BO1" s="531"/>
      <c r="BP1" s="531"/>
      <c r="BQ1" s="531"/>
      <c r="BR1" s="531"/>
      <c r="BS1" s="531"/>
      <c r="BT1" s="531"/>
      <c r="BU1" s="531"/>
      <c r="BV1" s="531"/>
      <c r="BW1" s="531"/>
      <c r="BX1" s="531"/>
      <c r="BY1" s="531"/>
      <c r="BZ1" s="531"/>
      <c r="CA1" s="531"/>
      <c r="CB1" s="531"/>
      <c r="CC1" s="531"/>
      <c r="CD1" s="531"/>
      <c r="CE1" s="531"/>
      <c r="CF1" s="531"/>
      <c r="CG1" s="531"/>
      <c r="CH1" s="531"/>
      <c r="CI1" s="531"/>
      <c r="CJ1" s="531"/>
      <c r="CK1" s="531"/>
      <c r="CL1" s="531"/>
      <c r="CM1" s="531"/>
      <c r="CN1" s="531"/>
      <c r="CO1" s="531"/>
      <c r="CP1" s="531"/>
      <c r="CQ1" s="531"/>
      <c r="CR1" s="531"/>
      <c r="CS1" s="531"/>
      <c r="CT1" s="531"/>
      <c r="CU1" s="531"/>
      <c r="CV1" s="531"/>
      <c r="CW1" s="531"/>
      <c r="CX1" s="531"/>
      <c r="CY1" s="531"/>
      <c r="CZ1" s="531"/>
      <c r="DA1" s="531"/>
      <c r="DB1" s="531"/>
      <c r="DC1" s="531"/>
      <c r="DD1" s="531"/>
      <c r="DE1" s="531"/>
      <c r="DF1" s="531"/>
      <c r="DG1" s="531"/>
      <c r="DH1" s="531"/>
      <c r="DI1" s="531"/>
      <c r="DJ1" s="531"/>
      <c r="DK1" s="531"/>
      <c r="DL1" s="531"/>
      <c r="DM1" s="531"/>
      <c r="DN1" s="531"/>
      <c r="DO1" s="531"/>
      <c r="DP1" s="531"/>
      <c r="DQ1" s="531"/>
      <c r="DR1" s="531"/>
      <c r="DS1" s="531"/>
      <c r="DT1" s="531"/>
      <c r="DU1" s="531"/>
      <c r="DV1" s="531"/>
      <c r="DW1" s="531"/>
      <c r="DX1" s="531"/>
      <c r="DY1" s="531"/>
      <c r="DZ1" s="531"/>
      <c r="EA1" s="531"/>
      <c r="EB1" s="531"/>
      <c r="EC1" s="531"/>
      <c r="ED1" s="531"/>
      <c r="EE1" s="531"/>
      <c r="EF1" s="531"/>
      <c r="EG1" s="531"/>
      <c r="EH1" s="531"/>
      <c r="EI1" s="531"/>
      <c r="EJ1" s="531"/>
      <c r="EK1" s="531"/>
      <c r="EL1" s="531"/>
      <c r="EM1" s="531"/>
      <c r="EN1" s="531"/>
      <c r="EO1" s="531"/>
      <c r="EP1" s="531"/>
      <c r="EQ1" s="531"/>
      <c r="ER1" s="531"/>
      <c r="ES1" s="531"/>
      <c r="ET1" s="531"/>
      <c r="EU1" s="531"/>
      <c r="EV1" s="531"/>
      <c r="EW1" s="531"/>
      <c r="EX1" s="531"/>
      <c r="EY1" s="531"/>
      <c r="EZ1" s="531"/>
      <c r="FA1" s="531"/>
      <c r="FB1" s="531"/>
      <c r="FC1" s="531"/>
      <c r="FD1" s="531"/>
      <c r="FE1" s="531"/>
      <c r="FF1" s="531"/>
      <c r="FG1" s="531"/>
      <c r="FH1" s="531"/>
      <c r="FI1" s="531"/>
      <c r="FJ1" s="531"/>
      <c r="FK1" s="531"/>
      <c r="FL1" s="531"/>
      <c r="FM1" s="531"/>
      <c r="FN1" s="532"/>
      <c r="FO1" s="530" t="s">
        <v>6</v>
      </c>
      <c r="FP1" s="531"/>
      <c r="FQ1" s="531"/>
      <c r="FR1" s="531"/>
      <c r="FS1" s="531"/>
      <c r="FT1" s="531"/>
      <c r="FU1" s="530" t="s">
        <v>7</v>
      </c>
      <c r="FV1" s="531"/>
      <c r="FW1" s="531"/>
      <c r="FX1" s="531"/>
      <c r="FY1" s="531"/>
      <c r="FZ1" s="531"/>
    </row>
    <row r="2" spans="1:182" ht="12.75">
      <c r="A2" s="531"/>
      <c r="B2" s="531"/>
      <c r="C2" s="531"/>
      <c r="D2" s="531"/>
      <c r="E2" s="532"/>
      <c r="F2" s="530" t="s">
        <v>582</v>
      </c>
      <c r="G2" s="531"/>
      <c r="H2" s="532"/>
      <c r="I2" s="530" t="s">
        <v>583</v>
      </c>
      <c r="J2" s="531"/>
      <c r="K2" s="532"/>
      <c r="L2" s="530" t="s">
        <v>584</v>
      </c>
      <c r="M2" s="531"/>
      <c r="N2" s="532"/>
      <c r="O2" s="530" t="s">
        <v>585</v>
      </c>
      <c r="P2" s="531"/>
      <c r="Q2" s="532"/>
      <c r="R2" s="530" t="s">
        <v>586</v>
      </c>
      <c r="S2" s="531"/>
      <c r="T2" s="532"/>
      <c r="U2" s="530" t="s">
        <v>587</v>
      </c>
      <c r="V2" s="531"/>
      <c r="W2" s="532"/>
      <c r="X2" s="530" t="s">
        <v>588</v>
      </c>
      <c r="Y2" s="531"/>
      <c r="Z2" s="532"/>
      <c r="AA2" s="530" t="s">
        <v>589</v>
      </c>
      <c r="AB2" s="531"/>
      <c r="AC2" s="532"/>
      <c r="AD2" s="530" t="s">
        <v>590</v>
      </c>
      <c r="AE2" s="531"/>
      <c r="AF2" s="532"/>
      <c r="AG2" s="530" t="s">
        <v>591</v>
      </c>
      <c r="AH2" s="531"/>
      <c r="AI2" s="532"/>
      <c r="AJ2" s="530" t="s">
        <v>592</v>
      </c>
      <c r="AK2" s="531"/>
      <c r="AL2" s="532"/>
      <c r="AM2" s="530" t="s">
        <v>594</v>
      </c>
      <c r="AN2" s="531"/>
      <c r="AO2" s="532"/>
      <c r="AP2" s="530" t="s">
        <v>595</v>
      </c>
      <c r="AQ2" s="531"/>
      <c r="AR2" s="532"/>
      <c r="AS2" s="530" t="s">
        <v>596</v>
      </c>
      <c r="AT2" s="531"/>
      <c r="AU2" s="532"/>
      <c r="AV2" s="530" t="s">
        <v>597</v>
      </c>
      <c r="AW2" s="531"/>
      <c r="AX2" s="532"/>
      <c r="AY2" s="530" t="s">
        <v>598</v>
      </c>
      <c r="AZ2" s="531"/>
      <c r="BA2" s="532"/>
      <c r="BB2" s="530" t="s">
        <v>599</v>
      </c>
      <c r="BC2" s="531"/>
      <c r="BD2" s="532"/>
      <c r="BE2" s="530" t="s">
        <v>600</v>
      </c>
      <c r="BF2" s="531"/>
      <c r="BG2" s="532"/>
      <c r="BH2" s="530" t="s">
        <v>601</v>
      </c>
      <c r="BI2" s="531"/>
      <c r="BJ2" s="532"/>
      <c r="BK2" s="530" t="s">
        <v>602</v>
      </c>
      <c r="BL2" s="531"/>
      <c r="BM2" s="532"/>
      <c r="BN2" s="530" t="s">
        <v>603</v>
      </c>
      <c r="BO2" s="531"/>
      <c r="BP2" s="532"/>
      <c r="BQ2" s="530" t="s">
        <v>605</v>
      </c>
      <c r="BR2" s="531"/>
      <c r="BS2" s="532"/>
      <c r="BT2" s="530" t="s">
        <v>606</v>
      </c>
      <c r="BU2" s="531"/>
      <c r="BV2" s="532"/>
      <c r="BW2" s="530" t="s">
        <v>607</v>
      </c>
      <c r="BX2" s="531"/>
      <c r="BY2" s="532"/>
      <c r="BZ2" s="530" t="s">
        <v>608</v>
      </c>
      <c r="CA2" s="531"/>
      <c r="CB2" s="532"/>
      <c r="CC2" s="530" t="s">
        <v>609</v>
      </c>
      <c r="CD2" s="531"/>
      <c r="CE2" s="532"/>
      <c r="CF2" s="530" t="s">
        <v>610</v>
      </c>
      <c r="CG2" s="531"/>
      <c r="CH2" s="532"/>
      <c r="CI2" s="530" t="s">
        <v>611</v>
      </c>
      <c r="CJ2" s="531"/>
      <c r="CK2" s="532"/>
      <c r="CL2" s="530" t="s">
        <v>612</v>
      </c>
      <c r="CM2" s="531"/>
      <c r="CN2" s="532"/>
      <c r="CO2" s="530" t="s">
        <v>613</v>
      </c>
      <c r="CP2" s="531"/>
      <c r="CQ2" s="532"/>
      <c r="CR2" s="530" t="s">
        <v>614</v>
      </c>
      <c r="CS2" s="531"/>
      <c r="CT2" s="532"/>
      <c r="CU2" s="530" t="s">
        <v>615</v>
      </c>
      <c r="CV2" s="531"/>
      <c r="CW2" s="532"/>
      <c r="CX2" s="530" t="s">
        <v>616</v>
      </c>
      <c r="CY2" s="531"/>
      <c r="CZ2" s="532"/>
      <c r="DA2" s="530" t="s">
        <v>617</v>
      </c>
      <c r="DB2" s="531"/>
      <c r="DC2" s="532"/>
      <c r="DD2" s="530" t="s">
        <v>618</v>
      </c>
      <c r="DE2" s="531"/>
      <c r="DF2" s="532"/>
      <c r="DG2" s="530" t="s">
        <v>619</v>
      </c>
      <c r="DH2" s="531"/>
      <c r="DI2" s="532"/>
      <c r="DJ2" s="530" t="s">
        <v>620</v>
      </c>
      <c r="DK2" s="531"/>
      <c r="DL2" s="532"/>
      <c r="DM2" s="530" t="s">
        <v>621</v>
      </c>
      <c r="DN2" s="531"/>
      <c r="DO2" s="532"/>
      <c r="DP2" s="530" t="s">
        <v>622</v>
      </c>
      <c r="DQ2" s="531"/>
      <c r="DR2" s="532"/>
      <c r="DS2" s="530" t="s">
        <v>623</v>
      </c>
      <c r="DT2" s="531"/>
      <c r="DU2" s="532"/>
      <c r="DV2" s="530" t="s">
        <v>624</v>
      </c>
      <c r="DW2" s="531"/>
      <c r="DX2" s="532"/>
      <c r="DY2" s="530" t="s">
        <v>625</v>
      </c>
      <c r="DZ2" s="531"/>
      <c r="EA2" s="532"/>
      <c r="EB2" s="530" t="s">
        <v>626</v>
      </c>
      <c r="EC2" s="531"/>
      <c r="ED2" s="532"/>
      <c r="EE2" s="530" t="s">
        <v>627</v>
      </c>
      <c r="EF2" s="531"/>
      <c r="EG2" s="532"/>
      <c r="EH2" s="530" t="s">
        <v>628</v>
      </c>
      <c r="EI2" s="531"/>
      <c r="EJ2" s="532"/>
      <c r="EK2" s="530" t="s">
        <v>629</v>
      </c>
      <c r="EL2" s="531"/>
      <c r="EM2" s="532"/>
      <c r="EN2" s="530" t="s">
        <v>630</v>
      </c>
      <c r="EO2" s="531"/>
      <c r="EP2" s="532"/>
      <c r="EQ2" s="530" t="s">
        <v>631</v>
      </c>
      <c r="ER2" s="531"/>
      <c r="ES2" s="532"/>
      <c r="ET2" s="530" t="s">
        <v>632</v>
      </c>
      <c r="EU2" s="531"/>
      <c r="EV2" s="532"/>
      <c r="EW2" s="530" t="s">
        <v>633</v>
      </c>
      <c r="EX2" s="531"/>
      <c r="EY2" s="532"/>
      <c r="EZ2" s="530" t="s">
        <v>634</v>
      </c>
      <c r="FA2" s="531"/>
      <c r="FB2" s="532"/>
      <c r="FC2" s="530" t="s">
        <v>635</v>
      </c>
      <c r="FD2" s="531"/>
      <c r="FE2" s="532"/>
      <c r="FF2" s="530" t="s">
        <v>636</v>
      </c>
      <c r="FG2" s="531"/>
      <c r="FH2" s="532"/>
      <c r="FI2" s="530" t="s">
        <v>637</v>
      </c>
      <c r="FJ2" s="531"/>
      <c r="FK2" s="532"/>
      <c r="FL2" s="530" t="s">
        <v>638</v>
      </c>
      <c r="FM2" s="531"/>
      <c r="FN2" s="532"/>
      <c r="FO2" s="531"/>
      <c r="FP2" s="531"/>
      <c r="FQ2" s="531"/>
      <c r="FR2" s="531"/>
      <c r="FS2" s="531"/>
      <c r="FT2" s="531"/>
      <c r="FU2" s="531"/>
      <c r="FV2" s="531"/>
      <c r="FW2" s="531"/>
      <c r="FX2" s="531"/>
      <c r="FY2" s="531"/>
      <c r="FZ2" s="531"/>
    </row>
    <row r="3" spans="1:182" ht="12.75">
      <c r="A3" s="531"/>
      <c r="B3" s="531"/>
      <c r="C3" s="531"/>
      <c r="D3" s="531"/>
      <c r="E3" s="532"/>
      <c r="F3" s="530" t="s">
        <v>639</v>
      </c>
      <c r="G3" s="531"/>
      <c r="H3" s="532"/>
      <c r="I3" s="530" t="s">
        <v>640</v>
      </c>
      <c r="J3" s="531"/>
      <c r="K3" s="532"/>
      <c r="L3" s="530" t="s">
        <v>641</v>
      </c>
      <c r="M3" s="531"/>
      <c r="N3" s="532"/>
      <c r="O3" s="530" t="s">
        <v>642</v>
      </c>
      <c r="P3" s="531"/>
      <c r="Q3" s="532"/>
      <c r="R3" s="530" t="s">
        <v>643</v>
      </c>
      <c r="S3" s="531"/>
      <c r="T3" s="532"/>
      <c r="U3" s="530" t="s">
        <v>644</v>
      </c>
      <c r="V3" s="531"/>
      <c r="W3" s="532"/>
      <c r="X3" s="530" t="s">
        <v>645</v>
      </c>
      <c r="Y3" s="531"/>
      <c r="Z3" s="532"/>
      <c r="AA3" s="530" t="s">
        <v>646</v>
      </c>
      <c r="AB3" s="531"/>
      <c r="AC3" s="532"/>
      <c r="AD3" s="530" t="s">
        <v>647</v>
      </c>
      <c r="AE3" s="531"/>
      <c r="AF3" s="532"/>
      <c r="AG3" s="530" t="s">
        <v>648</v>
      </c>
      <c r="AH3" s="531"/>
      <c r="AI3" s="532"/>
      <c r="AJ3" s="530" t="s">
        <v>649</v>
      </c>
      <c r="AK3" s="531"/>
      <c r="AL3" s="532"/>
      <c r="AM3" s="530" t="s">
        <v>650</v>
      </c>
      <c r="AN3" s="531"/>
      <c r="AO3" s="532"/>
      <c r="AP3" s="530" t="s">
        <v>651</v>
      </c>
      <c r="AQ3" s="531"/>
      <c r="AR3" s="532"/>
      <c r="AS3" s="530" t="s">
        <v>652</v>
      </c>
      <c r="AT3" s="531"/>
      <c r="AU3" s="532"/>
      <c r="AV3" s="530" t="s">
        <v>653</v>
      </c>
      <c r="AW3" s="531"/>
      <c r="AX3" s="532"/>
      <c r="AY3" s="530" t="s">
        <v>654</v>
      </c>
      <c r="AZ3" s="531"/>
      <c r="BA3" s="532"/>
      <c r="BB3" s="530" t="s">
        <v>655</v>
      </c>
      <c r="BC3" s="531"/>
      <c r="BD3" s="532"/>
      <c r="BE3" s="530" t="s">
        <v>656</v>
      </c>
      <c r="BF3" s="531"/>
      <c r="BG3" s="532"/>
      <c r="BH3" s="530" t="s">
        <v>657</v>
      </c>
      <c r="BI3" s="531"/>
      <c r="BJ3" s="532"/>
      <c r="BK3" s="530" t="s">
        <v>658</v>
      </c>
      <c r="BL3" s="531"/>
      <c r="BM3" s="532"/>
      <c r="BN3" s="530" t="s">
        <v>659</v>
      </c>
      <c r="BO3" s="531"/>
      <c r="BP3" s="532"/>
      <c r="BQ3" s="530" t="s">
        <v>660</v>
      </c>
      <c r="BR3" s="531"/>
      <c r="BS3" s="532"/>
      <c r="BT3" s="530" t="s">
        <v>661</v>
      </c>
      <c r="BU3" s="531"/>
      <c r="BV3" s="532"/>
      <c r="BW3" s="530" t="s">
        <v>662</v>
      </c>
      <c r="BX3" s="531"/>
      <c r="BY3" s="532"/>
      <c r="BZ3" s="530" t="s">
        <v>663</v>
      </c>
      <c r="CA3" s="531"/>
      <c r="CB3" s="532"/>
      <c r="CC3" s="530" t="s">
        <v>664</v>
      </c>
      <c r="CD3" s="531"/>
      <c r="CE3" s="532"/>
      <c r="CF3" s="530" t="s">
        <v>665</v>
      </c>
      <c r="CG3" s="531"/>
      <c r="CH3" s="532"/>
      <c r="CI3" s="530" t="s">
        <v>666</v>
      </c>
      <c r="CJ3" s="531"/>
      <c r="CK3" s="532"/>
      <c r="CL3" s="530" t="s">
        <v>667</v>
      </c>
      <c r="CM3" s="531"/>
      <c r="CN3" s="532"/>
      <c r="CO3" s="530" t="s">
        <v>668</v>
      </c>
      <c r="CP3" s="531"/>
      <c r="CQ3" s="532"/>
      <c r="CR3" s="530" t="s">
        <v>669</v>
      </c>
      <c r="CS3" s="531"/>
      <c r="CT3" s="532"/>
      <c r="CU3" s="530" t="s">
        <v>670</v>
      </c>
      <c r="CV3" s="531"/>
      <c r="CW3" s="532"/>
      <c r="CX3" s="530" t="s">
        <v>671</v>
      </c>
      <c r="CY3" s="531"/>
      <c r="CZ3" s="532"/>
      <c r="DA3" s="530" t="s">
        <v>672</v>
      </c>
      <c r="DB3" s="531"/>
      <c r="DC3" s="532"/>
      <c r="DD3" s="530" t="s">
        <v>673</v>
      </c>
      <c r="DE3" s="531"/>
      <c r="DF3" s="532"/>
      <c r="DG3" s="530" t="s">
        <v>640</v>
      </c>
      <c r="DH3" s="531"/>
      <c r="DI3" s="532"/>
      <c r="DJ3" s="530" t="s">
        <v>674</v>
      </c>
      <c r="DK3" s="531"/>
      <c r="DL3" s="532"/>
      <c r="DM3" s="530" t="s">
        <v>675</v>
      </c>
      <c r="DN3" s="531"/>
      <c r="DO3" s="532"/>
      <c r="DP3" s="530" t="s">
        <v>676</v>
      </c>
      <c r="DQ3" s="531"/>
      <c r="DR3" s="532"/>
      <c r="DS3" s="530" t="s">
        <v>677</v>
      </c>
      <c r="DT3" s="531"/>
      <c r="DU3" s="532"/>
      <c r="DV3" s="530" t="s">
        <v>678</v>
      </c>
      <c r="DW3" s="531"/>
      <c r="DX3" s="532"/>
      <c r="DY3" s="530" t="s">
        <v>679</v>
      </c>
      <c r="DZ3" s="531"/>
      <c r="EA3" s="532"/>
      <c r="EB3" s="530" t="s">
        <v>680</v>
      </c>
      <c r="EC3" s="531"/>
      <c r="ED3" s="532"/>
      <c r="EE3" s="530" t="s">
        <v>681</v>
      </c>
      <c r="EF3" s="531"/>
      <c r="EG3" s="532"/>
      <c r="EH3" s="530" t="s">
        <v>682</v>
      </c>
      <c r="EI3" s="531"/>
      <c r="EJ3" s="532"/>
      <c r="EK3" s="530" t="s">
        <v>683</v>
      </c>
      <c r="EL3" s="531"/>
      <c r="EM3" s="532"/>
      <c r="EN3" s="530" t="s">
        <v>684</v>
      </c>
      <c r="EO3" s="531"/>
      <c r="EP3" s="532"/>
      <c r="EQ3" s="530" t="s">
        <v>685</v>
      </c>
      <c r="ER3" s="531"/>
      <c r="ES3" s="532"/>
      <c r="ET3" s="530" t="s">
        <v>686</v>
      </c>
      <c r="EU3" s="531"/>
      <c r="EV3" s="532"/>
      <c r="EW3" s="530" t="s">
        <v>687</v>
      </c>
      <c r="EX3" s="531"/>
      <c r="EY3" s="532"/>
      <c r="EZ3" s="530" t="s">
        <v>688</v>
      </c>
      <c r="FA3" s="531"/>
      <c r="FB3" s="532"/>
      <c r="FC3" s="530" t="s">
        <v>689</v>
      </c>
      <c r="FD3" s="531"/>
      <c r="FE3" s="532"/>
      <c r="FF3" s="530" t="s">
        <v>690</v>
      </c>
      <c r="FG3" s="531"/>
      <c r="FH3" s="532"/>
      <c r="FI3" s="530" t="s">
        <v>692</v>
      </c>
      <c r="FJ3" s="531"/>
      <c r="FK3" s="532"/>
      <c r="FL3" s="530" t="s">
        <v>693</v>
      </c>
      <c r="FM3" s="531"/>
      <c r="FN3" s="532"/>
      <c r="FO3" s="531"/>
      <c r="FP3" s="531"/>
      <c r="FQ3" s="531"/>
      <c r="FR3" s="531"/>
      <c r="FS3" s="531"/>
      <c r="FT3" s="531"/>
      <c r="FU3" s="531"/>
      <c r="FV3" s="531"/>
      <c r="FW3" s="531"/>
      <c r="FX3" s="531"/>
      <c r="FY3" s="531"/>
      <c r="FZ3" s="531"/>
    </row>
    <row r="4" spans="1:182" ht="12.75">
      <c r="A4" s="531"/>
      <c r="B4" s="625" t="s">
        <v>8</v>
      </c>
      <c r="C4" s="626" t="s">
        <v>9</v>
      </c>
      <c r="D4" s="642" t="s">
        <v>10</v>
      </c>
      <c r="E4" s="633" t="s">
        <v>11</v>
      </c>
      <c r="F4" s="530"/>
      <c r="G4" s="531"/>
      <c r="H4" s="532"/>
      <c r="I4" s="530"/>
      <c r="J4" s="531"/>
      <c r="K4" s="532"/>
      <c r="L4" s="530"/>
      <c r="M4" s="531"/>
      <c r="N4" s="532"/>
      <c r="O4" s="530"/>
      <c r="P4" s="531"/>
      <c r="Q4" s="532"/>
      <c r="R4" s="530"/>
      <c r="S4" s="531"/>
      <c r="T4" s="532"/>
      <c r="U4" s="530"/>
      <c r="V4" s="531"/>
      <c r="W4" s="532"/>
      <c r="X4" s="530"/>
      <c r="Y4" s="531"/>
      <c r="Z4" s="532"/>
      <c r="AA4" s="530"/>
      <c r="AB4" s="531"/>
      <c r="AC4" s="532"/>
      <c r="AD4" s="530"/>
      <c r="AE4" s="531"/>
      <c r="AF4" s="532"/>
      <c r="AG4" s="530"/>
      <c r="AH4" s="531"/>
      <c r="AI4" s="532"/>
      <c r="AJ4" s="530"/>
      <c r="AK4" s="531"/>
      <c r="AL4" s="532"/>
      <c r="AM4" s="530"/>
      <c r="AN4" s="531"/>
      <c r="AO4" s="532"/>
      <c r="AP4" s="530"/>
      <c r="AQ4" s="531"/>
      <c r="AR4" s="532"/>
      <c r="AS4" s="530"/>
      <c r="AT4" s="531"/>
      <c r="AU4" s="532"/>
      <c r="AV4" s="530"/>
      <c r="AW4" s="531"/>
      <c r="AX4" s="532"/>
      <c r="AY4" s="530"/>
      <c r="AZ4" s="531"/>
      <c r="BA4" s="532"/>
      <c r="BB4" s="530"/>
      <c r="BC4" s="531"/>
      <c r="BD4" s="532"/>
      <c r="BE4" s="530"/>
      <c r="BF4" s="531"/>
      <c r="BG4" s="532"/>
      <c r="BH4" s="530"/>
      <c r="BI4" s="531"/>
      <c r="BJ4" s="532"/>
      <c r="BK4" s="530"/>
      <c r="BL4" s="531"/>
      <c r="BM4" s="532"/>
      <c r="BN4" s="530"/>
      <c r="BO4" s="531"/>
      <c r="BP4" s="532"/>
      <c r="BQ4" s="530"/>
      <c r="BR4" s="531"/>
      <c r="BS4" s="532"/>
      <c r="BT4" s="530"/>
      <c r="BU4" s="531"/>
      <c r="BV4" s="532"/>
      <c r="BW4" s="530"/>
      <c r="BX4" s="531"/>
      <c r="BY4" s="532"/>
      <c r="BZ4" s="530"/>
      <c r="CA4" s="531"/>
      <c r="CB4" s="532"/>
      <c r="CC4" s="530"/>
      <c r="CD4" s="531"/>
      <c r="CE4" s="532"/>
      <c r="CF4" s="530"/>
      <c r="CG4" s="531"/>
      <c r="CH4" s="532"/>
      <c r="CI4" s="530"/>
      <c r="CJ4" s="531"/>
      <c r="CK4" s="532"/>
      <c r="CL4" s="530"/>
      <c r="CM4" s="531"/>
      <c r="CN4" s="532"/>
      <c r="CO4" s="530"/>
      <c r="CP4" s="531"/>
      <c r="CQ4" s="532"/>
      <c r="CR4" s="530"/>
      <c r="CS4" s="531"/>
      <c r="CT4" s="532"/>
      <c r="CU4" s="530"/>
      <c r="CV4" s="531"/>
      <c r="CW4" s="532"/>
      <c r="CX4" s="530"/>
      <c r="CY4" s="531"/>
      <c r="CZ4" s="532"/>
      <c r="DA4" s="530"/>
      <c r="DB4" s="531"/>
      <c r="DC4" s="532"/>
      <c r="DD4" s="530"/>
      <c r="DE4" s="531"/>
      <c r="DF4" s="532"/>
      <c r="DG4" s="530"/>
      <c r="DH4" s="531"/>
      <c r="DI4" s="532"/>
      <c r="DJ4" s="530"/>
      <c r="DK4" s="531"/>
      <c r="DL4" s="532"/>
      <c r="DM4" s="530"/>
      <c r="DN4" s="531"/>
      <c r="DO4" s="532"/>
      <c r="DP4" s="530"/>
      <c r="DQ4" s="531"/>
      <c r="DR4" s="532"/>
      <c r="DS4" s="530"/>
      <c r="DT4" s="531"/>
      <c r="DU4" s="532"/>
      <c r="DV4" s="530"/>
      <c r="DW4" s="531"/>
      <c r="DX4" s="532"/>
      <c r="DY4" s="530"/>
      <c r="DZ4" s="531"/>
      <c r="EA4" s="532"/>
      <c r="EB4" s="530"/>
      <c r="EC4" s="531"/>
      <c r="ED4" s="532"/>
      <c r="EE4" s="530"/>
      <c r="EF4" s="531"/>
      <c r="EG4" s="532"/>
      <c r="EH4" s="530"/>
      <c r="EI4" s="531"/>
      <c r="EJ4" s="532"/>
      <c r="EK4" s="530"/>
      <c r="EL4" s="531"/>
      <c r="EM4" s="532"/>
      <c r="EN4" s="530"/>
      <c r="EO4" s="531"/>
      <c r="EP4" s="532"/>
      <c r="EQ4" s="530"/>
      <c r="ER4" s="531"/>
      <c r="ES4" s="532"/>
      <c r="ET4" s="530"/>
      <c r="EU4" s="531"/>
      <c r="EV4" s="532"/>
      <c r="EW4" s="530"/>
      <c r="EX4" s="531"/>
      <c r="EY4" s="532"/>
      <c r="EZ4" s="530"/>
      <c r="FA4" s="531"/>
      <c r="FB4" s="532"/>
      <c r="FC4" s="530"/>
      <c r="FD4" s="531"/>
      <c r="FE4" s="532"/>
      <c r="FF4" s="530"/>
      <c r="FG4" s="531"/>
      <c r="FH4" s="532"/>
      <c r="FI4" s="530"/>
      <c r="FJ4" s="531"/>
      <c r="FK4" s="532"/>
      <c r="FL4" s="530"/>
      <c r="FM4" s="531"/>
      <c r="FN4" s="532"/>
      <c r="FO4" s="531"/>
      <c r="FP4" s="531"/>
      <c r="FQ4" s="531"/>
      <c r="FR4" s="531"/>
      <c r="FS4" s="531"/>
      <c r="FT4" s="531"/>
      <c r="FU4" s="531"/>
      <c r="FV4" s="531"/>
      <c r="FW4" s="531"/>
      <c r="FX4" s="531"/>
      <c r="FY4" s="531"/>
      <c r="FZ4" s="531"/>
    </row>
    <row r="5" spans="1:182" ht="12.75">
      <c r="A5" s="531"/>
      <c r="B5" s="531"/>
      <c r="C5" s="531"/>
      <c r="D5" s="531"/>
      <c r="E5" s="532"/>
      <c r="F5" s="30" t="s">
        <v>99</v>
      </c>
      <c r="G5" s="31" t="s">
        <v>100</v>
      </c>
      <c r="H5" s="32" t="s">
        <v>102</v>
      </c>
      <c r="I5" s="30" t="s">
        <v>99</v>
      </c>
      <c r="J5" s="31" t="s">
        <v>100</v>
      </c>
      <c r="K5" s="32" t="s">
        <v>102</v>
      </c>
      <c r="L5" s="30" t="s">
        <v>99</v>
      </c>
      <c r="M5" s="31" t="s">
        <v>100</v>
      </c>
      <c r="N5" s="32" t="s">
        <v>102</v>
      </c>
      <c r="O5" s="30" t="s">
        <v>99</v>
      </c>
      <c r="P5" s="31" t="s">
        <v>100</v>
      </c>
      <c r="Q5" s="32" t="s">
        <v>102</v>
      </c>
      <c r="R5" s="30" t="s">
        <v>99</v>
      </c>
      <c r="S5" s="31" t="s">
        <v>100</v>
      </c>
      <c r="T5" s="32" t="s">
        <v>102</v>
      </c>
      <c r="U5" s="30" t="s">
        <v>99</v>
      </c>
      <c r="V5" s="31" t="s">
        <v>100</v>
      </c>
      <c r="W5" s="32" t="s">
        <v>102</v>
      </c>
      <c r="X5" s="30" t="s">
        <v>99</v>
      </c>
      <c r="Y5" s="31" t="s">
        <v>100</v>
      </c>
      <c r="Z5" s="32" t="s">
        <v>102</v>
      </c>
      <c r="AA5" s="30" t="s">
        <v>99</v>
      </c>
      <c r="AB5" s="31" t="s">
        <v>100</v>
      </c>
      <c r="AC5" s="32" t="s">
        <v>102</v>
      </c>
      <c r="AD5" s="30" t="s">
        <v>99</v>
      </c>
      <c r="AE5" s="31" t="s">
        <v>100</v>
      </c>
      <c r="AF5" s="32" t="s">
        <v>102</v>
      </c>
      <c r="AG5" s="30" t="s">
        <v>99</v>
      </c>
      <c r="AH5" s="31" t="s">
        <v>100</v>
      </c>
      <c r="AI5" s="32" t="s">
        <v>102</v>
      </c>
      <c r="AJ5" s="30" t="s">
        <v>99</v>
      </c>
      <c r="AK5" s="31" t="s">
        <v>100</v>
      </c>
      <c r="AL5" s="32" t="s">
        <v>102</v>
      </c>
      <c r="AM5" s="30" t="s">
        <v>99</v>
      </c>
      <c r="AN5" s="31" t="s">
        <v>100</v>
      </c>
      <c r="AO5" s="32" t="s">
        <v>102</v>
      </c>
      <c r="AP5" s="30" t="s">
        <v>99</v>
      </c>
      <c r="AQ5" s="31" t="s">
        <v>100</v>
      </c>
      <c r="AR5" s="32" t="s">
        <v>102</v>
      </c>
      <c r="AS5" s="30" t="s">
        <v>99</v>
      </c>
      <c r="AT5" s="31" t="s">
        <v>100</v>
      </c>
      <c r="AU5" s="32" t="s">
        <v>102</v>
      </c>
      <c r="AV5" s="30" t="s">
        <v>99</v>
      </c>
      <c r="AW5" s="31" t="s">
        <v>100</v>
      </c>
      <c r="AX5" s="32" t="s">
        <v>102</v>
      </c>
      <c r="AY5" s="30" t="s">
        <v>99</v>
      </c>
      <c r="AZ5" s="31" t="s">
        <v>100</v>
      </c>
      <c r="BA5" s="32" t="s">
        <v>102</v>
      </c>
      <c r="BB5" s="30" t="s">
        <v>99</v>
      </c>
      <c r="BC5" s="31" t="s">
        <v>100</v>
      </c>
      <c r="BD5" s="32" t="s">
        <v>102</v>
      </c>
      <c r="BE5" s="30" t="s">
        <v>99</v>
      </c>
      <c r="BF5" s="31" t="s">
        <v>100</v>
      </c>
      <c r="BG5" s="32" t="s">
        <v>102</v>
      </c>
      <c r="BH5" s="30" t="s">
        <v>99</v>
      </c>
      <c r="BI5" s="31" t="s">
        <v>100</v>
      </c>
      <c r="BJ5" s="32" t="s">
        <v>102</v>
      </c>
      <c r="BK5" s="30" t="s">
        <v>99</v>
      </c>
      <c r="BL5" s="31" t="s">
        <v>100</v>
      </c>
      <c r="BM5" s="32" t="s">
        <v>102</v>
      </c>
      <c r="BN5" s="30" t="s">
        <v>99</v>
      </c>
      <c r="BO5" s="31" t="s">
        <v>100</v>
      </c>
      <c r="BP5" s="32" t="s">
        <v>102</v>
      </c>
      <c r="BQ5" s="30" t="s">
        <v>99</v>
      </c>
      <c r="BR5" s="31" t="s">
        <v>100</v>
      </c>
      <c r="BS5" s="32" t="s">
        <v>102</v>
      </c>
      <c r="BT5" s="30" t="s">
        <v>99</v>
      </c>
      <c r="BU5" s="31" t="s">
        <v>100</v>
      </c>
      <c r="BV5" s="32" t="s">
        <v>102</v>
      </c>
      <c r="BW5" s="30" t="s">
        <v>99</v>
      </c>
      <c r="BX5" s="31" t="s">
        <v>100</v>
      </c>
      <c r="BY5" s="32" t="s">
        <v>102</v>
      </c>
      <c r="BZ5" s="30" t="s">
        <v>99</v>
      </c>
      <c r="CA5" s="31" t="s">
        <v>100</v>
      </c>
      <c r="CB5" s="32" t="s">
        <v>102</v>
      </c>
      <c r="CC5" s="30" t="s">
        <v>99</v>
      </c>
      <c r="CD5" s="31" t="s">
        <v>100</v>
      </c>
      <c r="CE5" s="32" t="s">
        <v>102</v>
      </c>
      <c r="CF5" s="30" t="s">
        <v>99</v>
      </c>
      <c r="CG5" s="31" t="s">
        <v>100</v>
      </c>
      <c r="CH5" s="32" t="s">
        <v>102</v>
      </c>
      <c r="CI5" s="30" t="s">
        <v>99</v>
      </c>
      <c r="CJ5" s="31" t="s">
        <v>100</v>
      </c>
      <c r="CK5" s="32" t="s">
        <v>102</v>
      </c>
      <c r="CL5" s="30" t="s">
        <v>99</v>
      </c>
      <c r="CM5" s="31" t="s">
        <v>100</v>
      </c>
      <c r="CN5" s="32" t="s">
        <v>102</v>
      </c>
      <c r="CO5" s="30" t="s">
        <v>99</v>
      </c>
      <c r="CP5" s="31" t="s">
        <v>100</v>
      </c>
      <c r="CQ5" s="32" t="s">
        <v>102</v>
      </c>
      <c r="CR5" s="30" t="s">
        <v>99</v>
      </c>
      <c r="CS5" s="31" t="s">
        <v>100</v>
      </c>
      <c r="CT5" s="32" t="s">
        <v>102</v>
      </c>
      <c r="CU5" s="30" t="s">
        <v>99</v>
      </c>
      <c r="CV5" s="31" t="s">
        <v>100</v>
      </c>
      <c r="CW5" s="32" t="s">
        <v>102</v>
      </c>
      <c r="CX5" s="30" t="s">
        <v>99</v>
      </c>
      <c r="CY5" s="31" t="s">
        <v>100</v>
      </c>
      <c r="CZ5" s="32" t="s">
        <v>102</v>
      </c>
      <c r="DA5" s="30" t="s">
        <v>99</v>
      </c>
      <c r="DB5" s="31" t="s">
        <v>100</v>
      </c>
      <c r="DC5" s="32" t="s">
        <v>102</v>
      </c>
      <c r="DD5" s="30" t="s">
        <v>99</v>
      </c>
      <c r="DE5" s="31" t="s">
        <v>100</v>
      </c>
      <c r="DF5" s="32" t="s">
        <v>102</v>
      </c>
      <c r="DG5" s="30" t="s">
        <v>99</v>
      </c>
      <c r="DH5" s="31" t="s">
        <v>100</v>
      </c>
      <c r="DI5" s="32" t="s">
        <v>102</v>
      </c>
      <c r="DJ5" s="30" t="s">
        <v>99</v>
      </c>
      <c r="DK5" s="31" t="s">
        <v>100</v>
      </c>
      <c r="DL5" s="32" t="s">
        <v>102</v>
      </c>
      <c r="DM5" s="30" t="s">
        <v>99</v>
      </c>
      <c r="DN5" s="31" t="s">
        <v>100</v>
      </c>
      <c r="DO5" s="32" t="s">
        <v>102</v>
      </c>
      <c r="DP5" s="30" t="s">
        <v>99</v>
      </c>
      <c r="DQ5" s="31" t="s">
        <v>100</v>
      </c>
      <c r="DR5" s="32" t="s">
        <v>102</v>
      </c>
      <c r="DS5" s="30" t="s">
        <v>99</v>
      </c>
      <c r="DT5" s="31" t="s">
        <v>100</v>
      </c>
      <c r="DU5" s="32" t="s">
        <v>102</v>
      </c>
      <c r="DV5" s="30" t="s">
        <v>99</v>
      </c>
      <c r="DW5" s="31" t="s">
        <v>100</v>
      </c>
      <c r="DX5" s="32" t="s">
        <v>102</v>
      </c>
      <c r="DY5" s="30" t="s">
        <v>99</v>
      </c>
      <c r="DZ5" s="31" t="s">
        <v>100</v>
      </c>
      <c r="EA5" s="32" t="s">
        <v>102</v>
      </c>
      <c r="EB5" s="30" t="s">
        <v>99</v>
      </c>
      <c r="EC5" s="31" t="s">
        <v>100</v>
      </c>
      <c r="ED5" s="32" t="s">
        <v>102</v>
      </c>
      <c r="EE5" s="30" t="s">
        <v>99</v>
      </c>
      <c r="EF5" s="31" t="s">
        <v>100</v>
      </c>
      <c r="EG5" s="32" t="s">
        <v>102</v>
      </c>
      <c r="EH5" s="30" t="s">
        <v>99</v>
      </c>
      <c r="EI5" s="31" t="s">
        <v>100</v>
      </c>
      <c r="EJ5" s="32" t="s">
        <v>102</v>
      </c>
      <c r="EK5" s="30" t="s">
        <v>99</v>
      </c>
      <c r="EL5" s="31" t="s">
        <v>100</v>
      </c>
      <c r="EM5" s="32" t="s">
        <v>102</v>
      </c>
      <c r="EN5" s="30" t="s">
        <v>99</v>
      </c>
      <c r="EO5" s="31" t="s">
        <v>100</v>
      </c>
      <c r="EP5" s="32" t="s">
        <v>102</v>
      </c>
      <c r="EQ5" s="30" t="s">
        <v>99</v>
      </c>
      <c r="ER5" s="31" t="s">
        <v>100</v>
      </c>
      <c r="ES5" s="32" t="s">
        <v>102</v>
      </c>
      <c r="ET5" s="30" t="s">
        <v>99</v>
      </c>
      <c r="EU5" s="31" t="s">
        <v>100</v>
      </c>
      <c r="EV5" s="32" t="s">
        <v>102</v>
      </c>
      <c r="EW5" s="30" t="s">
        <v>99</v>
      </c>
      <c r="EX5" s="31" t="s">
        <v>100</v>
      </c>
      <c r="EY5" s="32" t="s">
        <v>102</v>
      </c>
      <c r="EZ5" s="30" t="s">
        <v>99</v>
      </c>
      <c r="FA5" s="31" t="s">
        <v>100</v>
      </c>
      <c r="FB5" s="32" t="s">
        <v>102</v>
      </c>
      <c r="FC5" s="30" t="s">
        <v>99</v>
      </c>
      <c r="FD5" s="31" t="s">
        <v>100</v>
      </c>
      <c r="FE5" s="32" t="s">
        <v>102</v>
      </c>
      <c r="FF5" s="30" t="s">
        <v>99</v>
      </c>
      <c r="FG5" s="31" t="s">
        <v>100</v>
      </c>
      <c r="FH5" s="32" t="s">
        <v>102</v>
      </c>
      <c r="FI5" s="30" t="s">
        <v>99</v>
      </c>
      <c r="FJ5" s="31" t="s">
        <v>100</v>
      </c>
      <c r="FK5" s="32" t="s">
        <v>102</v>
      </c>
      <c r="FL5" s="30" t="s">
        <v>99</v>
      </c>
      <c r="FM5" s="31" t="s">
        <v>100</v>
      </c>
      <c r="FN5" s="32" t="s">
        <v>102</v>
      </c>
      <c r="FO5" s="531"/>
      <c r="FP5" s="531"/>
      <c r="FQ5" s="531"/>
      <c r="FR5" s="531"/>
      <c r="FS5" s="531"/>
      <c r="FT5" s="531"/>
      <c r="FU5" s="531"/>
      <c r="FV5" s="531"/>
      <c r="FW5" s="531"/>
      <c r="FX5" s="531"/>
      <c r="FY5" s="531"/>
      <c r="FZ5" s="531"/>
    </row>
    <row r="6" spans="1:182" ht="12.75">
      <c r="A6" s="40">
        <v>43815</v>
      </c>
      <c r="B6" s="50">
        <f t="shared" ref="B6:D6" si="0">SUM(I6,AM6)</f>
        <v>0</v>
      </c>
      <c r="C6" s="50">
        <f t="shared" si="0"/>
        <v>0</v>
      </c>
      <c r="D6" s="50">
        <f t="shared" si="0"/>
        <v>0</v>
      </c>
      <c r="E6" s="154">
        <f t="shared" ref="E6:E110" si="1">B6-C6-D6</f>
        <v>0</v>
      </c>
      <c r="F6" s="18">
        <v>0</v>
      </c>
      <c r="G6" s="18">
        <v>0</v>
      </c>
      <c r="H6" s="317">
        <v>0</v>
      </c>
      <c r="I6" s="18">
        <v>0</v>
      </c>
      <c r="J6" s="18">
        <v>0</v>
      </c>
      <c r="K6" s="317">
        <v>0</v>
      </c>
      <c r="L6" s="18">
        <v>0</v>
      </c>
      <c r="M6" s="18">
        <v>0</v>
      </c>
      <c r="N6" s="317">
        <v>0</v>
      </c>
      <c r="O6" s="18">
        <v>0</v>
      </c>
      <c r="P6" s="18">
        <v>0</v>
      </c>
      <c r="Q6" s="317">
        <v>0</v>
      </c>
      <c r="R6" s="18">
        <v>0</v>
      </c>
      <c r="S6" s="18">
        <v>0</v>
      </c>
      <c r="T6" s="317">
        <v>0</v>
      </c>
      <c r="U6" s="18">
        <v>0</v>
      </c>
      <c r="V6" s="18">
        <v>0</v>
      </c>
      <c r="W6" s="317">
        <v>0</v>
      </c>
      <c r="X6" s="18">
        <v>0</v>
      </c>
      <c r="Y6" s="18">
        <v>0</v>
      </c>
      <c r="Z6" s="317">
        <v>0</v>
      </c>
      <c r="AA6" s="18">
        <v>0</v>
      </c>
      <c r="AB6" s="18">
        <v>0</v>
      </c>
      <c r="AC6" s="317">
        <v>0</v>
      </c>
      <c r="AD6" s="18">
        <v>0</v>
      </c>
      <c r="AE6" s="18">
        <v>0</v>
      </c>
      <c r="AF6" s="317">
        <v>0</v>
      </c>
      <c r="AG6" s="18">
        <v>0</v>
      </c>
      <c r="AH6" s="18">
        <v>0</v>
      </c>
      <c r="AI6" s="317">
        <v>0</v>
      </c>
      <c r="AJ6" s="18">
        <v>0</v>
      </c>
      <c r="AK6" s="18">
        <v>0</v>
      </c>
      <c r="AL6" s="317">
        <v>0</v>
      </c>
      <c r="AM6" s="18">
        <v>0</v>
      </c>
      <c r="AN6" s="18">
        <v>0</v>
      </c>
      <c r="AO6" s="317">
        <v>0</v>
      </c>
      <c r="AP6" s="18">
        <v>0</v>
      </c>
      <c r="AQ6" s="18">
        <v>0</v>
      </c>
      <c r="AR6" s="317">
        <v>0</v>
      </c>
      <c r="AS6" s="18">
        <v>0</v>
      </c>
      <c r="AT6" s="18">
        <v>0</v>
      </c>
      <c r="AU6" s="317">
        <v>0</v>
      </c>
      <c r="AV6" s="18">
        <v>0</v>
      </c>
      <c r="AW6" s="18">
        <v>0</v>
      </c>
      <c r="AX6" s="317">
        <v>0</v>
      </c>
      <c r="AY6" s="18">
        <v>0</v>
      </c>
      <c r="AZ6" s="18">
        <v>0</v>
      </c>
      <c r="BA6" s="317">
        <v>0</v>
      </c>
      <c r="BB6" s="18">
        <v>0</v>
      </c>
      <c r="BC6" s="18">
        <v>0</v>
      </c>
      <c r="BD6" s="317">
        <v>0</v>
      </c>
      <c r="BE6" s="18">
        <v>0</v>
      </c>
      <c r="BF6" s="18">
        <v>0</v>
      </c>
      <c r="BG6" s="317">
        <v>0</v>
      </c>
      <c r="BH6" s="18">
        <v>0</v>
      </c>
      <c r="BI6" s="18">
        <v>0</v>
      </c>
      <c r="BJ6" s="317">
        <v>0</v>
      </c>
      <c r="BK6" s="18">
        <v>0</v>
      </c>
      <c r="BL6" s="18">
        <v>0</v>
      </c>
      <c r="BM6" s="317">
        <v>0</v>
      </c>
      <c r="BN6" s="18">
        <v>0</v>
      </c>
      <c r="BO6" s="18">
        <v>0</v>
      </c>
      <c r="BP6" s="317">
        <v>0</v>
      </c>
      <c r="BQ6" s="18">
        <v>0</v>
      </c>
      <c r="BR6" s="18">
        <v>0</v>
      </c>
      <c r="BS6" s="317">
        <v>0</v>
      </c>
      <c r="BT6" s="18">
        <v>0</v>
      </c>
      <c r="BU6" s="18">
        <v>0</v>
      </c>
      <c r="BV6" s="317">
        <v>0</v>
      </c>
      <c r="BW6" s="18">
        <v>0</v>
      </c>
      <c r="BX6" s="18">
        <v>0</v>
      </c>
      <c r="BY6" s="317">
        <v>0</v>
      </c>
      <c r="BZ6" s="18">
        <v>0</v>
      </c>
      <c r="CA6" s="18">
        <v>0</v>
      </c>
      <c r="CB6" s="317">
        <v>0</v>
      </c>
      <c r="CC6" s="18">
        <v>0</v>
      </c>
      <c r="CD6" s="18">
        <v>0</v>
      </c>
      <c r="CE6" s="317">
        <v>0</v>
      </c>
      <c r="CF6" s="18">
        <v>0</v>
      </c>
      <c r="CG6" s="18">
        <v>0</v>
      </c>
      <c r="CH6" s="317">
        <v>0</v>
      </c>
      <c r="CI6" s="18">
        <v>0</v>
      </c>
      <c r="CJ6" s="18">
        <v>0</v>
      </c>
      <c r="CK6" s="317">
        <v>0</v>
      </c>
      <c r="CL6" s="18">
        <v>0</v>
      </c>
      <c r="CM6" s="18">
        <v>0</v>
      </c>
      <c r="CN6" s="317">
        <v>0</v>
      </c>
      <c r="CO6" s="18">
        <v>0</v>
      </c>
      <c r="CP6" s="18">
        <v>0</v>
      </c>
      <c r="CQ6" s="317">
        <v>0</v>
      </c>
      <c r="CR6" s="18">
        <v>0</v>
      </c>
      <c r="CS6" s="18">
        <v>0</v>
      </c>
      <c r="CT6" s="317">
        <v>0</v>
      </c>
      <c r="CU6" s="18">
        <v>0</v>
      </c>
      <c r="CV6" s="18">
        <v>0</v>
      </c>
      <c r="CW6" s="317">
        <v>0</v>
      </c>
      <c r="CX6" s="18">
        <v>0</v>
      </c>
      <c r="CY6" s="18">
        <v>0</v>
      </c>
      <c r="CZ6" s="317">
        <v>0</v>
      </c>
      <c r="DA6" s="18">
        <v>0</v>
      </c>
      <c r="DB6" s="18">
        <v>0</v>
      </c>
      <c r="DC6" s="317">
        <v>0</v>
      </c>
      <c r="DD6" s="18">
        <v>0</v>
      </c>
      <c r="DE6" s="18">
        <v>0</v>
      </c>
      <c r="DF6" s="317">
        <v>0</v>
      </c>
      <c r="DG6" s="18">
        <v>0</v>
      </c>
      <c r="DH6" s="18">
        <v>0</v>
      </c>
      <c r="DI6" s="317">
        <v>0</v>
      </c>
      <c r="DJ6" s="18">
        <v>0</v>
      </c>
      <c r="DK6" s="18">
        <v>0</v>
      </c>
      <c r="DL6" s="317">
        <v>0</v>
      </c>
      <c r="DM6" s="18">
        <v>0</v>
      </c>
      <c r="DN6" s="18">
        <v>0</v>
      </c>
      <c r="DO6" s="317">
        <v>0</v>
      </c>
      <c r="DP6" s="18">
        <v>0</v>
      </c>
      <c r="DQ6" s="18">
        <v>0</v>
      </c>
      <c r="DR6" s="317">
        <v>0</v>
      </c>
      <c r="DS6" s="18">
        <v>0</v>
      </c>
      <c r="DT6" s="18">
        <v>0</v>
      </c>
      <c r="DU6" s="317">
        <v>0</v>
      </c>
      <c r="DV6" s="18">
        <v>0</v>
      </c>
      <c r="DW6" s="18">
        <v>0</v>
      </c>
      <c r="DX6" s="317">
        <v>0</v>
      </c>
      <c r="DY6" s="18">
        <v>0</v>
      </c>
      <c r="DZ6" s="18">
        <v>0</v>
      </c>
      <c r="EA6" s="317">
        <v>0</v>
      </c>
      <c r="EB6" s="18">
        <v>0</v>
      </c>
      <c r="EC6" s="18">
        <v>0</v>
      </c>
      <c r="ED6" s="317">
        <v>0</v>
      </c>
      <c r="EE6" s="18">
        <v>0</v>
      </c>
      <c r="EF6" s="18">
        <v>0</v>
      </c>
      <c r="EG6" s="317">
        <v>0</v>
      </c>
      <c r="EH6" s="18">
        <v>0</v>
      </c>
      <c r="EI6" s="18">
        <v>0</v>
      </c>
      <c r="EJ6" s="317">
        <v>0</v>
      </c>
      <c r="EK6" s="18">
        <v>0</v>
      </c>
      <c r="EL6" s="18">
        <v>0</v>
      </c>
      <c r="EM6" s="317">
        <v>0</v>
      </c>
      <c r="EN6" s="18">
        <v>0</v>
      </c>
      <c r="EO6" s="18">
        <v>0</v>
      </c>
      <c r="EP6" s="317">
        <v>0</v>
      </c>
      <c r="EQ6" s="18">
        <v>0</v>
      </c>
      <c r="ER6" s="18">
        <v>0</v>
      </c>
      <c r="ES6" s="317">
        <v>0</v>
      </c>
      <c r="ET6" s="18">
        <v>0</v>
      </c>
      <c r="EU6" s="18">
        <v>0</v>
      </c>
      <c r="EV6" s="317">
        <v>0</v>
      </c>
      <c r="EW6" s="18">
        <v>0</v>
      </c>
      <c r="EX6" s="18">
        <v>0</v>
      </c>
      <c r="EY6" s="317">
        <v>0</v>
      </c>
      <c r="EZ6" s="18">
        <v>0</v>
      </c>
      <c r="FA6" s="18">
        <v>0</v>
      </c>
      <c r="FB6" s="317">
        <v>0</v>
      </c>
      <c r="FC6" s="18">
        <v>0</v>
      </c>
      <c r="FD6" s="18">
        <v>0</v>
      </c>
      <c r="FE6" s="317">
        <v>0</v>
      </c>
      <c r="FF6" s="18">
        <v>0</v>
      </c>
      <c r="FG6" s="18">
        <v>0</v>
      </c>
      <c r="FH6" s="317">
        <v>0</v>
      </c>
      <c r="FI6" s="18">
        <v>0</v>
      </c>
      <c r="FJ6" s="18">
        <v>0</v>
      </c>
      <c r="FK6" s="317">
        <v>0</v>
      </c>
      <c r="FL6" s="18">
        <v>0</v>
      </c>
      <c r="FM6" s="18">
        <v>0</v>
      </c>
      <c r="FN6" s="317">
        <v>0</v>
      </c>
      <c r="FO6" s="640"/>
      <c r="FP6" s="531"/>
      <c r="FQ6" s="531"/>
      <c r="FR6" s="531"/>
      <c r="FS6" s="531"/>
      <c r="FT6" s="531"/>
      <c r="FU6" s="640"/>
      <c r="FV6" s="531"/>
      <c r="FW6" s="531"/>
      <c r="FX6" s="531"/>
      <c r="FY6" s="531"/>
      <c r="FZ6" s="531"/>
    </row>
    <row r="7" spans="1:182" ht="12.75">
      <c r="A7" s="43">
        <v>43830</v>
      </c>
      <c r="B7" s="318">
        <f t="shared" ref="B7:D7" si="2">SUM(I7,AM7)</f>
        <v>0</v>
      </c>
      <c r="C7" s="318">
        <f t="shared" si="2"/>
        <v>0</v>
      </c>
      <c r="D7" s="318">
        <f t="shared" si="2"/>
        <v>0</v>
      </c>
      <c r="E7" s="319">
        <f t="shared" si="1"/>
        <v>0</v>
      </c>
      <c r="F7" s="22">
        <v>0</v>
      </c>
      <c r="G7" s="22">
        <v>0</v>
      </c>
      <c r="H7" s="24">
        <v>0</v>
      </c>
      <c r="I7" s="22">
        <v>0</v>
      </c>
      <c r="J7" s="22">
        <v>0</v>
      </c>
      <c r="K7" s="24">
        <v>0</v>
      </c>
      <c r="L7" s="22">
        <v>0</v>
      </c>
      <c r="M7" s="22">
        <v>0</v>
      </c>
      <c r="N7" s="24">
        <v>0</v>
      </c>
      <c r="O7" s="22">
        <v>0</v>
      </c>
      <c r="P7" s="22">
        <v>0</v>
      </c>
      <c r="Q7" s="24">
        <v>0</v>
      </c>
      <c r="R7" s="22">
        <v>0</v>
      </c>
      <c r="S7" s="22">
        <v>0</v>
      </c>
      <c r="T7" s="24">
        <v>0</v>
      </c>
      <c r="U7" s="22">
        <v>0</v>
      </c>
      <c r="V7" s="22">
        <v>0</v>
      </c>
      <c r="W7" s="24">
        <v>0</v>
      </c>
      <c r="X7" s="22">
        <v>0</v>
      </c>
      <c r="Y7" s="22">
        <v>0</v>
      </c>
      <c r="Z7" s="24">
        <v>0</v>
      </c>
      <c r="AA7" s="22">
        <v>0</v>
      </c>
      <c r="AB7" s="22">
        <v>0</v>
      </c>
      <c r="AC7" s="24">
        <v>0</v>
      </c>
      <c r="AD7" s="22">
        <v>0</v>
      </c>
      <c r="AE7" s="22">
        <v>0</v>
      </c>
      <c r="AF7" s="24">
        <v>0</v>
      </c>
      <c r="AG7" s="22">
        <v>0</v>
      </c>
      <c r="AH7" s="22">
        <v>0</v>
      </c>
      <c r="AI7" s="24">
        <v>0</v>
      </c>
      <c r="AJ7" s="22">
        <v>0</v>
      </c>
      <c r="AK7" s="22">
        <v>0</v>
      </c>
      <c r="AL7" s="24">
        <v>0</v>
      </c>
      <c r="AM7" s="22">
        <v>0</v>
      </c>
      <c r="AN7" s="22">
        <v>0</v>
      </c>
      <c r="AO7" s="24">
        <v>0</v>
      </c>
      <c r="AP7" s="22">
        <v>0</v>
      </c>
      <c r="AQ7" s="22">
        <v>0</v>
      </c>
      <c r="AR7" s="24">
        <v>0</v>
      </c>
      <c r="AS7" s="22">
        <v>0</v>
      </c>
      <c r="AT7" s="22">
        <v>0</v>
      </c>
      <c r="AU7" s="24">
        <v>0</v>
      </c>
      <c r="AV7" s="22">
        <v>0</v>
      </c>
      <c r="AW7" s="22">
        <v>0</v>
      </c>
      <c r="AX7" s="24">
        <v>0</v>
      </c>
      <c r="AY7" s="22">
        <v>0</v>
      </c>
      <c r="AZ7" s="22">
        <v>0</v>
      </c>
      <c r="BA7" s="24">
        <v>0</v>
      </c>
      <c r="BB7" s="22">
        <v>0</v>
      </c>
      <c r="BC7" s="22">
        <v>0</v>
      </c>
      <c r="BD7" s="24">
        <v>0</v>
      </c>
      <c r="BE7" s="22">
        <v>0</v>
      </c>
      <c r="BF7" s="22">
        <v>0</v>
      </c>
      <c r="BG7" s="24">
        <v>0</v>
      </c>
      <c r="BH7" s="22">
        <v>0</v>
      </c>
      <c r="BI7" s="22">
        <v>0</v>
      </c>
      <c r="BJ7" s="24">
        <v>0</v>
      </c>
      <c r="BK7" s="22">
        <v>0</v>
      </c>
      <c r="BL7" s="22">
        <v>0</v>
      </c>
      <c r="BM7" s="24">
        <v>0</v>
      </c>
      <c r="BN7" s="22">
        <v>0</v>
      </c>
      <c r="BO7" s="22">
        <v>0</v>
      </c>
      <c r="BP7" s="24">
        <v>0</v>
      </c>
      <c r="BQ7" s="22">
        <v>0</v>
      </c>
      <c r="BR7" s="22">
        <v>0</v>
      </c>
      <c r="BS7" s="24">
        <v>0</v>
      </c>
      <c r="BT7" s="22">
        <v>0</v>
      </c>
      <c r="BU7" s="22">
        <v>0</v>
      </c>
      <c r="BV7" s="24">
        <v>0</v>
      </c>
      <c r="BW7" s="22">
        <v>0</v>
      </c>
      <c r="BX7" s="22">
        <v>0</v>
      </c>
      <c r="BY7" s="24">
        <v>0</v>
      </c>
      <c r="BZ7" s="22">
        <v>0</v>
      </c>
      <c r="CA7" s="22">
        <v>0</v>
      </c>
      <c r="CB7" s="24">
        <v>0</v>
      </c>
      <c r="CC7" s="22">
        <v>0</v>
      </c>
      <c r="CD7" s="22">
        <v>0</v>
      </c>
      <c r="CE7" s="24">
        <v>0</v>
      </c>
      <c r="CF7" s="22">
        <v>0</v>
      </c>
      <c r="CG7" s="22">
        <v>0</v>
      </c>
      <c r="CH7" s="24">
        <v>0</v>
      </c>
      <c r="CI7" s="22">
        <v>0</v>
      </c>
      <c r="CJ7" s="22">
        <v>0</v>
      </c>
      <c r="CK7" s="24">
        <v>0</v>
      </c>
      <c r="CL7" s="22">
        <v>0</v>
      </c>
      <c r="CM7" s="22">
        <v>0</v>
      </c>
      <c r="CN7" s="24">
        <v>0</v>
      </c>
      <c r="CO7" s="22">
        <v>0</v>
      </c>
      <c r="CP7" s="22">
        <v>0</v>
      </c>
      <c r="CQ7" s="24">
        <v>0</v>
      </c>
      <c r="CR7" s="22">
        <v>0</v>
      </c>
      <c r="CS7" s="22">
        <v>0</v>
      </c>
      <c r="CT7" s="24">
        <v>0</v>
      </c>
      <c r="CU7" s="22">
        <v>0</v>
      </c>
      <c r="CV7" s="22">
        <v>0</v>
      </c>
      <c r="CW7" s="24">
        <v>0</v>
      </c>
      <c r="CX7" s="22">
        <v>0</v>
      </c>
      <c r="CY7" s="22">
        <v>0</v>
      </c>
      <c r="CZ7" s="24">
        <v>0</v>
      </c>
      <c r="DA7" s="22">
        <v>0</v>
      </c>
      <c r="DB7" s="22">
        <v>0</v>
      </c>
      <c r="DC7" s="24">
        <v>0</v>
      </c>
      <c r="DD7" s="22">
        <v>0</v>
      </c>
      <c r="DE7" s="22">
        <v>0</v>
      </c>
      <c r="DF7" s="24">
        <v>0</v>
      </c>
      <c r="DG7" s="22">
        <v>0</v>
      </c>
      <c r="DH7" s="22">
        <v>0</v>
      </c>
      <c r="DI7" s="24">
        <v>0</v>
      </c>
      <c r="DJ7" s="22">
        <v>0</v>
      </c>
      <c r="DK7" s="22">
        <v>0</v>
      </c>
      <c r="DL7" s="24">
        <v>0</v>
      </c>
      <c r="DM7" s="22">
        <v>0</v>
      </c>
      <c r="DN7" s="22">
        <v>0</v>
      </c>
      <c r="DO7" s="24">
        <v>0</v>
      </c>
      <c r="DP7" s="22">
        <v>0</v>
      </c>
      <c r="DQ7" s="22">
        <v>0</v>
      </c>
      <c r="DR7" s="24">
        <v>0</v>
      </c>
      <c r="DS7" s="22">
        <v>0</v>
      </c>
      <c r="DT7" s="22">
        <v>0</v>
      </c>
      <c r="DU7" s="24">
        <v>0</v>
      </c>
      <c r="DV7" s="22">
        <v>0</v>
      </c>
      <c r="DW7" s="22">
        <v>0</v>
      </c>
      <c r="DX7" s="24">
        <v>0</v>
      </c>
      <c r="DY7" s="22">
        <v>0</v>
      </c>
      <c r="DZ7" s="22">
        <v>0</v>
      </c>
      <c r="EA7" s="24">
        <v>0</v>
      </c>
      <c r="EB7" s="22">
        <v>0</v>
      </c>
      <c r="EC7" s="22">
        <v>0</v>
      </c>
      <c r="ED7" s="24">
        <v>0</v>
      </c>
      <c r="EE7" s="22">
        <v>0</v>
      </c>
      <c r="EF7" s="22">
        <v>0</v>
      </c>
      <c r="EG7" s="24">
        <v>0</v>
      </c>
      <c r="EH7" s="22">
        <v>0</v>
      </c>
      <c r="EI7" s="22">
        <v>0</v>
      </c>
      <c r="EJ7" s="24">
        <v>0</v>
      </c>
      <c r="EK7" s="22">
        <v>0</v>
      </c>
      <c r="EL7" s="22">
        <v>0</v>
      </c>
      <c r="EM7" s="24">
        <v>0</v>
      </c>
      <c r="EN7" s="22">
        <v>0</v>
      </c>
      <c r="EO7" s="22">
        <v>0</v>
      </c>
      <c r="EP7" s="24">
        <v>0</v>
      </c>
      <c r="EQ7" s="22">
        <v>0</v>
      </c>
      <c r="ER7" s="22">
        <v>0</v>
      </c>
      <c r="ES7" s="24">
        <v>0</v>
      </c>
      <c r="ET7" s="22">
        <v>0</v>
      </c>
      <c r="EU7" s="22">
        <v>0</v>
      </c>
      <c r="EV7" s="24">
        <v>0</v>
      </c>
      <c r="EW7" s="22">
        <v>0</v>
      </c>
      <c r="EX7" s="22">
        <v>0</v>
      </c>
      <c r="EY7" s="24">
        <v>0</v>
      </c>
      <c r="EZ7" s="22">
        <v>0</v>
      </c>
      <c r="FA7" s="22">
        <v>0</v>
      </c>
      <c r="FB7" s="24">
        <v>0</v>
      </c>
      <c r="FC7" s="22">
        <v>0</v>
      </c>
      <c r="FD7" s="22">
        <v>0</v>
      </c>
      <c r="FE7" s="24">
        <v>0</v>
      </c>
      <c r="FF7" s="22">
        <v>0</v>
      </c>
      <c r="FG7" s="22">
        <v>0</v>
      </c>
      <c r="FH7" s="24">
        <v>0</v>
      </c>
      <c r="FI7" s="22">
        <v>0</v>
      </c>
      <c r="FJ7" s="22">
        <v>0</v>
      </c>
      <c r="FK7" s="24">
        <v>0</v>
      </c>
      <c r="FL7" s="22">
        <v>0</v>
      </c>
      <c r="FM7" s="22">
        <v>0</v>
      </c>
      <c r="FN7" s="24">
        <v>0</v>
      </c>
      <c r="FO7" s="641"/>
      <c r="FP7" s="639"/>
      <c r="FQ7" s="639"/>
      <c r="FR7" s="639"/>
      <c r="FS7" s="639"/>
      <c r="FT7" s="639"/>
      <c r="FU7" s="641"/>
      <c r="FV7" s="639"/>
      <c r="FW7" s="639"/>
      <c r="FX7" s="639"/>
      <c r="FY7" s="639"/>
      <c r="FZ7" s="639"/>
    </row>
    <row r="8" spans="1:182" ht="12.75">
      <c r="A8" s="40">
        <v>43839</v>
      </c>
      <c r="B8" s="50">
        <f t="shared" ref="B8:D8" si="3">SUM(I8,AM8)</f>
        <v>0</v>
      </c>
      <c r="C8" s="50">
        <f t="shared" si="3"/>
        <v>0</v>
      </c>
      <c r="D8" s="50">
        <f t="shared" si="3"/>
        <v>0</v>
      </c>
      <c r="E8" s="154">
        <f t="shared" si="1"/>
        <v>0</v>
      </c>
      <c r="F8" s="18">
        <v>0</v>
      </c>
      <c r="G8" s="18">
        <v>0</v>
      </c>
      <c r="H8" s="317">
        <v>0</v>
      </c>
      <c r="I8" s="18">
        <v>0</v>
      </c>
      <c r="J8" s="18">
        <v>0</v>
      </c>
      <c r="K8" s="317">
        <v>0</v>
      </c>
      <c r="L8" s="18">
        <v>0</v>
      </c>
      <c r="M8" s="18">
        <v>0</v>
      </c>
      <c r="N8" s="317">
        <v>0</v>
      </c>
      <c r="O8" s="18">
        <v>0</v>
      </c>
      <c r="P8" s="18">
        <v>0</v>
      </c>
      <c r="Q8" s="317">
        <v>0</v>
      </c>
      <c r="R8" s="18">
        <v>0</v>
      </c>
      <c r="S8" s="18">
        <v>0</v>
      </c>
      <c r="T8" s="317">
        <v>0</v>
      </c>
      <c r="U8" s="18">
        <v>0</v>
      </c>
      <c r="V8" s="18">
        <v>0</v>
      </c>
      <c r="W8" s="317">
        <v>0</v>
      </c>
      <c r="X8" s="18">
        <v>0</v>
      </c>
      <c r="Y8" s="18">
        <v>0</v>
      </c>
      <c r="Z8" s="317">
        <v>0</v>
      </c>
      <c r="AA8" s="18">
        <v>0</v>
      </c>
      <c r="AB8" s="18">
        <v>0</v>
      </c>
      <c r="AC8" s="317">
        <v>0</v>
      </c>
      <c r="AD8" s="18">
        <v>0</v>
      </c>
      <c r="AE8" s="18">
        <v>0</v>
      </c>
      <c r="AF8" s="317">
        <v>0</v>
      </c>
      <c r="AG8" s="18">
        <v>0</v>
      </c>
      <c r="AH8" s="18">
        <v>0</v>
      </c>
      <c r="AI8" s="317">
        <v>0</v>
      </c>
      <c r="AJ8" s="18">
        <v>0</v>
      </c>
      <c r="AK8" s="18">
        <v>0</v>
      </c>
      <c r="AL8" s="317">
        <v>0</v>
      </c>
      <c r="AM8" s="18">
        <v>0</v>
      </c>
      <c r="AN8" s="18">
        <v>0</v>
      </c>
      <c r="AO8" s="317">
        <v>0</v>
      </c>
      <c r="AP8" s="18">
        <v>0</v>
      </c>
      <c r="AQ8" s="18">
        <v>0</v>
      </c>
      <c r="AR8" s="317">
        <v>0</v>
      </c>
      <c r="AS8" s="18">
        <v>0</v>
      </c>
      <c r="AT8" s="18">
        <v>0</v>
      </c>
      <c r="AU8" s="317">
        <v>0</v>
      </c>
      <c r="AV8" s="18">
        <v>0</v>
      </c>
      <c r="AW8" s="18">
        <v>0</v>
      </c>
      <c r="AX8" s="317">
        <v>0</v>
      </c>
      <c r="AY8" s="18">
        <v>0</v>
      </c>
      <c r="AZ8" s="18">
        <v>0</v>
      </c>
      <c r="BA8" s="317">
        <v>0</v>
      </c>
      <c r="BB8" s="18">
        <v>0</v>
      </c>
      <c r="BC8" s="18">
        <v>0</v>
      </c>
      <c r="BD8" s="317">
        <v>0</v>
      </c>
      <c r="BE8" s="18">
        <v>0</v>
      </c>
      <c r="BF8" s="18">
        <v>0</v>
      </c>
      <c r="BG8" s="317">
        <v>0</v>
      </c>
      <c r="BH8" s="18">
        <v>0</v>
      </c>
      <c r="BI8" s="18">
        <v>0</v>
      </c>
      <c r="BJ8" s="317">
        <v>0</v>
      </c>
      <c r="BK8" s="18">
        <v>0</v>
      </c>
      <c r="BL8" s="18">
        <v>0</v>
      </c>
      <c r="BM8" s="317">
        <v>0</v>
      </c>
      <c r="BN8" s="18">
        <v>0</v>
      </c>
      <c r="BO8" s="18">
        <v>0</v>
      </c>
      <c r="BP8" s="317">
        <v>0</v>
      </c>
      <c r="BQ8" s="18">
        <v>0</v>
      </c>
      <c r="BR8" s="18">
        <v>0</v>
      </c>
      <c r="BS8" s="317">
        <v>0</v>
      </c>
      <c r="BT8" s="18">
        <v>0</v>
      </c>
      <c r="BU8" s="18">
        <v>0</v>
      </c>
      <c r="BV8" s="317">
        <v>0</v>
      </c>
      <c r="BW8" s="18">
        <v>0</v>
      </c>
      <c r="BX8" s="18">
        <v>0</v>
      </c>
      <c r="BY8" s="317">
        <v>0</v>
      </c>
      <c r="BZ8" s="18">
        <v>0</v>
      </c>
      <c r="CA8" s="18">
        <v>0</v>
      </c>
      <c r="CB8" s="317">
        <v>0</v>
      </c>
      <c r="CC8" s="18">
        <v>0</v>
      </c>
      <c r="CD8" s="18">
        <v>0</v>
      </c>
      <c r="CE8" s="317">
        <v>0</v>
      </c>
      <c r="CF8" s="18">
        <v>0</v>
      </c>
      <c r="CG8" s="18">
        <v>0</v>
      </c>
      <c r="CH8" s="317">
        <v>0</v>
      </c>
      <c r="CI8" s="18">
        <v>0</v>
      </c>
      <c r="CJ8" s="18">
        <v>0</v>
      </c>
      <c r="CK8" s="317">
        <v>0</v>
      </c>
      <c r="CL8" s="18">
        <v>0</v>
      </c>
      <c r="CM8" s="18">
        <v>0</v>
      </c>
      <c r="CN8" s="317">
        <v>0</v>
      </c>
      <c r="CO8" s="18">
        <v>0</v>
      </c>
      <c r="CP8" s="18">
        <v>0</v>
      </c>
      <c r="CQ8" s="317">
        <v>0</v>
      </c>
      <c r="CR8" s="18">
        <v>0</v>
      </c>
      <c r="CS8" s="18">
        <v>0</v>
      </c>
      <c r="CT8" s="317">
        <v>0</v>
      </c>
      <c r="CU8" s="18">
        <v>0</v>
      </c>
      <c r="CV8" s="18">
        <v>0</v>
      </c>
      <c r="CW8" s="317">
        <v>0</v>
      </c>
      <c r="CX8" s="18">
        <v>0</v>
      </c>
      <c r="CY8" s="18">
        <v>0</v>
      </c>
      <c r="CZ8" s="317">
        <v>0</v>
      </c>
      <c r="DA8" s="18">
        <v>0</v>
      </c>
      <c r="DB8" s="18">
        <v>0</v>
      </c>
      <c r="DC8" s="317">
        <v>0</v>
      </c>
      <c r="DD8" s="18">
        <v>0</v>
      </c>
      <c r="DE8" s="18">
        <v>0</v>
      </c>
      <c r="DF8" s="317">
        <v>0</v>
      </c>
      <c r="DG8" s="18">
        <v>0</v>
      </c>
      <c r="DH8" s="18">
        <v>0</v>
      </c>
      <c r="DI8" s="317">
        <v>0</v>
      </c>
      <c r="DJ8" s="18">
        <v>0</v>
      </c>
      <c r="DK8" s="18">
        <v>0</v>
      </c>
      <c r="DL8" s="317">
        <v>0</v>
      </c>
      <c r="DM8" s="18">
        <v>0</v>
      </c>
      <c r="DN8" s="18">
        <v>0</v>
      </c>
      <c r="DO8" s="317">
        <v>0</v>
      </c>
      <c r="DP8" s="18">
        <v>0</v>
      </c>
      <c r="DQ8" s="18">
        <v>0</v>
      </c>
      <c r="DR8" s="317">
        <v>0</v>
      </c>
      <c r="DS8" s="18">
        <v>0</v>
      </c>
      <c r="DT8" s="18">
        <v>0</v>
      </c>
      <c r="DU8" s="317">
        <v>0</v>
      </c>
      <c r="DV8" s="18">
        <v>0</v>
      </c>
      <c r="DW8" s="18">
        <v>0</v>
      </c>
      <c r="DX8" s="317">
        <v>0</v>
      </c>
      <c r="DY8" s="18">
        <v>0</v>
      </c>
      <c r="DZ8" s="18">
        <v>0</v>
      </c>
      <c r="EA8" s="317">
        <v>0</v>
      </c>
      <c r="EB8" s="18">
        <v>0</v>
      </c>
      <c r="EC8" s="18">
        <v>0</v>
      </c>
      <c r="ED8" s="317">
        <v>0</v>
      </c>
      <c r="EE8" s="18">
        <v>0</v>
      </c>
      <c r="EF8" s="18">
        <v>0</v>
      </c>
      <c r="EG8" s="317">
        <v>0</v>
      </c>
      <c r="EH8" s="18">
        <v>0</v>
      </c>
      <c r="EI8" s="18">
        <v>0</v>
      </c>
      <c r="EJ8" s="317">
        <v>0</v>
      </c>
      <c r="EK8" s="18">
        <v>0</v>
      </c>
      <c r="EL8" s="18">
        <v>0</v>
      </c>
      <c r="EM8" s="317">
        <v>0</v>
      </c>
      <c r="EN8" s="18">
        <v>0</v>
      </c>
      <c r="EO8" s="18">
        <v>0</v>
      </c>
      <c r="EP8" s="317">
        <v>0</v>
      </c>
      <c r="EQ8" s="18">
        <v>0</v>
      </c>
      <c r="ER8" s="18">
        <v>0</v>
      </c>
      <c r="ES8" s="317">
        <v>0</v>
      </c>
      <c r="ET8" s="18">
        <v>0</v>
      </c>
      <c r="EU8" s="18">
        <v>0</v>
      </c>
      <c r="EV8" s="317">
        <v>0</v>
      </c>
      <c r="EW8" s="18">
        <v>0</v>
      </c>
      <c r="EX8" s="18">
        <v>0</v>
      </c>
      <c r="EY8" s="317">
        <v>0</v>
      </c>
      <c r="EZ8" s="18">
        <v>0</v>
      </c>
      <c r="FA8" s="18">
        <v>0</v>
      </c>
      <c r="FB8" s="317">
        <v>0</v>
      </c>
      <c r="FC8" s="18">
        <v>0</v>
      </c>
      <c r="FD8" s="18">
        <v>0</v>
      </c>
      <c r="FE8" s="317">
        <v>0</v>
      </c>
      <c r="FF8" s="18">
        <v>0</v>
      </c>
      <c r="FG8" s="18">
        <v>0</v>
      </c>
      <c r="FH8" s="317">
        <v>0</v>
      </c>
      <c r="FI8" s="18">
        <v>0</v>
      </c>
      <c r="FJ8" s="18">
        <v>0</v>
      </c>
      <c r="FK8" s="317">
        <v>0</v>
      </c>
      <c r="FL8" s="18">
        <v>0</v>
      </c>
      <c r="FM8" s="18">
        <v>0</v>
      </c>
      <c r="FN8" s="317">
        <v>0</v>
      </c>
      <c r="FO8" s="640"/>
      <c r="FP8" s="531"/>
      <c r="FQ8" s="531"/>
      <c r="FR8" s="531"/>
      <c r="FS8" s="531"/>
      <c r="FT8" s="531"/>
      <c r="FU8" s="640"/>
      <c r="FV8" s="531"/>
      <c r="FW8" s="531"/>
      <c r="FX8" s="531"/>
      <c r="FY8" s="531"/>
      <c r="FZ8" s="531"/>
    </row>
    <row r="9" spans="1:182" ht="12.75">
      <c r="A9" s="40">
        <v>43840</v>
      </c>
      <c r="B9" s="50">
        <f t="shared" ref="B9:D9" si="4">SUM(I9,AM9)</f>
        <v>0</v>
      </c>
      <c r="C9" s="50">
        <f t="shared" si="4"/>
        <v>0</v>
      </c>
      <c r="D9" s="50">
        <f t="shared" si="4"/>
        <v>0</v>
      </c>
      <c r="E9" s="154">
        <f t="shared" si="1"/>
        <v>0</v>
      </c>
      <c r="F9" s="18">
        <v>0</v>
      </c>
      <c r="G9" s="18">
        <v>0</v>
      </c>
      <c r="H9" s="317">
        <v>0</v>
      </c>
      <c r="I9" s="18">
        <v>0</v>
      </c>
      <c r="J9" s="18">
        <v>0</v>
      </c>
      <c r="K9" s="317">
        <v>0</v>
      </c>
      <c r="L9" s="18">
        <v>0</v>
      </c>
      <c r="M9" s="18">
        <v>0</v>
      </c>
      <c r="N9" s="317">
        <v>0</v>
      </c>
      <c r="O9" s="18">
        <v>0</v>
      </c>
      <c r="P9" s="18">
        <v>0</v>
      </c>
      <c r="Q9" s="317">
        <v>0</v>
      </c>
      <c r="R9" s="18">
        <v>0</v>
      </c>
      <c r="S9" s="18">
        <v>0</v>
      </c>
      <c r="T9" s="317">
        <v>0</v>
      </c>
      <c r="U9" s="18">
        <v>0</v>
      </c>
      <c r="V9" s="18">
        <v>0</v>
      </c>
      <c r="W9" s="317">
        <v>0</v>
      </c>
      <c r="X9" s="18">
        <v>0</v>
      </c>
      <c r="Y9" s="18">
        <v>0</v>
      </c>
      <c r="Z9" s="317">
        <v>0</v>
      </c>
      <c r="AA9" s="18">
        <v>0</v>
      </c>
      <c r="AB9" s="18">
        <v>0</v>
      </c>
      <c r="AC9" s="317">
        <v>0</v>
      </c>
      <c r="AD9" s="18">
        <v>0</v>
      </c>
      <c r="AE9" s="18">
        <v>0</v>
      </c>
      <c r="AF9" s="317">
        <v>0</v>
      </c>
      <c r="AG9" s="18">
        <v>0</v>
      </c>
      <c r="AH9" s="18">
        <v>0</v>
      </c>
      <c r="AI9" s="317">
        <v>0</v>
      </c>
      <c r="AJ9" s="18">
        <v>0</v>
      </c>
      <c r="AK9" s="18">
        <v>0</v>
      </c>
      <c r="AL9" s="317">
        <v>0</v>
      </c>
      <c r="AM9" s="18">
        <v>0</v>
      </c>
      <c r="AN9" s="18">
        <v>0</v>
      </c>
      <c r="AO9" s="317">
        <v>0</v>
      </c>
      <c r="AP9" s="18">
        <v>0</v>
      </c>
      <c r="AQ9" s="18">
        <v>0</v>
      </c>
      <c r="AR9" s="317">
        <v>0</v>
      </c>
      <c r="AS9" s="18">
        <v>0</v>
      </c>
      <c r="AT9" s="18">
        <v>0</v>
      </c>
      <c r="AU9" s="317">
        <v>0</v>
      </c>
      <c r="AV9" s="18">
        <v>0</v>
      </c>
      <c r="AW9" s="18">
        <v>0</v>
      </c>
      <c r="AX9" s="317">
        <v>0</v>
      </c>
      <c r="AY9" s="18">
        <v>0</v>
      </c>
      <c r="AZ9" s="18">
        <v>0</v>
      </c>
      <c r="BA9" s="317">
        <v>0</v>
      </c>
      <c r="BB9" s="18">
        <v>0</v>
      </c>
      <c r="BC9" s="18">
        <v>0</v>
      </c>
      <c r="BD9" s="317">
        <v>0</v>
      </c>
      <c r="BE9" s="18">
        <v>0</v>
      </c>
      <c r="BF9" s="18">
        <v>0</v>
      </c>
      <c r="BG9" s="317">
        <v>0</v>
      </c>
      <c r="BH9" s="18">
        <v>0</v>
      </c>
      <c r="BI9" s="18">
        <v>0</v>
      </c>
      <c r="BJ9" s="317">
        <v>0</v>
      </c>
      <c r="BK9" s="18">
        <v>0</v>
      </c>
      <c r="BL9" s="18">
        <v>0</v>
      </c>
      <c r="BM9" s="317">
        <v>0</v>
      </c>
      <c r="BN9" s="18">
        <v>0</v>
      </c>
      <c r="BO9" s="18">
        <v>0</v>
      </c>
      <c r="BP9" s="317">
        <v>0</v>
      </c>
      <c r="BQ9" s="18">
        <v>0</v>
      </c>
      <c r="BR9" s="18">
        <v>0</v>
      </c>
      <c r="BS9" s="317">
        <v>0</v>
      </c>
      <c r="BT9" s="18">
        <v>0</v>
      </c>
      <c r="BU9" s="18">
        <v>0</v>
      </c>
      <c r="BV9" s="317">
        <v>0</v>
      </c>
      <c r="BW9" s="18">
        <v>0</v>
      </c>
      <c r="BX9" s="18">
        <v>0</v>
      </c>
      <c r="BY9" s="317">
        <v>0</v>
      </c>
      <c r="BZ9" s="18">
        <v>0</v>
      </c>
      <c r="CA9" s="18">
        <v>0</v>
      </c>
      <c r="CB9" s="317">
        <v>0</v>
      </c>
      <c r="CC9" s="18">
        <v>0</v>
      </c>
      <c r="CD9" s="18">
        <v>0</v>
      </c>
      <c r="CE9" s="317">
        <v>0</v>
      </c>
      <c r="CF9" s="18">
        <v>0</v>
      </c>
      <c r="CG9" s="18">
        <v>0</v>
      </c>
      <c r="CH9" s="317">
        <v>0</v>
      </c>
      <c r="CI9" s="18">
        <v>0</v>
      </c>
      <c r="CJ9" s="18">
        <v>0</v>
      </c>
      <c r="CK9" s="317">
        <v>0</v>
      </c>
      <c r="CL9" s="18">
        <v>0</v>
      </c>
      <c r="CM9" s="18">
        <v>0</v>
      </c>
      <c r="CN9" s="317">
        <v>0</v>
      </c>
      <c r="CO9" s="18">
        <v>0</v>
      </c>
      <c r="CP9" s="18">
        <v>0</v>
      </c>
      <c r="CQ9" s="317">
        <v>0</v>
      </c>
      <c r="CR9" s="18">
        <v>0</v>
      </c>
      <c r="CS9" s="18">
        <v>0</v>
      </c>
      <c r="CT9" s="317">
        <v>0</v>
      </c>
      <c r="CU9" s="18">
        <v>0</v>
      </c>
      <c r="CV9" s="18">
        <v>0</v>
      </c>
      <c r="CW9" s="317">
        <v>0</v>
      </c>
      <c r="CX9" s="18">
        <v>0</v>
      </c>
      <c r="CY9" s="18">
        <v>0</v>
      </c>
      <c r="CZ9" s="317">
        <v>0</v>
      </c>
      <c r="DA9" s="18">
        <v>0</v>
      </c>
      <c r="DB9" s="18">
        <v>0</v>
      </c>
      <c r="DC9" s="317">
        <v>0</v>
      </c>
      <c r="DD9" s="18">
        <v>0</v>
      </c>
      <c r="DE9" s="18">
        <v>0</v>
      </c>
      <c r="DF9" s="317">
        <v>0</v>
      </c>
      <c r="DG9" s="18">
        <v>0</v>
      </c>
      <c r="DH9" s="18">
        <v>0</v>
      </c>
      <c r="DI9" s="317">
        <v>0</v>
      </c>
      <c r="DJ9" s="18">
        <v>0</v>
      </c>
      <c r="DK9" s="18">
        <v>0</v>
      </c>
      <c r="DL9" s="317">
        <v>0</v>
      </c>
      <c r="DM9" s="18">
        <v>0</v>
      </c>
      <c r="DN9" s="18">
        <v>0</v>
      </c>
      <c r="DO9" s="317">
        <v>0</v>
      </c>
      <c r="DP9" s="18">
        <v>0</v>
      </c>
      <c r="DQ9" s="18">
        <v>0</v>
      </c>
      <c r="DR9" s="317">
        <v>0</v>
      </c>
      <c r="DS9" s="18">
        <v>0</v>
      </c>
      <c r="DT9" s="18">
        <v>0</v>
      </c>
      <c r="DU9" s="317">
        <v>0</v>
      </c>
      <c r="DV9" s="18">
        <v>0</v>
      </c>
      <c r="DW9" s="18">
        <v>0</v>
      </c>
      <c r="DX9" s="317">
        <v>0</v>
      </c>
      <c r="DY9" s="18">
        <v>0</v>
      </c>
      <c r="DZ9" s="18">
        <v>0</v>
      </c>
      <c r="EA9" s="317">
        <v>0</v>
      </c>
      <c r="EB9" s="18">
        <v>0</v>
      </c>
      <c r="EC9" s="18">
        <v>0</v>
      </c>
      <c r="ED9" s="317">
        <v>0</v>
      </c>
      <c r="EE9" s="18">
        <v>0</v>
      </c>
      <c r="EF9" s="18">
        <v>0</v>
      </c>
      <c r="EG9" s="317">
        <v>0</v>
      </c>
      <c r="EH9" s="18">
        <v>0</v>
      </c>
      <c r="EI9" s="18">
        <v>0</v>
      </c>
      <c r="EJ9" s="317">
        <v>0</v>
      </c>
      <c r="EK9" s="18">
        <v>0</v>
      </c>
      <c r="EL9" s="18">
        <v>0</v>
      </c>
      <c r="EM9" s="317">
        <v>0</v>
      </c>
      <c r="EN9" s="18">
        <v>0</v>
      </c>
      <c r="EO9" s="18">
        <v>0</v>
      </c>
      <c r="EP9" s="317">
        <v>0</v>
      </c>
      <c r="EQ9" s="18">
        <v>0</v>
      </c>
      <c r="ER9" s="18">
        <v>0</v>
      </c>
      <c r="ES9" s="317">
        <v>0</v>
      </c>
      <c r="ET9" s="18">
        <v>0</v>
      </c>
      <c r="EU9" s="18">
        <v>0</v>
      </c>
      <c r="EV9" s="317">
        <v>0</v>
      </c>
      <c r="EW9" s="18">
        <v>0</v>
      </c>
      <c r="EX9" s="18">
        <v>0</v>
      </c>
      <c r="EY9" s="317">
        <v>0</v>
      </c>
      <c r="EZ9" s="18">
        <v>0</v>
      </c>
      <c r="FA9" s="18">
        <v>0</v>
      </c>
      <c r="FB9" s="317">
        <v>0</v>
      </c>
      <c r="FC9" s="18">
        <v>0</v>
      </c>
      <c r="FD9" s="18">
        <v>0</v>
      </c>
      <c r="FE9" s="317">
        <v>0</v>
      </c>
      <c r="FF9" s="18">
        <v>0</v>
      </c>
      <c r="FG9" s="18">
        <v>0</v>
      </c>
      <c r="FH9" s="317">
        <v>0</v>
      </c>
      <c r="FI9" s="18">
        <v>0</v>
      </c>
      <c r="FJ9" s="18">
        <v>0</v>
      </c>
      <c r="FK9" s="317">
        <v>0</v>
      </c>
      <c r="FL9" s="18">
        <v>0</v>
      </c>
      <c r="FM9" s="18">
        <v>0</v>
      </c>
      <c r="FN9" s="317">
        <v>0</v>
      </c>
      <c r="FO9" s="640"/>
      <c r="FP9" s="531"/>
      <c r="FQ9" s="531"/>
      <c r="FR9" s="531"/>
      <c r="FS9" s="531"/>
      <c r="FT9" s="531"/>
      <c r="FU9" s="640"/>
      <c r="FV9" s="531"/>
      <c r="FW9" s="531"/>
      <c r="FX9" s="531"/>
      <c r="FY9" s="531"/>
      <c r="FZ9" s="531"/>
    </row>
    <row r="10" spans="1:182" ht="12.75">
      <c r="A10" s="40">
        <v>43841</v>
      </c>
      <c r="B10" s="50">
        <f t="shared" ref="B10:D10" si="5">SUM(I10,AM10)</f>
        <v>0</v>
      </c>
      <c r="C10" s="50">
        <f t="shared" si="5"/>
        <v>0</v>
      </c>
      <c r="D10" s="50">
        <f t="shared" si="5"/>
        <v>0</v>
      </c>
      <c r="E10" s="154">
        <f t="shared" si="1"/>
        <v>0</v>
      </c>
      <c r="F10" s="18">
        <v>0</v>
      </c>
      <c r="G10" s="18">
        <v>0</v>
      </c>
      <c r="H10" s="317">
        <v>0</v>
      </c>
      <c r="I10" s="18">
        <v>0</v>
      </c>
      <c r="J10" s="18">
        <v>0</v>
      </c>
      <c r="K10" s="317">
        <v>0</v>
      </c>
      <c r="L10" s="18">
        <v>0</v>
      </c>
      <c r="M10" s="18">
        <v>0</v>
      </c>
      <c r="N10" s="317">
        <v>0</v>
      </c>
      <c r="O10" s="18">
        <v>0</v>
      </c>
      <c r="P10" s="18">
        <v>0</v>
      </c>
      <c r="Q10" s="317">
        <v>0</v>
      </c>
      <c r="R10" s="18">
        <v>0</v>
      </c>
      <c r="S10" s="18">
        <v>0</v>
      </c>
      <c r="T10" s="317">
        <v>0</v>
      </c>
      <c r="U10" s="18">
        <v>0</v>
      </c>
      <c r="V10" s="18">
        <v>0</v>
      </c>
      <c r="W10" s="317">
        <v>0</v>
      </c>
      <c r="X10" s="18">
        <v>0</v>
      </c>
      <c r="Y10" s="18">
        <v>0</v>
      </c>
      <c r="Z10" s="317">
        <v>0</v>
      </c>
      <c r="AA10" s="18">
        <v>0</v>
      </c>
      <c r="AB10" s="18">
        <v>0</v>
      </c>
      <c r="AC10" s="317">
        <v>0</v>
      </c>
      <c r="AD10" s="18">
        <v>0</v>
      </c>
      <c r="AE10" s="18">
        <v>0</v>
      </c>
      <c r="AF10" s="317">
        <v>0</v>
      </c>
      <c r="AG10" s="18">
        <v>0</v>
      </c>
      <c r="AH10" s="18">
        <v>0</v>
      </c>
      <c r="AI10" s="317">
        <v>0</v>
      </c>
      <c r="AJ10" s="18">
        <v>0</v>
      </c>
      <c r="AK10" s="18">
        <v>0</v>
      </c>
      <c r="AL10" s="317">
        <v>0</v>
      </c>
      <c r="AM10" s="18">
        <v>0</v>
      </c>
      <c r="AN10" s="18">
        <v>0</v>
      </c>
      <c r="AO10" s="317">
        <v>0</v>
      </c>
      <c r="AP10" s="18">
        <v>0</v>
      </c>
      <c r="AQ10" s="18">
        <v>0</v>
      </c>
      <c r="AR10" s="317">
        <v>0</v>
      </c>
      <c r="AS10" s="18">
        <v>0</v>
      </c>
      <c r="AT10" s="18">
        <v>0</v>
      </c>
      <c r="AU10" s="317">
        <v>0</v>
      </c>
      <c r="AV10" s="18">
        <v>0</v>
      </c>
      <c r="AW10" s="18">
        <v>0</v>
      </c>
      <c r="AX10" s="317">
        <v>0</v>
      </c>
      <c r="AY10" s="18">
        <v>0</v>
      </c>
      <c r="AZ10" s="18">
        <v>0</v>
      </c>
      <c r="BA10" s="317">
        <v>0</v>
      </c>
      <c r="BB10" s="18">
        <v>0</v>
      </c>
      <c r="BC10" s="18">
        <v>0</v>
      </c>
      <c r="BD10" s="317">
        <v>0</v>
      </c>
      <c r="BE10" s="18">
        <v>0</v>
      </c>
      <c r="BF10" s="18">
        <v>0</v>
      </c>
      <c r="BG10" s="317">
        <v>0</v>
      </c>
      <c r="BH10" s="18">
        <v>0</v>
      </c>
      <c r="BI10" s="18">
        <v>0</v>
      </c>
      <c r="BJ10" s="317">
        <v>0</v>
      </c>
      <c r="BK10" s="18">
        <v>0</v>
      </c>
      <c r="BL10" s="18">
        <v>0</v>
      </c>
      <c r="BM10" s="317">
        <v>0</v>
      </c>
      <c r="BN10" s="18">
        <v>0</v>
      </c>
      <c r="BO10" s="18">
        <v>0</v>
      </c>
      <c r="BP10" s="317">
        <v>0</v>
      </c>
      <c r="BQ10" s="18">
        <v>0</v>
      </c>
      <c r="BR10" s="18">
        <v>0</v>
      </c>
      <c r="BS10" s="317">
        <v>0</v>
      </c>
      <c r="BT10" s="18">
        <v>0</v>
      </c>
      <c r="BU10" s="18">
        <v>0</v>
      </c>
      <c r="BV10" s="317">
        <v>0</v>
      </c>
      <c r="BW10" s="18">
        <v>0</v>
      </c>
      <c r="BX10" s="18">
        <v>0</v>
      </c>
      <c r="BY10" s="317">
        <v>0</v>
      </c>
      <c r="BZ10" s="18">
        <v>0</v>
      </c>
      <c r="CA10" s="18">
        <v>0</v>
      </c>
      <c r="CB10" s="317">
        <v>0</v>
      </c>
      <c r="CC10" s="18">
        <v>0</v>
      </c>
      <c r="CD10" s="18">
        <v>0</v>
      </c>
      <c r="CE10" s="317">
        <v>0</v>
      </c>
      <c r="CF10" s="18">
        <v>0</v>
      </c>
      <c r="CG10" s="18">
        <v>0</v>
      </c>
      <c r="CH10" s="317">
        <v>0</v>
      </c>
      <c r="CI10" s="18">
        <v>0</v>
      </c>
      <c r="CJ10" s="18">
        <v>0</v>
      </c>
      <c r="CK10" s="317">
        <v>0</v>
      </c>
      <c r="CL10" s="18">
        <v>0</v>
      </c>
      <c r="CM10" s="18">
        <v>0</v>
      </c>
      <c r="CN10" s="317">
        <v>0</v>
      </c>
      <c r="CO10" s="18">
        <v>0</v>
      </c>
      <c r="CP10" s="18">
        <v>0</v>
      </c>
      <c r="CQ10" s="317">
        <v>0</v>
      </c>
      <c r="CR10" s="18">
        <v>0</v>
      </c>
      <c r="CS10" s="18">
        <v>0</v>
      </c>
      <c r="CT10" s="317">
        <v>0</v>
      </c>
      <c r="CU10" s="18">
        <v>0</v>
      </c>
      <c r="CV10" s="18">
        <v>0</v>
      </c>
      <c r="CW10" s="317">
        <v>0</v>
      </c>
      <c r="CX10" s="18">
        <v>0</v>
      </c>
      <c r="CY10" s="18">
        <v>0</v>
      </c>
      <c r="CZ10" s="317">
        <v>0</v>
      </c>
      <c r="DA10" s="18">
        <v>0</v>
      </c>
      <c r="DB10" s="18">
        <v>0</v>
      </c>
      <c r="DC10" s="317">
        <v>0</v>
      </c>
      <c r="DD10" s="18">
        <v>0</v>
      </c>
      <c r="DE10" s="18">
        <v>0</v>
      </c>
      <c r="DF10" s="317">
        <v>0</v>
      </c>
      <c r="DG10" s="18">
        <v>0</v>
      </c>
      <c r="DH10" s="18">
        <v>0</v>
      </c>
      <c r="DI10" s="317">
        <v>0</v>
      </c>
      <c r="DJ10" s="18">
        <v>0</v>
      </c>
      <c r="DK10" s="18">
        <v>0</v>
      </c>
      <c r="DL10" s="317">
        <v>0</v>
      </c>
      <c r="DM10" s="18">
        <v>0</v>
      </c>
      <c r="DN10" s="18">
        <v>0</v>
      </c>
      <c r="DO10" s="317">
        <v>0</v>
      </c>
      <c r="DP10" s="18">
        <v>0</v>
      </c>
      <c r="DQ10" s="18">
        <v>0</v>
      </c>
      <c r="DR10" s="317">
        <v>0</v>
      </c>
      <c r="DS10" s="18">
        <v>0</v>
      </c>
      <c r="DT10" s="18">
        <v>0</v>
      </c>
      <c r="DU10" s="317">
        <v>0</v>
      </c>
      <c r="DV10" s="18">
        <v>0</v>
      </c>
      <c r="DW10" s="18">
        <v>0</v>
      </c>
      <c r="DX10" s="317">
        <v>0</v>
      </c>
      <c r="DY10" s="18">
        <v>0</v>
      </c>
      <c r="DZ10" s="18">
        <v>0</v>
      </c>
      <c r="EA10" s="317">
        <v>0</v>
      </c>
      <c r="EB10" s="18">
        <v>0</v>
      </c>
      <c r="EC10" s="18">
        <v>0</v>
      </c>
      <c r="ED10" s="317">
        <v>0</v>
      </c>
      <c r="EE10" s="18">
        <v>0</v>
      </c>
      <c r="EF10" s="18">
        <v>0</v>
      </c>
      <c r="EG10" s="317">
        <v>0</v>
      </c>
      <c r="EH10" s="18">
        <v>0</v>
      </c>
      <c r="EI10" s="18">
        <v>0</v>
      </c>
      <c r="EJ10" s="317">
        <v>0</v>
      </c>
      <c r="EK10" s="18">
        <v>0</v>
      </c>
      <c r="EL10" s="18">
        <v>0</v>
      </c>
      <c r="EM10" s="317">
        <v>0</v>
      </c>
      <c r="EN10" s="18">
        <v>0</v>
      </c>
      <c r="EO10" s="18">
        <v>0</v>
      </c>
      <c r="EP10" s="317">
        <v>0</v>
      </c>
      <c r="EQ10" s="18">
        <v>0</v>
      </c>
      <c r="ER10" s="18">
        <v>0</v>
      </c>
      <c r="ES10" s="317">
        <v>0</v>
      </c>
      <c r="ET10" s="18">
        <v>0</v>
      </c>
      <c r="EU10" s="18">
        <v>0</v>
      </c>
      <c r="EV10" s="317">
        <v>0</v>
      </c>
      <c r="EW10" s="18">
        <v>0</v>
      </c>
      <c r="EX10" s="18">
        <v>0</v>
      </c>
      <c r="EY10" s="317">
        <v>0</v>
      </c>
      <c r="EZ10" s="18">
        <v>0</v>
      </c>
      <c r="FA10" s="18">
        <v>0</v>
      </c>
      <c r="FB10" s="317">
        <v>0</v>
      </c>
      <c r="FC10" s="18">
        <v>0</v>
      </c>
      <c r="FD10" s="18">
        <v>0</v>
      </c>
      <c r="FE10" s="317">
        <v>0</v>
      </c>
      <c r="FF10" s="18">
        <v>0</v>
      </c>
      <c r="FG10" s="18">
        <v>0</v>
      </c>
      <c r="FH10" s="317">
        <v>0</v>
      </c>
      <c r="FI10" s="18">
        <v>0</v>
      </c>
      <c r="FJ10" s="18">
        <v>0</v>
      </c>
      <c r="FK10" s="317">
        <v>0</v>
      </c>
      <c r="FL10" s="18">
        <v>0</v>
      </c>
      <c r="FM10" s="18">
        <v>0</v>
      </c>
      <c r="FN10" s="317">
        <v>0</v>
      </c>
      <c r="FO10" s="640"/>
      <c r="FP10" s="531"/>
      <c r="FQ10" s="531"/>
      <c r="FR10" s="531"/>
      <c r="FS10" s="531"/>
      <c r="FT10" s="531"/>
      <c r="FU10" s="640"/>
      <c r="FV10" s="531"/>
      <c r="FW10" s="531"/>
      <c r="FX10" s="531"/>
      <c r="FY10" s="531"/>
      <c r="FZ10" s="531"/>
    </row>
    <row r="11" spans="1:182" ht="12.75">
      <c r="A11" s="40">
        <v>43842</v>
      </c>
      <c r="B11" s="50">
        <f t="shared" ref="B11:D11" si="6">SUM(I11,AM11)</f>
        <v>0</v>
      </c>
      <c r="C11" s="50">
        <f t="shared" si="6"/>
        <v>0</v>
      </c>
      <c r="D11" s="50">
        <f t="shared" si="6"/>
        <v>0</v>
      </c>
      <c r="E11" s="154">
        <f t="shared" si="1"/>
        <v>0</v>
      </c>
      <c r="F11" s="18">
        <v>0</v>
      </c>
      <c r="G11" s="18">
        <v>0</v>
      </c>
      <c r="H11" s="317">
        <v>0</v>
      </c>
      <c r="I11" s="18">
        <v>0</v>
      </c>
      <c r="J11" s="18">
        <v>0</v>
      </c>
      <c r="K11" s="317">
        <v>0</v>
      </c>
      <c r="L11" s="18">
        <v>0</v>
      </c>
      <c r="M11" s="18">
        <v>0</v>
      </c>
      <c r="N11" s="317">
        <v>0</v>
      </c>
      <c r="O11" s="18">
        <v>0</v>
      </c>
      <c r="P11" s="18">
        <v>0</v>
      </c>
      <c r="Q11" s="317">
        <v>0</v>
      </c>
      <c r="R11" s="18">
        <v>0</v>
      </c>
      <c r="S11" s="18">
        <v>0</v>
      </c>
      <c r="T11" s="317">
        <v>0</v>
      </c>
      <c r="U11" s="18">
        <v>0</v>
      </c>
      <c r="V11" s="18">
        <v>0</v>
      </c>
      <c r="W11" s="317">
        <v>0</v>
      </c>
      <c r="X11" s="18">
        <v>0</v>
      </c>
      <c r="Y11" s="18">
        <v>0</v>
      </c>
      <c r="Z11" s="317">
        <v>0</v>
      </c>
      <c r="AA11" s="18">
        <v>0</v>
      </c>
      <c r="AB11" s="18">
        <v>0</v>
      </c>
      <c r="AC11" s="317">
        <v>0</v>
      </c>
      <c r="AD11" s="18">
        <v>0</v>
      </c>
      <c r="AE11" s="18">
        <v>0</v>
      </c>
      <c r="AF11" s="317">
        <v>0</v>
      </c>
      <c r="AG11" s="18">
        <v>0</v>
      </c>
      <c r="AH11" s="18">
        <v>0</v>
      </c>
      <c r="AI11" s="317">
        <v>0</v>
      </c>
      <c r="AJ11" s="18">
        <v>0</v>
      </c>
      <c r="AK11" s="18">
        <v>0</v>
      </c>
      <c r="AL11" s="317">
        <v>0</v>
      </c>
      <c r="AM11" s="18">
        <v>0</v>
      </c>
      <c r="AN11" s="18">
        <v>0</v>
      </c>
      <c r="AO11" s="317">
        <v>0</v>
      </c>
      <c r="AP11" s="18">
        <v>0</v>
      </c>
      <c r="AQ11" s="18">
        <v>0</v>
      </c>
      <c r="AR11" s="317">
        <v>0</v>
      </c>
      <c r="AS11" s="18">
        <v>0</v>
      </c>
      <c r="AT11" s="18">
        <v>0</v>
      </c>
      <c r="AU11" s="317">
        <v>0</v>
      </c>
      <c r="AV11" s="18">
        <v>0</v>
      </c>
      <c r="AW11" s="18">
        <v>0</v>
      </c>
      <c r="AX11" s="317">
        <v>0</v>
      </c>
      <c r="AY11" s="18">
        <v>0</v>
      </c>
      <c r="AZ11" s="18">
        <v>0</v>
      </c>
      <c r="BA11" s="317">
        <v>0</v>
      </c>
      <c r="BB11" s="18">
        <v>0</v>
      </c>
      <c r="BC11" s="18">
        <v>0</v>
      </c>
      <c r="BD11" s="317">
        <v>0</v>
      </c>
      <c r="BE11" s="18">
        <v>0</v>
      </c>
      <c r="BF11" s="18">
        <v>0</v>
      </c>
      <c r="BG11" s="317">
        <v>0</v>
      </c>
      <c r="BH11" s="18">
        <v>0</v>
      </c>
      <c r="BI11" s="18">
        <v>0</v>
      </c>
      <c r="BJ11" s="317">
        <v>0</v>
      </c>
      <c r="BK11" s="18">
        <v>0</v>
      </c>
      <c r="BL11" s="18">
        <v>0</v>
      </c>
      <c r="BM11" s="317">
        <v>0</v>
      </c>
      <c r="BN11" s="18">
        <v>0</v>
      </c>
      <c r="BO11" s="18">
        <v>0</v>
      </c>
      <c r="BP11" s="317">
        <v>0</v>
      </c>
      <c r="BQ11" s="18">
        <v>0</v>
      </c>
      <c r="BR11" s="18">
        <v>0</v>
      </c>
      <c r="BS11" s="317">
        <v>0</v>
      </c>
      <c r="BT11" s="18">
        <v>0</v>
      </c>
      <c r="BU11" s="18">
        <v>0</v>
      </c>
      <c r="BV11" s="317">
        <v>0</v>
      </c>
      <c r="BW11" s="18">
        <v>0</v>
      </c>
      <c r="BX11" s="18">
        <v>0</v>
      </c>
      <c r="BY11" s="317">
        <v>0</v>
      </c>
      <c r="BZ11" s="18">
        <v>0</v>
      </c>
      <c r="CA11" s="18">
        <v>0</v>
      </c>
      <c r="CB11" s="317">
        <v>0</v>
      </c>
      <c r="CC11" s="18">
        <v>0</v>
      </c>
      <c r="CD11" s="18">
        <v>0</v>
      </c>
      <c r="CE11" s="317">
        <v>0</v>
      </c>
      <c r="CF11" s="18">
        <v>0</v>
      </c>
      <c r="CG11" s="18">
        <v>0</v>
      </c>
      <c r="CH11" s="317">
        <v>0</v>
      </c>
      <c r="CI11" s="18">
        <v>0</v>
      </c>
      <c r="CJ11" s="18">
        <v>0</v>
      </c>
      <c r="CK11" s="317">
        <v>0</v>
      </c>
      <c r="CL11" s="18">
        <v>0</v>
      </c>
      <c r="CM11" s="18">
        <v>0</v>
      </c>
      <c r="CN11" s="317">
        <v>0</v>
      </c>
      <c r="CO11" s="18">
        <v>0</v>
      </c>
      <c r="CP11" s="18">
        <v>0</v>
      </c>
      <c r="CQ11" s="317">
        <v>0</v>
      </c>
      <c r="CR11" s="18">
        <v>0</v>
      </c>
      <c r="CS11" s="18">
        <v>0</v>
      </c>
      <c r="CT11" s="317">
        <v>0</v>
      </c>
      <c r="CU11" s="18">
        <v>0</v>
      </c>
      <c r="CV11" s="18">
        <v>0</v>
      </c>
      <c r="CW11" s="317">
        <v>0</v>
      </c>
      <c r="CX11" s="18">
        <v>0</v>
      </c>
      <c r="CY11" s="18">
        <v>0</v>
      </c>
      <c r="CZ11" s="317">
        <v>0</v>
      </c>
      <c r="DA11" s="18">
        <v>0</v>
      </c>
      <c r="DB11" s="18">
        <v>0</v>
      </c>
      <c r="DC11" s="317">
        <v>0</v>
      </c>
      <c r="DD11" s="18">
        <v>0</v>
      </c>
      <c r="DE11" s="18">
        <v>0</v>
      </c>
      <c r="DF11" s="317">
        <v>0</v>
      </c>
      <c r="DG11" s="18">
        <v>0</v>
      </c>
      <c r="DH11" s="18">
        <v>0</v>
      </c>
      <c r="DI11" s="317">
        <v>0</v>
      </c>
      <c r="DJ11" s="18">
        <v>0</v>
      </c>
      <c r="DK11" s="18">
        <v>0</v>
      </c>
      <c r="DL11" s="317">
        <v>0</v>
      </c>
      <c r="DM11" s="18">
        <v>0</v>
      </c>
      <c r="DN11" s="18">
        <v>0</v>
      </c>
      <c r="DO11" s="317">
        <v>0</v>
      </c>
      <c r="DP11" s="18">
        <v>0</v>
      </c>
      <c r="DQ11" s="18">
        <v>0</v>
      </c>
      <c r="DR11" s="317">
        <v>0</v>
      </c>
      <c r="DS11" s="18">
        <v>0</v>
      </c>
      <c r="DT11" s="18">
        <v>0</v>
      </c>
      <c r="DU11" s="317">
        <v>0</v>
      </c>
      <c r="DV11" s="18">
        <v>0</v>
      </c>
      <c r="DW11" s="18">
        <v>0</v>
      </c>
      <c r="DX11" s="317">
        <v>0</v>
      </c>
      <c r="DY11" s="18">
        <v>0</v>
      </c>
      <c r="DZ11" s="18">
        <v>0</v>
      </c>
      <c r="EA11" s="317">
        <v>0</v>
      </c>
      <c r="EB11" s="18">
        <v>0</v>
      </c>
      <c r="EC11" s="18">
        <v>0</v>
      </c>
      <c r="ED11" s="317">
        <v>0</v>
      </c>
      <c r="EE11" s="18">
        <v>0</v>
      </c>
      <c r="EF11" s="18">
        <v>0</v>
      </c>
      <c r="EG11" s="317">
        <v>0</v>
      </c>
      <c r="EH11" s="18">
        <v>0</v>
      </c>
      <c r="EI11" s="18">
        <v>0</v>
      </c>
      <c r="EJ11" s="317">
        <v>0</v>
      </c>
      <c r="EK11" s="18">
        <v>0</v>
      </c>
      <c r="EL11" s="18">
        <v>0</v>
      </c>
      <c r="EM11" s="317">
        <v>0</v>
      </c>
      <c r="EN11" s="18">
        <v>0</v>
      </c>
      <c r="EO11" s="18">
        <v>0</v>
      </c>
      <c r="EP11" s="317">
        <v>0</v>
      </c>
      <c r="EQ11" s="18">
        <v>0</v>
      </c>
      <c r="ER11" s="18">
        <v>0</v>
      </c>
      <c r="ES11" s="317">
        <v>0</v>
      </c>
      <c r="ET11" s="18">
        <v>0</v>
      </c>
      <c r="EU11" s="18">
        <v>0</v>
      </c>
      <c r="EV11" s="317">
        <v>0</v>
      </c>
      <c r="EW11" s="18">
        <v>0</v>
      </c>
      <c r="EX11" s="18">
        <v>0</v>
      </c>
      <c r="EY11" s="317">
        <v>0</v>
      </c>
      <c r="EZ11" s="18">
        <v>0</v>
      </c>
      <c r="FA11" s="18">
        <v>0</v>
      </c>
      <c r="FB11" s="317">
        <v>0</v>
      </c>
      <c r="FC11" s="18">
        <v>0</v>
      </c>
      <c r="FD11" s="18">
        <v>0</v>
      </c>
      <c r="FE11" s="317">
        <v>0</v>
      </c>
      <c r="FF11" s="18">
        <v>0</v>
      </c>
      <c r="FG11" s="18">
        <v>0</v>
      </c>
      <c r="FH11" s="317">
        <v>0</v>
      </c>
      <c r="FI11" s="18">
        <v>0</v>
      </c>
      <c r="FJ11" s="18">
        <v>0</v>
      </c>
      <c r="FK11" s="317">
        <v>0</v>
      </c>
      <c r="FL11" s="18">
        <v>0</v>
      </c>
      <c r="FM11" s="18">
        <v>0</v>
      </c>
      <c r="FN11" s="317">
        <v>0</v>
      </c>
      <c r="FO11" s="640"/>
      <c r="FP11" s="531"/>
      <c r="FQ11" s="531"/>
      <c r="FR11" s="531"/>
      <c r="FS11" s="531"/>
      <c r="FT11" s="531"/>
      <c r="FU11" s="640"/>
      <c r="FV11" s="531"/>
      <c r="FW11" s="531"/>
      <c r="FX11" s="531"/>
      <c r="FY11" s="531"/>
      <c r="FZ11" s="531"/>
    </row>
    <row r="12" spans="1:182" ht="12.75">
      <c r="A12" s="40">
        <v>43843</v>
      </c>
      <c r="B12" s="50">
        <f t="shared" ref="B12:D12" si="7">SUM(I12,AM12)</f>
        <v>0</v>
      </c>
      <c r="C12" s="50">
        <f t="shared" si="7"/>
        <v>0</v>
      </c>
      <c r="D12" s="50">
        <f t="shared" si="7"/>
        <v>0</v>
      </c>
      <c r="E12" s="154">
        <f t="shared" si="1"/>
        <v>0</v>
      </c>
      <c r="F12" s="18">
        <v>0</v>
      </c>
      <c r="G12" s="18">
        <v>0</v>
      </c>
      <c r="H12" s="317">
        <v>0</v>
      </c>
      <c r="I12" s="18">
        <v>0</v>
      </c>
      <c r="J12" s="18">
        <v>0</v>
      </c>
      <c r="K12" s="317">
        <v>0</v>
      </c>
      <c r="L12" s="18">
        <v>0</v>
      </c>
      <c r="M12" s="18">
        <v>0</v>
      </c>
      <c r="N12" s="317">
        <v>0</v>
      </c>
      <c r="O12" s="18">
        <v>0</v>
      </c>
      <c r="P12" s="18">
        <v>0</v>
      </c>
      <c r="Q12" s="317">
        <v>0</v>
      </c>
      <c r="R12" s="18">
        <v>0</v>
      </c>
      <c r="S12" s="18">
        <v>0</v>
      </c>
      <c r="T12" s="317">
        <v>0</v>
      </c>
      <c r="U12" s="18">
        <v>0</v>
      </c>
      <c r="V12" s="18">
        <v>0</v>
      </c>
      <c r="W12" s="317">
        <v>0</v>
      </c>
      <c r="X12" s="18">
        <v>0</v>
      </c>
      <c r="Y12" s="18">
        <v>0</v>
      </c>
      <c r="Z12" s="317">
        <v>0</v>
      </c>
      <c r="AA12" s="18">
        <v>0</v>
      </c>
      <c r="AB12" s="18">
        <v>0</v>
      </c>
      <c r="AC12" s="317">
        <v>0</v>
      </c>
      <c r="AD12" s="18">
        <v>0</v>
      </c>
      <c r="AE12" s="18">
        <v>0</v>
      </c>
      <c r="AF12" s="317">
        <v>0</v>
      </c>
      <c r="AG12" s="18">
        <v>0</v>
      </c>
      <c r="AH12" s="18">
        <v>0</v>
      </c>
      <c r="AI12" s="317">
        <v>0</v>
      </c>
      <c r="AJ12" s="18">
        <v>0</v>
      </c>
      <c r="AK12" s="18">
        <v>0</v>
      </c>
      <c r="AL12" s="317">
        <v>0</v>
      </c>
      <c r="AM12" s="18">
        <v>0</v>
      </c>
      <c r="AN12" s="18">
        <v>0</v>
      </c>
      <c r="AO12" s="317">
        <v>0</v>
      </c>
      <c r="AP12" s="18">
        <v>0</v>
      </c>
      <c r="AQ12" s="18">
        <v>0</v>
      </c>
      <c r="AR12" s="317">
        <v>0</v>
      </c>
      <c r="AS12" s="18">
        <v>0</v>
      </c>
      <c r="AT12" s="18">
        <v>0</v>
      </c>
      <c r="AU12" s="317">
        <v>0</v>
      </c>
      <c r="AV12" s="18">
        <v>0</v>
      </c>
      <c r="AW12" s="18">
        <v>0</v>
      </c>
      <c r="AX12" s="317">
        <v>0</v>
      </c>
      <c r="AY12" s="18">
        <v>0</v>
      </c>
      <c r="AZ12" s="18">
        <v>0</v>
      </c>
      <c r="BA12" s="317">
        <v>0</v>
      </c>
      <c r="BB12" s="18">
        <v>0</v>
      </c>
      <c r="BC12" s="18">
        <v>0</v>
      </c>
      <c r="BD12" s="317">
        <v>0</v>
      </c>
      <c r="BE12" s="18">
        <v>0</v>
      </c>
      <c r="BF12" s="18">
        <v>0</v>
      </c>
      <c r="BG12" s="317">
        <v>0</v>
      </c>
      <c r="BH12" s="18">
        <v>0</v>
      </c>
      <c r="BI12" s="18">
        <v>0</v>
      </c>
      <c r="BJ12" s="317">
        <v>0</v>
      </c>
      <c r="BK12" s="18">
        <v>0</v>
      </c>
      <c r="BL12" s="18">
        <v>0</v>
      </c>
      <c r="BM12" s="317">
        <v>0</v>
      </c>
      <c r="BN12" s="18">
        <v>0</v>
      </c>
      <c r="BO12" s="18">
        <v>0</v>
      </c>
      <c r="BP12" s="317">
        <v>0</v>
      </c>
      <c r="BQ12" s="18">
        <v>0</v>
      </c>
      <c r="BR12" s="18">
        <v>0</v>
      </c>
      <c r="BS12" s="317">
        <v>0</v>
      </c>
      <c r="BT12" s="18">
        <v>0</v>
      </c>
      <c r="BU12" s="18">
        <v>0</v>
      </c>
      <c r="BV12" s="317">
        <v>0</v>
      </c>
      <c r="BW12" s="18">
        <v>0</v>
      </c>
      <c r="BX12" s="18">
        <v>0</v>
      </c>
      <c r="BY12" s="317">
        <v>0</v>
      </c>
      <c r="BZ12" s="18">
        <v>0</v>
      </c>
      <c r="CA12" s="18">
        <v>0</v>
      </c>
      <c r="CB12" s="317">
        <v>0</v>
      </c>
      <c r="CC12" s="18">
        <v>0</v>
      </c>
      <c r="CD12" s="18">
        <v>0</v>
      </c>
      <c r="CE12" s="317">
        <v>0</v>
      </c>
      <c r="CF12" s="18">
        <v>0</v>
      </c>
      <c r="CG12" s="18">
        <v>0</v>
      </c>
      <c r="CH12" s="317">
        <v>0</v>
      </c>
      <c r="CI12" s="18">
        <v>0</v>
      </c>
      <c r="CJ12" s="18">
        <v>0</v>
      </c>
      <c r="CK12" s="317">
        <v>0</v>
      </c>
      <c r="CL12" s="18">
        <v>0</v>
      </c>
      <c r="CM12" s="18">
        <v>0</v>
      </c>
      <c r="CN12" s="317">
        <v>0</v>
      </c>
      <c r="CO12" s="18">
        <v>0</v>
      </c>
      <c r="CP12" s="18">
        <v>0</v>
      </c>
      <c r="CQ12" s="317">
        <v>0</v>
      </c>
      <c r="CR12" s="18">
        <v>0</v>
      </c>
      <c r="CS12" s="18">
        <v>0</v>
      </c>
      <c r="CT12" s="317">
        <v>0</v>
      </c>
      <c r="CU12" s="18">
        <v>0</v>
      </c>
      <c r="CV12" s="18">
        <v>0</v>
      </c>
      <c r="CW12" s="317">
        <v>0</v>
      </c>
      <c r="CX12" s="18">
        <v>0</v>
      </c>
      <c r="CY12" s="18">
        <v>0</v>
      </c>
      <c r="CZ12" s="317">
        <v>0</v>
      </c>
      <c r="DA12" s="18">
        <v>0</v>
      </c>
      <c r="DB12" s="18">
        <v>0</v>
      </c>
      <c r="DC12" s="317">
        <v>0</v>
      </c>
      <c r="DD12" s="18">
        <v>0</v>
      </c>
      <c r="DE12" s="18">
        <v>0</v>
      </c>
      <c r="DF12" s="317">
        <v>0</v>
      </c>
      <c r="DG12" s="18">
        <v>0</v>
      </c>
      <c r="DH12" s="18">
        <v>0</v>
      </c>
      <c r="DI12" s="317">
        <v>0</v>
      </c>
      <c r="DJ12" s="18">
        <v>0</v>
      </c>
      <c r="DK12" s="18">
        <v>0</v>
      </c>
      <c r="DL12" s="317">
        <v>0</v>
      </c>
      <c r="DM12" s="18">
        <v>0</v>
      </c>
      <c r="DN12" s="18">
        <v>0</v>
      </c>
      <c r="DO12" s="317">
        <v>0</v>
      </c>
      <c r="DP12" s="18">
        <v>0</v>
      </c>
      <c r="DQ12" s="18">
        <v>0</v>
      </c>
      <c r="DR12" s="317">
        <v>0</v>
      </c>
      <c r="DS12" s="18">
        <v>0</v>
      </c>
      <c r="DT12" s="18">
        <v>0</v>
      </c>
      <c r="DU12" s="317">
        <v>0</v>
      </c>
      <c r="DV12" s="18">
        <v>0</v>
      </c>
      <c r="DW12" s="18">
        <v>0</v>
      </c>
      <c r="DX12" s="317">
        <v>0</v>
      </c>
      <c r="DY12" s="18">
        <v>0</v>
      </c>
      <c r="DZ12" s="18">
        <v>0</v>
      </c>
      <c r="EA12" s="317">
        <v>0</v>
      </c>
      <c r="EB12" s="18">
        <v>0</v>
      </c>
      <c r="EC12" s="18">
        <v>0</v>
      </c>
      <c r="ED12" s="317">
        <v>0</v>
      </c>
      <c r="EE12" s="18">
        <v>0</v>
      </c>
      <c r="EF12" s="18">
        <v>0</v>
      </c>
      <c r="EG12" s="317">
        <v>0</v>
      </c>
      <c r="EH12" s="18">
        <v>0</v>
      </c>
      <c r="EI12" s="18">
        <v>0</v>
      </c>
      <c r="EJ12" s="317">
        <v>0</v>
      </c>
      <c r="EK12" s="18">
        <v>0</v>
      </c>
      <c r="EL12" s="18">
        <v>0</v>
      </c>
      <c r="EM12" s="317">
        <v>0</v>
      </c>
      <c r="EN12" s="18">
        <v>0</v>
      </c>
      <c r="EO12" s="18">
        <v>0</v>
      </c>
      <c r="EP12" s="317">
        <v>0</v>
      </c>
      <c r="EQ12" s="18">
        <v>0</v>
      </c>
      <c r="ER12" s="18">
        <v>0</v>
      </c>
      <c r="ES12" s="317">
        <v>0</v>
      </c>
      <c r="ET12" s="18">
        <v>0</v>
      </c>
      <c r="EU12" s="18">
        <v>0</v>
      </c>
      <c r="EV12" s="317">
        <v>0</v>
      </c>
      <c r="EW12" s="18">
        <v>0</v>
      </c>
      <c r="EX12" s="18">
        <v>0</v>
      </c>
      <c r="EY12" s="317">
        <v>0</v>
      </c>
      <c r="EZ12" s="18">
        <v>0</v>
      </c>
      <c r="FA12" s="18">
        <v>0</v>
      </c>
      <c r="FB12" s="317">
        <v>0</v>
      </c>
      <c r="FC12" s="18">
        <v>0</v>
      </c>
      <c r="FD12" s="18">
        <v>0</v>
      </c>
      <c r="FE12" s="317">
        <v>0</v>
      </c>
      <c r="FF12" s="18">
        <v>0</v>
      </c>
      <c r="FG12" s="18">
        <v>0</v>
      </c>
      <c r="FH12" s="317">
        <v>0</v>
      </c>
      <c r="FI12" s="18">
        <v>0</v>
      </c>
      <c r="FJ12" s="18">
        <v>0</v>
      </c>
      <c r="FK12" s="317">
        <v>0</v>
      </c>
      <c r="FL12" s="18">
        <v>0</v>
      </c>
      <c r="FM12" s="18">
        <v>0</v>
      </c>
      <c r="FN12" s="317">
        <v>0</v>
      </c>
      <c r="FO12" s="640"/>
      <c r="FP12" s="531"/>
      <c r="FQ12" s="531"/>
      <c r="FR12" s="531"/>
      <c r="FS12" s="531"/>
      <c r="FT12" s="531"/>
      <c r="FU12" s="640"/>
      <c r="FV12" s="531"/>
      <c r="FW12" s="531"/>
      <c r="FX12" s="531"/>
      <c r="FY12" s="531"/>
      <c r="FZ12" s="531"/>
    </row>
    <row r="13" spans="1:182" ht="12.75">
      <c r="A13" s="40">
        <v>43844</v>
      </c>
      <c r="B13" s="50">
        <f t="shared" ref="B13:D13" si="8">SUM(I13,AM13)</f>
        <v>0</v>
      </c>
      <c r="C13" s="50">
        <f t="shared" si="8"/>
        <v>0</v>
      </c>
      <c r="D13" s="50">
        <f t="shared" si="8"/>
        <v>0</v>
      </c>
      <c r="E13" s="154">
        <f t="shared" si="1"/>
        <v>0</v>
      </c>
      <c r="F13" s="18">
        <v>0</v>
      </c>
      <c r="G13" s="18">
        <v>0</v>
      </c>
      <c r="H13" s="317">
        <v>0</v>
      </c>
      <c r="I13" s="18">
        <v>0</v>
      </c>
      <c r="J13" s="18">
        <v>0</v>
      </c>
      <c r="K13" s="317">
        <v>0</v>
      </c>
      <c r="L13" s="18">
        <v>0</v>
      </c>
      <c r="M13" s="18">
        <v>0</v>
      </c>
      <c r="N13" s="317">
        <v>0</v>
      </c>
      <c r="O13" s="18">
        <v>0</v>
      </c>
      <c r="P13" s="18">
        <v>0</v>
      </c>
      <c r="Q13" s="317">
        <v>0</v>
      </c>
      <c r="R13" s="18">
        <v>0</v>
      </c>
      <c r="S13" s="18">
        <v>0</v>
      </c>
      <c r="T13" s="317">
        <v>0</v>
      </c>
      <c r="U13" s="18">
        <v>0</v>
      </c>
      <c r="V13" s="18">
        <v>0</v>
      </c>
      <c r="W13" s="317">
        <v>0</v>
      </c>
      <c r="X13" s="18">
        <v>0</v>
      </c>
      <c r="Y13" s="18">
        <v>0</v>
      </c>
      <c r="Z13" s="317">
        <v>0</v>
      </c>
      <c r="AA13" s="18">
        <v>0</v>
      </c>
      <c r="AB13" s="18">
        <v>0</v>
      </c>
      <c r="AC13" s="317">
        <v>0</v>
      </c>
      <c r="AD13" s="18">
        <v>0</v>
      </c>
      <c r="AE13" s="18">
        <v>0</v>
      </c>
      <c r="AF13" s="317">
        <v>0</v>
      </c>
      <c r="AG13" s="18">
        <v>0</v>
      </c>
      <c r="AH13" s="18">
        <v>0</v>
      </c>
      <c r="AI13" s="317">
        <v>0</v>
      </c>
      <c r="AJ13" s="18">
        <v>0</v>
      </c>
      <c r="AK13" s="18">
        <v>0</v>
      </c>
      <c r="AL13" s="317">
        <v>0</v>
      </c>
      <c r="AM13" s="18">
        <v>0</v>
      </c>
      <c r="AN13" s="18">
        <v>0</v>
      </c>
      <c r="AO13" s="317">
        <v>0</v>
      </c>
      <c r="AP13" s="18">
        <v>0</v>
      </c>
      <c r="AQ13" s="18">
        <v>0</v>
      </c>
      <c r="AR13" s="317">
        <v>0</v>
      </c>
      <c r="AS13" s="18">
        <v>0</v>
      </c>
      <c r="AT13" s="18">
        <v>0</v>
      </c>
      <c r="AU13" s="317">
        <v>0</v>
      </c>
      <c r="AV13" s="18">
        <v>0</v>
      </c>
      <c r="AW13" s="18">
        <v>0</v>
      </c>
      <c r="AX13" s="317">
        <v>0</v>
      </c>
      <c r="AY13" s="18">
        <v>0</v>
      </c>
      <c r="AZ13" s="18">
        <v>0</v>
      </c>
      <c r="BA13" s="317">
        <v>0</v>
      </c>
      <c r="BB13" s="18">
        <v>0</v>
      </c>
      <c r="BC13" s="18">
        <v>0</v>
      </c>
      <c r="BD13" s="317">
        <v>0</v>
      </c>
      <c r="BE13" s="18">
        <v>0</v>
      </c>
      <c r="BF13" s="18">
        <v>0</v>
      </c>
      <c r="BG13" s="317">
        <v>0</v>
      </c>
      <c r="BH13" s="18">
        <v>0</v>
      </c>
      <c r="BI13" s="18">
        <v>0</v>
      </c>
      <c r="BJ13" s="317">
        <v>0</v>
      </c>
      <c r="BK13" s="18">
        <v>0</v>
      </c>
      <c r="BL13" s="18">
        <v>0</v>
      </c>
      <c r="BM13" s="317">
        <v>0</v>
      </c>
      <c r="BN13" s="18">
        <v>0</v>
      </c>
      <c r="BO13" s="18">
        <v>0</v>
      </c>
      <c r="BP13" s="317">
        <v>0</v>
      </c>
      <c r="BQ13" s="18">
        <v>0</v>
      </c>
      <c r="BR13" s="18">
        <v>0</v>
      </c>
      <c r="BS13" s="317">
        <v>0</v>
      </c>
      <c r="BT13" s="18">
        <v>0</v>
      </c>
      <c r="BU13" s="18">
        <v>0</v>
      </c>
      <c r="BV13" s="317">
        <v>0</v>
      </c>
      <c r="BW13" s="18">
        <v>0</v>
      </c>
      <c r="BX13" s="18">
        <v>0</v>
      </c>
      <c r="BY13" s="317">
        <v>0</v>
      </c>
      <c r="BZ13" s="18">
        <v>0</v>
      </c>
      <c r="CA13" s="18">
        <v>0</v>
      </c>
      <c r="CB13" s="317">
        <v>0</v>
      </c>
      <c r="CC13" s="18">
        <v>0</v>
      </c>
      <c r="CD13" s="18">
        <v>0</v>
      </c>
      <c r="CE13" s="317">
        <v>0</v>
      </c>
      <c r="CF13" s="18">
        <v>0</v>
      </c>
      <c r="CG13" s="18">
        <v>0</v>
      </c>
      <c r="CH13" s="317">
        <v>0</v>
      </c>
      <c r="CI13" s="18">
        <v>0</v>
      </c>
      <c r="CJ13" s="18">
        <v>0</v>
      </c>
      <c r="CK13" s="317">
        <v>0</v>
      </c>
      <c r="CL13" s="18">
        <v>0</v>
      </c>
      <c r="CM13" s="18">
        <v>0</v>
      </c>
      <c r="CN13" s="317">
        <v>0</v>
      </c>
      <c r="CO13" s="18">
        <v>0</v>
      </c>
      <c r="CP13" s="18">
        <v>0</v>
      </c>
      <c r="CQ13" s="317">
        <v>0</v>
      </c>
      <c r="CR13" s="18">
        <v>0</v>
      </c>
      <c r="CS13" s="18">
        <v>0</v>
      </c>
      <c r="CT13" s="317">
        <v>0</v>
      </c>
      <c r="CU13" s="18">
        <v>0</v>
      </c>
      <c r="CV13" s="18">
        <v>0</v>
      </c>
      <c r="CW13" s="317">
        <v>0</v>
      </c>
      <c r="CX13" s="18">
        <v>0</v>
      </c>
      <c r="CY13" s="18">
        <v>0</v>
      </c>
      <c r="CZ13" s="317">
        <v>0</v>
      </c>
      <c r="DA13" s="18">
        <v>0</v>
      </c>
      <c r="DB13" s="18">
        <v>0</v>
      </c>
      <c r="DC13" s="317">
        <v>0</v>
      </c>
      <c r="DD13" s="18">
        <v>0</v>
      </c>
      <c r="DE13" s="18">
        <v>0</v>
      </c>
      <c r="DF13" s="317">
        <v>0</v>
      </c>
      <c r="DG13" s="18">
        <v>0</v>
      </c>
      <c r="DH13" s="18">
        <v>0</v>
      </c>
      <c r="DI13" s="317">
        <v>0</v>
      </c>
      <c r="DJ13" s="18">
        <v>0</v>
      </c>
      <c r="DK13" s="18">
        <v>0</v>
      </c>
      <c r="DL13" s="317">
        <v>0</v>
      </c>
      <c r="DM13" s="18">
        <v>0</v>
      </c>
      <c r="DN13" s="18">
        <v>0</v>
      </c>
      <c r="DO13" s="317">
        <v>0</v>
      </c>
      <c r="DP13" s="18">
        <v>0</v>
      </c>
      <c r="DQ13" s="18">
        <v>0</v>
      </c>
      <c r="DR13" s="317">
        <v>0</v>
      </c>
      <c r="DS13" s="18">
        <v>0</v>
      </c>
      <c r="DT13" s="18">
        <v>0</v>
      </c>
      <c r="DU13" s="317">
        <v>0</v>
      </c>
      <c r="DV13" s="18">
        <v>0</v>
      </c>
      <c r="DW13" s="18">
        <v>0</v>
      </c>
      <c r="DX13" s="317">
        <v>0</v>
      </c>
      <c r="DY13" s="18">
        <v>0</v>
      </c>
      <c r="DZ13" s="18">
        <v>0</v>
      </c>
      <c r="EA13" s="317">
        <v>0</v>
      </c>
      <c r="EB13" s="18">
        <v>0</v>
      </c>
      <c r="EC13" s="18">
        <v>0</v>
      </c>
      <c r="ED13" s="317">
        <v>0</v>
      </c>
      <c r="EE13" s="18">
        <v>0</v>
      </c>
      <c r="EF13" s="18">
        <v>0</v>
      </c>
      <c r="EG13" s="317">
        <v>0</v>
      </c>
      <c r="EH13" s="18">
        <v>0</v>
      </c>
      <c r="EI13" s="18">
        <v>0</v>
      </c>
      <c r="EJ13" s="317">
        <v>0</v>
      </c>
      <c r="EK13" s="18">
        <v>0</v>
      </c>
      <c r="EL13" s="18">
        <v>0</v>
      </c>
      <c r="EM13" s="317">
        <v>0</v>
      </c>
      <c r="EN13" s="18">
        <v>0</v>
      </c>
      <c r="EO13" s="18">
        <v>0</v>
      </c>
      <c r="EP13" s="317">
        <v>0</v>
      </c>
      <c r="EQ13" s="18">
        <v>0</v>
      </c>
      <c r="ER13" s="18">
        <v>0</v>
      </c>
      <c r="ES13" s="317">
        <v>0</v>
      </c>
      <c r="ET13" s="18">
        <v>0</v>
      </c>
      <c r="EU13" s="18">
        <v>0</v>
      </c>
      <c r="EV13" s="317">
        <v>0</v>
      </c>
      <c r="EW13" s="18">
        <v>0</v>
      </c>
      <c r="EX13" s="18">
        <v>0</v>
      </c>
      <c r="EY13" s="317">
        <v>0</v>
      </c>
      <c r="EZ13" s="18">
        <v>0</v>
      </c>
      <c r="FA13" s="18">
        <v>0</v>
      </c>
      <c r="FB13" s="317">
        <v>0</v>
      </c>
      <c r="FC13" s="18">
        <v>0</v>
      </c>
      <c r="FD13" s="18">
        <v>0</v>
      </c>
      <c r="FE13" s="317">
        <v>0</v>
      </c>
      <c r="FF13" s="18">
        <v>0</v>
      </c>
      <c r="FG13" s="18">
        <v>0</v>
      </c>
      <c r="FH13" s="317">
        <v>0</v>
      </c>
      <c r="FI13" s="18">
        <v>0</v>
      </c>
      <c r="FJ13" s="18">
        <v>0</v>
      </c>
      <c r="FK13" s="317">
        <v>0</v>
      </c>
      <c r="FL13" s="18">
        <v>0</v>
      </c>
      <c r="FM13" s="18">
        <v>0</v>
      </c>
      <c r="FN13" s="317">
        <v>0</v>
      </c>
      <c r="FO13" s="640"/>
      <c r="FP13" s="531"/>
      <c r="FQ13" s="531"/>
      <c r="FR13" s="531"/>
      <c r="FS13" s="531"/>
      <c r="FT13" s="531"/>
      <c r="FU13" s="640"/>
      <c r="FV13" s="531"/>
      <c r="FW13" s="531"/>
      <c r="FX13" s="531"/>
      <c r="FY13" s="531"/>
      <c r="FZ13" s="531"/>
    </row>
    <row r="14" spans="1:182" ht="12.75">
      <c r="A14" s="40">
        <v>43845</v>
      </c>
      <c r="B14" s="50">
        <f t="shared" ref="B14:D14" si="9">SUM(I14,AM14)</f>
        <v>0</v>
      </c>
      <c r="C14" s="50">
        <f t="shared" si="9"/>
        <v>0</v>
      </c>
      <c r="D14" s="50">
        <f t="shared" si="9"/>
        <v>0</v>
      </c>
      <c r="E14" s="154">
        <f t="shared" si="1"/>
        <v>0</v>
      </c>
      <c r="F14" s="18">
        <v>0</v>
      </c>
      <c r="G14" s="18">
        <v>0</v>
      </c>
      <c r="H14" s="317">
        <v>0</v>
      </c>
      <c r="I14" s="18">
        <v>0</v>
      </c>
      <c r="J14" s="18">
        <v>0</v>
      </c>
      <c r="K14" s="317">
        <v>0</v>
      </c>
      <c r="L14" s="18">
        <v>0</v>
      </c>
      <c r="M14" s="18">
        <v>0</v>
      </c>
      <c r="N14" s="317">
        <v>0</v>
      </c>
      <c r="O14" s="18">
        <v>0</v>
      </c>
      <c r="P14" s="18">
        <v>0</v>
      </c>
      <c r="Q14" s="317">
        <v>0</v>
      </c>
      <c r="R14" s="18">
        <v>0</v>
      </c>
      <c r="S14" s="18">
        <v>0</v>
      </c>
      <c r="T14" s="317">
        <v>0</v>
      </c>
      <c r="U14" s="18">
        <v>0</v>
      </c>
      <c r="V14" s="18">
        <v>0</v>
      </c>
      <c r="W14" s="317">
        <v>0</v>
      </c>
      <c r="X14" s="18">
        <v>0</v>
      </c>
      <c r="Y14" s="18">
        <v>0</v>
      </c>
      <c r="Z14" s="317">
        <v>0</v>
      </c>
      <c r="AA14" s="18">
        <v>0</v>
      </c>
      <c r="AB14" s="18">
        <v>0</v>
      </c>
      <c r="AC14" s="317">
        <v>0</v>
      </c>
      <c r="AD14" s="18">
        <v>0</v>
      </c>
      <c r="AE14" s="18">
        <v>0</v>
      </c>
      <c r="AF14" s="317">
        <v>0</v>
      </c>
      <c r="AG14" s="18">
        <v>0</v>
      </c>
      <c r="AH14" s="18">
        <v>0</v>
      </c>
      <c r="AI14" s="317">
        <v>0</v>
      </c>
      <c r="AJ14" s="18">
        <v>0</v>
      </c>
      <c r="AK14" s="18">
        <v>0</v>
      </c>
      <c r="AL14" s="317">
        <v>0</v>
      </c>
      <c r="AM14" s="18">
        <v>0</v>
      </c>
      <c r="AN14" s="18">
        <v>0</v>
      </c>
      <c r="AO14" s="317">
        <v>0</v>
      </c>
      <c r="AP14" s="18">
        <v>0</v>
      </c>
      <c r="AQ14" s="18">
        <v>0</v>
      </c>
      <c r="AR14" s="317">
        <v>0</v>
      </c>
      <c r="AS14" s="18">
        <v>0</v>
      </c>
      <c r="AT14" s="18">
        <v>0</v>
      </c>
      <c r="AU14" s="317">
        <v>0</v>
      </c>
      <c r="AV14" s="18">
        <v>0</v>
      </c>
      <c r="AW14" s="18">
        <v>0</v>
      </c>
      <c r="AX14" s="317">
        <v>0</v>
      </c>
      <c r="AY14" s="18">
        <v>0</v>
      </c>
      <c r="AZ14" s="18">
        <v>0</v>
      </c>
      <c r="BA14" s="317">
        <v>0</v>
      </c>
      <c r="BB14" s="18">
        <v>0</v>
      </c>
      <c r="BC14" s="18">
        <v>0</v>
      </c>
      <c r="BD14" s="317">
        <v>0</v>
      </c>
      <c r="BE14" s="18">
        <v>0</v>
      </c>
      <c r="BF14" s="18">
        <v>0</v>
      </c>
      <c r="BG14" s="317">
        <v>0</v>
      </c>
      <c r="BH14" s="18">
        <v>0</v>
      </c>
      <c r="BI14" s="18">
        <v>0</v>
      </c>
      <c r="BJ14" s="317">
        <v>0</v>
      </c>
      <c r="BK14" s="18">
        <v>0</v>
      </c>
      <c r="BL14" s="18">
        <v>0</v>
      </c>
      <c r="BM14" s="317">
        <v>0</v>
      </c>
      <c r="BN14" s="18">
        <v>0</v>
      </c>
      <c r="BO14" s="18">
        <v>0</v>
      </c>
      <c r="BP14" s="317">
        <v>0</v>
      </c>
      <c r="BQ14" s="18">
        <v>0</v>
      </c>
      <c r="BR14" s="18">
        <v>0</v>
      </c>
      <c r="BS14" s="317">
        <v>0</v>
      </c>
      <c r="BT14" s="18">
        <v>0</v>
      </c>
      <c r="BU14" s="18">
        <v>0</v>
      </c>
      <c r="BV14" s="317">
        <v>0</v>
      </c>
      <c r="BW14" s="18">
        <v>0</v>
      </c>
      <c r="BX14" s="18">
        <v>0</v>
      </c>
      <c r="BY14" s="317">
        <v>0</v>
      </c>
      <c r="BZ14" s="18">
        <v>0</v>
      </c>
      <c r="CA14" s="18">
        <v>0</v>
      </c>
      <c r="CB14" s="317">
        <v>0</v>
      </c>
      <c r="CC14" s="18">
        <v>0</v>
      </c>
      <c r="CD14" s="18">
        <v>0</v>
      </c>
      <c r="CE14" s="317">
        <v>0</v>
      </c>
      <c r="CF14" s="18">
        <v>0</v>
      </c>
      <c r="CG14" s="18">
        <v>0</v>
      </c>
      <c r="CH14" s="317">
        <v>0</v>
      </c>
      <c r="CI14" s="18">
        <v>0</v>
      </c>
      <c r="CJ14" s="18">
        <v>0</v>
      </c>
      <c r="CK14" s="317">
        <v>0</v>
      </c>
      <c r="CL14" s="18">
        <v>0</v>
      </c>
      <c r="CM14" s="18">
        <v>0</v>
      </c>
      <c r="CN14" s="317">
        <v>0</v>
      </c>
      <c r="CO14" s="18">
        <v>0</v>
      </c>
      <c r="CP14" s="18">
        <v>0</v>
      </c>
      <c r="CQ14" s="317">
        <v>0</v>
      </c>
      <c r="CR14" s="18">
        <v>0</v>
      </c>
      <c r="CS14" s="18">
        <v>0</v>
      </c>
      <c r="CT14" s="317">
        <v>0</v>
      </c>
      <c r="CU14" s="18">
        <v>0</v>
      </c>
      <c r="CV14" s="18">
        <v>0</v>
      </c>
      <c r="CW14" s="317">
        <v>0</v>
      </c>
      <c r="CX14" s="18">
        <v>0</v>
      </c>
      <c r="CY14" s="18">
        <v>0</v>
      </c>
      <c r="CZ14" s="317">
        <v>0</v>
      </c>
      <c r="DA14" s="18">
        <v>0</v>
      </c>
      <c r="DB14" s="18">
        <v>0</v>
      </c>
      <c r="DC14" s="317">
        <v>0</v>
      </c>
      <c r="DD14" s="18">
        <v>0</v>
      </c>
      <c r="DE14" s="18">
        <v>0</v>
      </c>
      <c r="DF14" s="317">
        <v>0</v>
      </c>
      <c r="DG14" s="18">
        <v>0</v>
      </c>
      <c r="DH14" s="18">
        <v>0</v>
      </c>
      <c r="DI14" s="317">
        <v>0</v>
      </c>
      <c r="DJ14" s="18">
        <v>0</v>
      </c>
      <c r="DK14" s="18">
        <v>0</v>
      </c>
      <c r="DL14" s="317">
        <v>0</v>
      </c>
      <c r="DM14" s="18">
        <v>0</v>
      </c>
      <c r="DN14" s="18">
        <v>0</v>
      </c>
      <c r="DO14" s="317">
        <v>0</v>
      </c>
      <c r="DP14" s="18">
        <v>0</v>
      </c>
      <c r="DQ14" s="18">
        <v>0</v>
      </c>
      <c r="DR14" s="317">
        <v>0</v>
      </c>
      <c r="DS14" s="18">
        <v>0</v>
      </c>
      <c r="DT14" s="18">
        <v>0</v>
      </c>
      <c r="DU14" s="317">
        <v>0</v>
      </c>
      <c r="DV14" s="18">
        <v>0</v>
      </c>
      <c r="DW14" s="18">
        <v>0</v>
      </c>
      <c r="DX14" s="317">
        <v>0</v>
      </c>
      <c r="DY14" s="18">
        <v>0</v>
      </c>
      <c r="DZ14" s="18">
        <v>0</v>
      </c>
      <c r="EA14" s="317">
        <v>0</v>
      </c>
      <c r="EB14" s="18">
        <v>0</v>
      </c>
      <c r="EC14" s="18">
        <v>0</v>
      </c>
      <c r="ED14" s="317">
        <v>0</v>
      </c>
      <c r="EE14" s="18">
        <v>0</v>
      </c>
      <c r="EF14" s="18">
        <v>0</v>
      </c>
      <c r="EG14" s="317">
        <v>0</v>
      </c>
      <c r="EH14" s="18">
        <v>0</v>
      </c>
      <c r="EI14" s="18">
        <v>0</v>
      </c>
      <c r="EJ14" s="317">
        <v>0</v>
      </c>
      <c r="EK14" s="18">
        <v>0</v>
      </c>
      <c r="EL14" s="18">
        <v>0</v>
      </c>
      <c r="EM14" s="317">
        <v>0</v>
      </c>
      <c r="EN14" s="18">
        <v>0</v>
      </c>
      <c r="EO14" s="18">
        <v>0</v>
      </c>
      <c r="EP14" s="317">
        <v>0</v>
      </c>
      <c r="EQ14" s="18">
        <v>0</v>
      </c>
      <c r="ER14" s="18">
        <v>0</v>
      </c>
      <c r="ES14" s="317">
        <v>0</v>
      </c>
      <c r="ET14" s="18">
        <v>0</v>
      </c>
      <c r="EU14" s="18">
        <v>0</v>
      </c>
      <c r="EV14" s="317">
        <v>0</v>
      </c>
      <c r="EW14" s="18">
        <v>0</v>
      </c>
      <c r="EX14" s="18">
        <v>0</v>
      </c>
      <c r="EY14" s="317">
        <v>0</v>
      </c>
      <c r="EZ14" s="18">
        <v>0</v>
      </c>
      <c r="FA14" s="18">
        <v>0</v>
      </c>
      <c r="FB14" s="317">
        <v>0</v>
      </c>
      <c r="FC14" s="18">
        <v>0</v>
      </c>
      <c r="FD14" s="18">
        <v>0</v>
      </c>
      <c r="FE14" s="317">
        <v>0</v>
      </c>
      <c r="FF14" s="18">
        <v>0</v>
      </c>
      <c r="FG14" s="18">
        <v>0</v>
      </c>
      <c r="FH14" s="317">
        <v>0</v>
      </c>
      <c r="FI14" s="18">
        <v>0</v>
      </c>
      <c r="FJ14" s="18">
        <v>0</v>
      </c>
      <c r="FK14" s="317">
        <v>0</v>
      </c>
      <c r="FL14" s="18">
        <v>0</v>
      </c>
      <c r="FM14" s="18">
        <v>0</v>
      </c>
      <c r="FN14" s="317">
        <v>0</v>
      </c>
      <c r="FO14" s="640"/>
      <c r="FP14" s="531"/>
      <c r="FQ14" s="531"/>
      <c r="FR14" s="531"/>
      <c r="FS14" s="531"/>
      <c r="FT14" s="531"/>
      <c r="FU14" s="640"/>
      <c r="FV14" s="531"/>
      <c r="FW14" s="531"/>
      <c r="FX14" s="531"/>
      <c r="FY14" s="531"/>
      <c r="FZ14" s="531"/>
    </row>
    <row r="15" spans="1:182" ht="12.75">
      <c r="A15" s="40">
        <v>43846</v>
      </c>
      <c r="B15" s="50">
        <f t="shared" ref="B15:D15" si="10">SUM(I15,AM15)</f>
        <v>0</v>
      </c>
      <c r="C15" s="50">
        <f t="shared" si="10"/>
        <v>0</v>
      </c>
      <c r="D15" s="50">
        <f t="shared" si="10"/>
        <v>0</v>
      </c>
      <c r="E15" s="154">
        <f t="shared" si="1"/>
        <v>0</v>
      </c>
      <c r="F15" s="18">
        <v>0</v>
      </c>
      <c r="G15" s="18">
        <v>0</v>
      </c>
      <c r="H15" s="317">
        <v>0</v>
      </c>
      <c r="I15" s="18">
        <v>0</v>
      </c>
      <c r="J15" s="18">
        <v>0</v>
      </c>
      <c r="K15" s="317">
        <v>0</v>
      </c>
      <c r="L15" s="18">
        <v>0</v>
      </c>
      <c r="M15" s="18">
        <v>0</v>
      </c>
      <c r="N15" s="317">
        <v>0</v>
      </c>
      <c r="O15" s="18">
        <v>0</v>
      </c>
      <c r="P15" s="18">
        <v>0</v>
      </c>
      <c r="Q15" s="317">
        <v>0</v>
      </c>
      <c r="R15" s="18">
        <v>0</v>
      </c>
      <c r="S15" s="18">
        <v>0</v>
      </c>
      <c r="T15" s="317">
        <v>0</v>
      </c>
      <c r="U15" s="18">
        <v>0</v>
      </c>
      <c r="V15" s="18">
        <v>0</v>
      </c>
      <c r="W15" s="317">
        <v>0</v>
      </c>
      <c r="X15" s="18">
        <v>0</v>
      </c>
      <c r="Y15" s="18">
        <v>0</v>
      </c>
      <c r="Z15" s="317">
        <v>0</v>
      </c>
      <c r="AA15" s="18">
        <v>0</v>
      </c>
      <c r="AB15" s="18">
        <v>0</v>
      </c>
      <c r="AC15" s="317">
        <v>0</v>
      </c>
      <c r="AD15" s="18">
        <v>0</v>
      </c>
      <c r="AE15" s="18">
        <v>0</v>
      </c>
      <c r="AF15" s="317">
        <v>0</v>
      </c>
      <c r="AG15" s="18">
        <v>0</v>
      </c>
      <c r="AH15" s="18">
        <v>0</v>
      </c>
      <c r="AI15" s="317">
        <v>0</v>
      </c>
      <c r="AJ15" s="18">
        <v>0</v>
      </c>
      <c r="AK15" s="18">
        <v>0</v>
      </c>
      <c r="AL15" s="317">
        <v>0</v>
      </c>
      <c r="AM15" s="18">
        <v>0</v>
      </c>
      <c r="AN15" s="18">
        <v>0</v>
      </c>
      <c r="AO15" s="317">
        <v>0</v>
      </c>
      <c r="AP15" s="18">
        <v>0</v>
      </c>
      <c r="AQ15" s="18">
        <v>0</v>
      </c>
      <c r="AR15" s="317">
        <v>0</v>
      </c>
      <c r="AS15" s="18">
        <v>0</v>
      </c>
      <c r="AT15" s="18">
        <v>0</v>
      </c>
      <c r="AU15" s="317">
        <v>0</v>
      </c>
      <c r="AV15" s="18">
        <v>0</v>
      </c>
      <c r="AW15" s="18">
        <v>0</v>
      </c>
      <c r="AX15" s="317">
        <v>0</v>
      </c>
      <c r="AY15" s="18">
        <v>0</v>
      </c>
      <c r="AZ15" s="18">
        <v>0</v>
      </c>
      <c r="BA15" s="317">
        <v>0</v>
      </c>
      <c r="BB15" s="18">
        <v>0</v>
      </c>
      <c r="BC15" s="18">
        <v>0</v>
      </c>
      <c r="BD15" s="317">
        <v>0</v>
      </c>
      <c r="BE15" s="18">
        <v>0</v>
      </c>
      <c r="BF15" s="18">
        <v>0</v>
      </c>
      <c r="BG15" s="317">
        <v>0</v>
      </c>
      <c r="BH15" s="18">
        <v>0</v>
      </c>
      <c r="BI15" s="18">
        <v>0</v>
      </c>
      <c r="BJ15" s="317">
        <v>0</v>
      </c>
      <c r="BK15" s="18">
        <v>0</v>
      </c>
      <c r="BL15" s="18">
        <v>0</v>
      </c>
      <c r="BM15" s="317">
        <v>0</v>
      </c>
      <c r="BN15" s="18">
        <v>0</v>
      </c>
      <c r="BO15" s="18">
        <v>0</v>
      </c>
      <c r="BP15" s="317">
        <v>0</v>
      </c>
      <c r="BQ15" s="18">
        <v>0</v>
      </c>
      <c r="BR15" s="18">
        <v>0</v>
      </c>
      <c r="BS15" s="317">
        <v>0</v>
      </c>
      <c r="BT15" s="18">
        <v>0</v>
      </c>
      <c r="BU15" s="18">
        <v>0</v>
      </c>
      <c r="BV15" s="317">
        <v>0</v>
      </c>
      <c r="BW15" s="18">
        <v>0</v>
      </c>
      <c r="BX15" s="18">
        <v>0</v>
      </c>
      <c r="BY15" s="317">
        <v>0</v>
      </c>
      <c r="BZ15" s="18">
        <v>0</v>
      </c>
      <c r="CA15" s="18">
        <v>0</v>
      </c>
      <c r="CB15" s="317">
        <v>0</v>
      </c>
      <c r="CC15" s="18">
        <v>0</v>
      </c>
      <c r="CD15" s="18">
        <v>0</v>
      </c>
      <c r="CE15" s="317">
        <v>0</v>
      </c>
      <c r="CF15" s="18">
        <v>0</v>
      </c>
      <c r="CG15" s="18">
        <v>0</v>
      </c>
      <c r="CH15" s="317">
        <v>0</v>
      </c>
      <c r="CI15" s="18">
        <v>0</v>
      </c>
      <c r="CJ15" s="18">
        <v>0</v>
      </c>
      <c r="CK15" s="317">
        <v>0</v>
      </c>
      <c r="CL15" s="18">
        <v>0</v>
      </c>
      <c r="CM15" s="18">
        <v>0</v>
      </c>
      <c r="CN15" s="317">
        <v>0</v>
      </c>
      <c r="CO15" s="18">
        <v>0</v>
      </c>
      <c r="CP15" s="18">
        <v>0</v>
      </c>
      <c r="CQ15" s="317">
        <v>0</v>
      </c>
      <c r="CR15" s="18">
        <v>0</v>
      </c>
      <c r="CS15" s="18">
        <v>0</v>
      </c>
      <c r="CT15" s="317">
        <v>0</v>
      </c>
      <c r="CU15" s="18">
        <v>0</v>
      </c>
      <c r="CV15" s="18">
        <v>0</v>
      </c>
      <c r="CW15" s="317">
        <v>0</v>
      </c>
      <c r="CX15" s="18">
        <v>0</v>
      </c>
      <c r="CY15" s="18">
        <v>0</v>
      </c>
      <c r="CZ15" s="317">
        <v>0</v>
      </c>
      <c r="DA15" s="18">
        <v>0</v>
      </c>
      <c r="DB15" s="18">
        <v>0</v>
      </c>
      <c r="DC15" s="317">
        <v>0</v>
      </c>
      <c r="DD15" s="18">
        <v>0</v>
      </c>
      <c r="DE15" s="18">
        <v>0</v>
      </c>
      <c r="DF15" s="317">
        <v>0</v>
      </c>
      <c r="DG15" s="18">
        <v>0</v>
      </c>
      <c r="DH15" s="18">
        <v>0</v>
      </c>
      <c r="DI15" s="317">
        <v>0</v>
      </c>
      <c r="DJ15" s="18">
        <v>0</v>
      </c>
      <c r="DK15" s="18">
        <v>0</v>
      </c>
      <c r="DL15" s="317">
        <v>0</v>
      </c>
      <c r="DM15" s="18">
        <v>0</v>
      </c>
      <c r="DN15" s="18">
        <v>0</v>
      </c>
      <c r="DO15" s="317">
        <v>0</v>
      </c>
      <c r="DP15" s="18">
        <v>0</v>
      </c>
      <c r="DQ15" s="18">
        <v>0</v>
      </c>
      <c r="DR15" s="317">
        <v>0</v>
      </c>
      <c r="DS15" s="18">
        <v>0</v>
      </c>
      <c r="DT15" s="18">
        <v>0</v>
      </c>
      <c r="DU15" s="317">
        <v>0</v>
      </c>
      <c r="DV15" s="18">
        <v>0</v>
      </c>
      <c r="DW15" s="18">
        <v>0</v>
      </c>
      <c r="DX15" s="317">
        <v>0</v>
      </c>
      <c r="DY15" s="18">
        <v>0</v>
      </c>
      <c r="DZ15" s="18">
        <v>0</v>
      </c>
      <c r="EA15" s="317">
        <v>0</v>
      </c>
      <c r="EB15" s="18">
        <v>0</v>
      </c>
      <c r="EC15" s="18">
        <v>0</v>
      </c>
      <c r="ED15" s="317">
        <v>0</v>
      </c>
      <c r="EE15" s="18">
        <v>0</v>
      </c>
      <c r="EF15" s="18">
        <v>0</v>
      </c>
      <c r="EG15" s="317">
        <v>0</v>
      </c>
      <c r="EH15" s="18">
        <v>0</v>
      </c>
      <c r="EI15" s="18">
        <v>0</v>
      </c>
      <c r="EJ15" s="317">
        <v>0</v>
      </c>
      <c r="EK15" s="18">
        <v>0</v>
      </c>
      <c r="EL15" s="18">
        <v>0</v>
      </c>
      <c r="EM15" s="317">
        <v>0</v>
      </c>
      <c r="EN15" s="18">
        <v>0</v>
      </c>
      <c r="EO15" s="18">
        <v>0</v>
      </c>
      <c r="EP15" s="317">
        <v>0</v>
      </c>
      <c r="EQ15" s="18">
        <v>0</v>
      </c>
      <c r="ER15" s="18">
        <v>0</v>
      </c>
      <c r="ES15" s="317">
        <v>0</v>
      </c>
      <c r="ET15" s="18">
        <v>0</v>
      </c>
      <c r="EU15" s="18">
        <v>0</v>
      </c>
      <c r="EV15" s="317">
        <v>0</v>
      </c>
      <c r="EW15" s="18">
        <v>0</v>
      </c>
      <c r="EX15" s="18">
        <v>0</v>
      </c>
      <c r="EY15" s="317">
        <v>0</v>
      </c>
      <c r="EZ15" s="18">
        <v>0</v>
      </c>
      <c r="FA15" s="18">
        <v>0</v>
      </c>
      <c r="FB15" s="317">
        <v>0</v>
      </c>
      <c r="FC15" s="18">
        <v>0</v>
      </c>
      <c r="FD15" s="18">
        <v>0</v>
      </c>
      <c r="FE15" s="317">
        <v>0</v>
      </c>
      <c r="FF15" s="18">
        <v>0</v>
      </c>
      <c r="FG15" s="18">
        <v>0</v>
      </c>
      <c r="FH15" s="317">
        <v>0</v>
      </c>
      <c r="FI15" s="18">
        <v>0</v>
      </c>
      <c r="FJ15" s="18">
        <v>0</v>
      </c>
      <c r="FK15" s="317">
        <v>0</v>
      </c>
      <c r="FL15" s="18">
        <v>0</v>
      </c>
      <c r="FM15" s="18">
        <v>0</v>
      </c>
      <c r="FN15" s="317">
        <v>0</v>
      </c>
      <c r="FO15" s="640"/>
      <c r="FP15" s="531"/>
      <c r="FQ15" s="531"/>
      <c r="FR15" s="531"/>
      <c r="FS15" s="531"/>
      <c r="FT15" s="531"/>
      <c r="FU15" s="640"/>
      <c r="FV15" s="531"/>
      <c r="FW15" s="531"/>
      <c r="FX15" s="531"/>
      <c r="FY15" s="531"/>
      <c r="FZ15" s="531"/>
    </row>
    <row r="16" spans="1:182" ht="12.75">
      <c r="A16" s="40">
        <v>43847</v>
      </c>
      <c r="B16" s="50">
        <f t="shared" ref="B16:D16" si="11">SUM(I16,AM16)</f>
        <v>0</v>
      </c>
      <c r="C16" s="50">
        <f t="shared" si="11"/>
        <v>0</v>
      </c>
      <c r="D16" s="50">
        <f t="shared" si="11"/>
        <v>0</v>
      </c>
      <c r="E16" s="154">
        <f t="shared" si="1"/>
        <v>0</v>
      </c>
      <c r="F16" s="18">
        <v>0</v>
      </c>
      <c r="G16" s="18">
        <v>0</v>
      </c>
      <c r="H16" s="317">
        <v>0</v>
      </c>
      <c r="I16" s="18">
        <v>0</v>
      </c>
      <c r="J16" s="18">
        <v>0</v>
      </c>
      <c r="K16" s="317">
        <v>0</v>
      </c>
      <c r="L16" s="18">
        <v>0</v>
      </c>
      <c r="M16" s="18">
        <v>0</v>
      </c>
      <c r="N16" s="317">
        <v>0</v>
      </c>
      <c r="O16" s="18">
        <v>0</v>
      </c>
      <c r="P16" s="18">
        <v>0</v>
      </c>
      <c r="Q16" s="317">
        <v>0</v>
      </c>
      <c r="R16" s="18">
        <v>0</v>
      </c>
      <c r="S16" s="18">
        <v>0</v>
      </c>
      <c r="T16" s="317">
        <v>0</v>
      </c>
      <c r="U16" s="18">
        <v>0</v>
      </c>
      <c r="V16" s="18">
        <v>0</v>
      </c>
      <c r="W16" s="317">
        <v>0</v>
      </c>
      <c r="X16" s="18">
        <v>0</v>
      </c>
      <c r="Y16" s="18">
        <v>0</v>
      </c>
      <c r="Z16" s="317">
        <v>0</v>
      </c>
      <c r="AA16" s="18">
        <v>0</v>
      </c>
      <c r="AB16" s="18">
        <v>0</v>
      </c>
      <c r="AC16" s="317">
        <v>0</v>
      </c>
      <c r="AD16" s="18">
        <v>0</v>
      </c>
      <c r="AE16" s="18">
        <v>0</v>
      </c>
      <c r="AF16" s="317">
        <v>0</v>
      </c>
      <c r="AG16" s="18">
        <v>0</v>
      </c>
      <c r="AH16" s="18">
        <v>0</v>
      </c>
      <c r="AI16" s="317">
        <v>0</v>
      </c>
      <c r="AJ16" s="18">
        <v>0</v>
      </c>
      <c r="AK16" s="18">
        <v>0</v>
      </c>
      <c r="AL16" s="317">
        <v>0</v>
      </c>
      <c r="AM16" s="18">
        <v>0</v>
      </c>
      <c r="AN16" s="18">
        <v>0</v>
      </c>
      <c r="AO16" s="317">
        <v>0</v>
      </c>
      <c r="AP16" s="18">
        <v>0</v>
      </c>
      <c r="AQ16" s="18">
        <v>0</v>
      </c>
      <c r="AR16" s="317">
        <v>0</v>
      </c>
      <c r="AS16" s="18">
        <v>0</v>
      </c>
      <c r="AT16" s="18">
        <v>0</v>
      </c>
      <c r="AU16" s="317">
        <v>0</v>
      </c>
      <c r="AV16" s="18">
        <v>0</v>
      </c>
      <c r="AW16" s="18">
        <v>0</v>
      </c>
      <c r="AX16" s="317">
        <v>0</v>
      </c>
      <c r="AY16" s="18">
        <v>0</v>
      </c>
      <c r="AZ16" s="18">
        <v>0</v>
      </c>
      <c r="BA16" s="317">
        <v>0</v>
      </c>
      <c r="BB16" s="18">
        <v>0</v>
      </c>
      <c r="BC16" s="18">
        <v>0</v>
      </c>
      <c r="BD16" s="317">
        <v>0</v>
      </c>
      <c r="BE16" s="18">
        <v>0</v>
      </c>
      <c r="BF16" s="18">
        <v>0</v>
      </c>
      <c r="BG16" s="317">
        <v>0</v>
      </c>
      <c r="BH16" s="18">
        <v>0</v>
      </c>
      <c r="BI16" s="18">
        <v>0</v>
      </c>
      <c r="BJ16" s="317">
        <v>0</v>
      </c>
      <c r="BK16" s="18">
        <v>0</v>
      </c>
      <c r="BL16" s="18">
        <v>0</v>
      </c>
      <c r="BM16" s="317">
        <v>0</v>
      </c>
      <c r="BN16" s="18">
        <v>0</v>
      </c>
      <c r="BO16" s="18">
        <v>0</v>
      </c>
      <c r="BP16" s="317">
        <v>0</v>
      </c>
      <c r="BQ16" s="18">
        <v>0</v>
      </c>
      <c r="BR16" s="18">
        <v>0</v>
      </c>
      <c r="BS16" s="317">
        <v>0</v>
      </c>
      <c r="BT16" s="18">
        <v>0</v>
      </c>
      <c r="BU16" s="18">
        <v>0</v>
      </c>
      <c r="BV16" s="317">
        <v>0</v>
      </c>
      <c r="BW16" s="18">
        <v>0</v>
      </c>
      <c r="BX16" s="18">
        <v>0</v>
      </c>
      <c r="BY16" s="317">
        <v>0</v>
      </c>
      <c r="BZ16" s="18">
        <v>0</v>
      </c>
      <c r="CA16" s="18">
        <v>0</v>
      </c>
      <c r="CB16" s="317">
        <v>0</v>
      </c>
      <c r="CC16" s="18">
        <v>0</v>
      </c>
      <c r="CD16" s="18">
        <v>0</v>
      </c>
      <c r="CE16" s="317">
        <v>0</v>
      </c>
      <c r="CF16" s="18">
        <v>0</v>
      </c>
      <c r="CG16" s="18">
        <v>0</v>
      </c>
      <c r="CH16" s="317">
        <v>0</v>
      </c>
      <c r="CI16" s="18">
        <v>0</v>
      </c>
      <c r="CJ16" s="18">
        <v>0</v>
      </c>
      <c r="CK16" s="317">
        <v>0</v>
      </c>
      <c r="CL16" s="18">
        <v>0</v>
      </c>
      <c r="CM16" s="18">
        <v>0</v>
      </c>
      <c r="CN16" s="317">
        <v>0</v>
      </c>
      <c r="CO16" s="18">
        <v>0</v>
      </c>
      <c r="CP16" s="18">
        <v>0</v>
      </c>
      <c r="CQ16" s="317">
        <v>0</v>
      </c>
      <c r="CR16" s="18">
        <v>0</v>
      </c>
      <c r="CS16" s="18">
        <v>0</v>
      </c>
      <c r="CT16" s="317">
        <v>0</v>
      </c>
      <c r="CU16" s="18">
        <v>0</v>
      </c>
      <c r="CV16" s="18">
        <v>0</v>
      </c>
      <c r="CW16" s="317">
        <v>0</v>
      </c>
      <c r="CX16" s="18">
        <v>0</v>
      </c>
      <c r="CY16" s="18">
        <v>0</v>
      </c>
      <c r="CZ16" s="317">
        <v>0</v>
      </c>
      <c r="DA16" s="18">
        <v>0</v>
      </c>
      <c r="DB16" s="18">
        <v>0</v>
      </c>
      <c r="DC16" s="317">
        <v>0</v>
      </c>
      <c r="DD16" s="18">
        <v>0</v>
      </c>
      <c r="DE16" s="18">
        <v>0</v>
      </c>
      <c r="DF16" s="317">
        <v>0</v>
      </c>
      <c r="DG16" s="18">
        <v>0</v>
      </c>
      <c r="DH16" s="18">
        <v>0</v>
      </c>
      <c r="DI16" s="317">
        <v>0</v>
      </c>
      <c r="DJ16" s="18">
        <v>0</v>
      </c>
      <c r="DK16" s="18">
        <v>0</v>
      </c>
      <c r="DL16" s="317">
        <v>0</v>
      </c>
      <c r="DM16" s="18">
        <v>0</v>
      </c>
      <c r="DN16" s="18">
        <v>0</v>
      </c>
      <c r="DO16" s="317">
        <v>0</v>
      </c>
      <c r="DP16" s="18">
        <v>0</v>
      </c>
      <c r="DQ16" s="18">
        <v>0</v>
      </c>
      <c r="DR16" s="317">
        <v>0</v>
      </c>
      <c r="DS16" s="18">
        <v>0</v>
      </c>
      <c r="DT16" s="18">
        <v>0</v>
      </c>
      <c r="DU16" s="317">
        <v>0</v>
      </c>
      <c r="DV16" s="18">
        <v>0</v>
      </c>
      <c r="DW16" s="18">
        <v>0</v>
      </c>
      <c r="DX16" s="317">
        <v>0</v>
      </c>
      <c r="DY16" s="18">
        <v>0</v>
      </c>
      <c r="DZ16" s="18">
        <v>0</v>
      </c>
      <c r="EA16" s="317">
        <v>0</v>
      </c>
      <c r="EB16" s="18">
        <v>0</v>
      </c>
      <c r="EC16" s="18">
        <v>0</v>
      </c>
      <c r="ED16" s="317">
        <v>0</v>
      </c>
      <c r="EE16" s="18">
        <v>0</v>
      </c>
      <c r="EF16" s="18">
        <v>0</v>
      </c>
      <c r="EG16" s="317">
        <v>0</v>
      </c>
      <c r="EH16" s="18">
        <v>0</v>
      </c>
      <c r="EI16" s="18">
        <v>0</v>
      </c>
      <c r="EJ16" s="317">
        <v>0</v>
      </c>
      <c r="EK16" s="18">
        <v>0</v>
      </c>
      <c r="EL16" s="18">
        <v>0</v>
      </c>
      <c r="EM16" s="317">
        <v>0</v>
      </c>
      <c r="EN16" s="18">
        <v>0</v>
      </c>
      <c r="EO16" s="18">
        <v>0</v>
      </c>
      <c r="EP16" s="317">
        <v>0</v>
      </c>
      <c r="EQ16" s="18">
        <v>0</v>
      </c>
      <c r="ER16" s="18">
        <v>0</v>
      </c>
      <c r="ES16" s="317">
        <v>0</v>
      </c>
      <c r="ET16" s="18">
        <v>0</v>
      </c>
      <c r="EU16" s="18">
        <v>0</v>
      </c>
      <c r="EV16" s="317">
        <v>0</v>
      </c>
      <c r="EW16" s="18">
        <v>0</v>
      </c>
      <c r="EX16" s="18">
        <v>0</v>
      </c>
      <c r="EY16" s="317">
        <v>0</v>
      </c>
      <c r="EZ16" s="18">
        <v>0</v>
      </c>
      <c r="FA16" s="18">
        <v>0</v>
      </c>
      <c r="FB16" s="317">
        <v>0</v>
      </c>
      <c r="FC16" s="18">
        <v>0</v>
      </c>
      <c r="FD16" s="18">
        <v>0</v>
      </c>
      <c r="FE16" s="317">
        <v>0</v>
      </c>
      <c r="FF16" s="18">
        <v>0</v>
      </c>
      <c r="FG16" s="18">
        <v>0</v>
      </c>
      <c r="FH16" s="317">
        <v>0</v>
      </c>
      <c r="FI16" s="18">
        <v>0</v>
      </c>
      <c r="FJ16" s="18">
        <v>0</v>
      </c>
      <c r="FK16" s="317">
        <v>0</v>
      </c>
      <c r="FL16" s="18">
        <v>0</v>
      </c>
      <c r="FM16" s="18">
        <v>0</v>
      </c>
      <c r="FN16" s="317">
        <v>0</v>
      </c>
      <c r="FO16" s="640"/>
      <c r="FP16" s="531"/>
      <c r="FQ16" s="531"/>
      <c r="FR16" s="531"/>
      <c r="FS16" s="531"/>
      <c r="FT16" s="531"/>
      <c r="FU16" s="640"/>
      <c r="FV16" s="531"/>
      <c r="FW16" s="531"/>
      <c r="FX16" s="531"/>
      <c r="FY16" s="531"/>
      <c r="FZ16" s="531"/>
    </row>
    <row r="17" spans="1:182" ht="12.75">
      <c r="A17" s="40">
        <v>43848</v>
      </c>
      <c r="B17" s="50">
        <f t="shared" ref="B17:D17" si="12">SUM(I17,AM17)</f>
        <v>0</v>
      </c>
      <c r="C17" s="50">
        <f t="shared" si="12"/>
        <v>0</v>
      </c>
      <c r="D17" s="50">
        <f t="shared" si="12"/>
        <v>0</v>
      </c>
      <c r="E17" s="154">
        <f t="shared" si="1"/>
        <v>0</v>
      </c>
      <c r="F17" s="15">
        <v>0</v>
      </c>
      <c r="G17" s="15">
        <v>0</v>
      </c>
      <c r="H17" s="17">
        <v>0</v>
      </c>
      <c r="I17" s="15">
        <v>0</v>
      </c>
      <c r="J17" s="15">
        <v>0</v>
      </c>
      <c r="K17" s="17">
        <v>0</v>
      </c>
      <c r="L17" s="15">
        <v>0</v>
      </c>
      <c r="M17" s="15">
        <v>0</v>
      </c>
      <c r="N17" s="17">
        <v>0</v>
      </c>
      <c r="O17" s="15">
        <v>0</v>
      </c>
      <c r="P17" s="15">
        <v>0</v>
      </c>
      <c r="Q17" s="17">
        <v>0</v>
      </c>
      <c r="R17" s="15">
        <v>0</v>
      </c>
      <c r="S17" s="15">
        <v>0</v>
      </c>
      <c r="T17" s="17">
        <v>0</v>
      </c>
      <c r="U17" s="15">
        <v>0</v>
      </c>
      <c r="V17" s="15">
        <v>0</v>
      </c>
      <c r="W17" s="17">
        <v>0</v>
      </c>
      <c r="X17" s="15">
        <v>0</v>
      </c>
      <c r="Y17" s="15">
        <v>0</v>
      </c>
      <c r="Z17" s="17">
        <v>0</v>
      </c>
      <c r="AA17" s="15">
        <v>0</v>
      </c>
      <c r="AB17" s="15">
        <v>0</v>
      </c>
      <c r="AC17" s="17">
        <v>0</v>
      </c>
      <c r="AD17" s="15">
        <v>0</v>
      </c>
      <c r="AE17" s="15">
        <v>0</v>
      </c>
      <c r="AF17" s="17">
        <v>0</v>
      </c>
      <c r="AG17" s="15">
        <v>0</v>
      </c>
      <c r="AH17" s="15">
        <v>0</v>
      </c>
      <c r="AI17" s="17">
        <v>0</v>
      </c>
      <c r="AJ17" s="15">
        <v>0</v>
      </c>
      <c r="AK17" s="15">
        <v>0</v>
      </c>
      <c r="AL17" s="17">
        <v>0</v>
      </c>
      <c r="AM17" s="15">
        <v>0</v>
      </c>
      <c r="AN17" s="15">
        <v>0</v>
      </c>
      <c r="AO17" s="17">
        <v>0</v>
      </c>
      <c r="AP17" s="15">
        <v>0</v>
      </c>
      <c r="AQ17" s="15">
        <v>0</v>
      </c>
      <c r="AR17" s="17">
        <v>0</v>
      </c>
      <c r="AS17" s="15">
        <v>0</v>
      </c>
      <c r="AT17" s="15">
        <v>0</v>
      </c>
      <c r="AU17" s="17">
        <v>0</v>
      </c>
      <c r="AV17" s="15">
        <v>0</v>
      </c>
      <c r="AW17" s="15">
        <v>0</v>
      </c>
      <c r="AX17" s="17">
        <v>0</v>
      </c>
      <c r="AY17" s="15">
        <v>0</v>
      </c>
      <c r="AZ17" s="15">
        <v>0</v>
      </c>
      <c r="BA17" s="17">
        <v>0</v>
      </c>
      <c r="BB17" s="15">
        <v>0</v>
      </c>
      <c r="BC17" s="15">
        <v>0</v>
      </c>
      <c r="BD17" s="17">
        <v>0</v>
      </c>
      <c r="BE17" s="15">
        <v>0</v>
      </c>
      <c r="BF17" s="15">
        <v>0</v>
      </c>
      <c r="BG17" s="17">
        <v>0</v>
      </c>
      <c r="BH17" s="15">
        <v>0</v>
      </c>
      <c r="BI17" s="15">
        <v>0</v>
      </c>
      <c r="BJ17" s="17">
        <v>0</v>
      </c>
      <c r="BK17" s="15">
        <v>0</v>
      </c>
      <c r="BL17" s="15">
        <v>0</v>
      </c>
      <c r="BM17" s="17">
        <v>0</v>
      </c>
      <c r="BN17" s="15">
        <v>0</v>
      </c>
      <c r="BO17" s="15">
        <v>0</v>
      </c>
      <c r="BP17" s="17">
        <v>0</v>
      </c>
      <c r="BQ17" s="15">
        <v>0</v>
      </c>
      <c r="BR17" s="15">
        <v>0</v>
      </c>
      <c r="BS17" s="17">
        <v>0</v>
      </c>
      <c r="BT17" s="15">
        <v>0</v>
      </c>
      <c r="BU17" s="15">
        <v>0</v>
      </c>
      <c r="BV17" s="17">
        <v>0</v>
      </c>
      <c r="BW17" s="15">
        <v>0</v>
      </c>
      <c r="BX17" s="15">
        <v>0</v>
      </c>
      <c r="BY17" s="17">
        <v>0</v>
      </c>
      <c r="BZ17" s="15">
        <v>0</v>
      </c>
      <c r="CA17" s="15">
        <v>0</v>
      </c>
      <c r="CB17" s="17">
        <v>0</v>
      </c>
      <c r="CC17" s="15">
        <v>0</v>
      </c>
      <c r="CD17" s="15">
        <v>0</v>
      </c>
      <c r="CE17" s="17">
        <v>0</v>
      </c>
      <c r="CF17" s="15">
        <v>0</v>
      </c>
      <c r="CG17" s="15">
        <v>0</v>
      </c>
      <c r="CH17" s="17">
        <v>0</v>
      </c>
      <c r="CI17" s="15">
        <v>0</v>
      </c>
      <c r="CJ17" s="15">
        <v>0</v>
      </c>
      <c r="CK17" s="17">
        <v>0</v>
      </c>
      <c r="CL17" s="15">
        <v>0</v>
      </c>
      <c r="CM17" s="15">
        <v>0</v>
      </c>
      <c r="CN17" s="17">
        <v>0</v>
      </c>
      <c r="CO17" s="15">
        <v>0</v>
      </c>
      <c r="CP17" s="15">
        <v>0</v>
      </c>
      <c r="CQ17" s="17">
        <v>0</v>
      </c>
      <c r="CR17" s="15">
        <v>0</v>
      </c>
      <c r="CS17" s="15">
        <v>0</v>
      </c>
      <c r="CT17" s="17">
        <v>0</v>
      </c>
      <c r="CU17" s="15">
        <v>0</v>
      </c>
      <c r="CV17" s="15">
        <v>0</v>
      </c>
      <c r="CW17" s="17">
        <v>0</v>
      </c>
      <c r="CX17" s="15">
        <v>0</v>
      </c>
      <c r="CY17" s="15">
        <v>0</v>
      </c>
      <c r="CZ17" s="17">
        <v>0</v>
      </c>
      <c r="DA17" s="15">
        <v>0</v>
      </c>
      <c r="DB17" s="15">
        <v>0</v>
      </c>
      <c r="DC17" s="17">
        <v>0</v>
      </c>
      <c r="DD17" s="15">
        <v>0</v>
      </c>
      <c r="DE17" s="15">
        <v>0</v>
      </c>
      <c r="DF17" s="17">
        <v>0</v>
      </c>
      <c r="DG17" s="15">
        <v>0</v>
      </c>
      <c r="DH17" s="15">
        <v>0</v>
      </c>
      <c r="DI17" s="17">
        <v>0</v>
      </c>
      <c r="DJ17" s="15">
        <v>0</v>
      </c>
      <c r="DK17" s="15">
        <v>0</v>
      </c>
      <c r="DL17" s="17">
        <v>0</v>
      </c>
      <c r="DM17" s="15">
        <v>0</v>
      </c>
      <c r="DN17" s="15">
        <v>0</v>
      </c>
      <c r="DO17" s="17">
        <v>0</v>
      </c>
      <c r="DP17" s="15">
        <v>0</v>
      </c>
      <c r="DQ17" s="15">
        <v>0</v>
      </c>
      <c r="DR17" s="17">
        <v>0</v>
      </c>
      <c r="DS17" s="15">
        <v>0</v>
      </c>
      <c r="DT17" s="15">
        <v>0</v>
      </c>
      <c r="DU17" s="17">
        <v>0</v>
      </c>
      <c r="DV17" s="15">
        <v>0</v>
      </c>
      <c r="DW17" s="15">
        <v>0</v>
      </c>
      <c r="DX17" s="17">
        <v>0</v>
      </c>
      <c r="DY17" s="15">
        <v>0</v>
      </c>
      <c r="DZ17" s="15">
        <v>0</v>
      </c>
      <c r="EA17" s="17">
        <v>0</v>
      </c>
      <c r="EB17" s="15">
        <v>0</v>
      </c>
      <c r="EC17" s="15">
        <v>0</v>
      </c>
      <c r="ED17" s="17">
        <v>0</v>
      </c>
      <c r="EE17" s="15">
        <v>0</v>
      </c>
      <c r="EF17" s="15">
        <v>0</v>
      </c>
      <c r="EG17" s="17">
        <v>0</v>
      </c>
      <c r="EH17" s="15">
        <v>0</v>
      </c>
      <c r="EI17" s="15">
        <v>0</v>
      </c>
      <c r="EJ17" s="17">
        <v>0</v>
      </c>
      <c r="EK17" s="15">
        <v>0</v>
      </c>
      <c r="EL17" s="15">
        <v>0</v>
      </c>
      <c r="EM17" s="17">
        <v>0</v>
      </c>
      <c r="EN17" s="15">
        <v>0</v>
      </c>
      <c r="EO17" s="15">
        <v>0</v>
      </c>
      <c r="EP17" s="17">
        <v>0</v>
      </c>
      <c r="EQ17" s="15">
        <v>0</v>
      </c>
      <c r="ER17" s="15">
        <v>0</v>
      </c>
      <c r="ES17" s="17">
        <v>0</v>
      </c>
      <c r="ET17" s="15">
        <v>0</v>
      </c>
      <c r="EU17" s="15">
        <v>0</v>
      </c>
      <c r="EV17" s="17">
        <v>0</v>
      </c>
      <c r="EW17" s="15">
        <v>0</v>
      </c>
      <c r="EX17" s="15">
        <v>0</v>
      </c>
      <c r="EY17" s="17">
        <v>0</v>
      </c>
      <c r="EZ17" s="15">
        <v>0</v>
      </c>
      <c r="FA17" s="15">
        <v>0</v>
      </c>
      <c r="FB17" s="17">
        <v>0</v>
      </c>
      <c r="FC17" s="15">
        <v>0</v>
      </c>
      <c r="FD17" s="15">
        <v>0</v>
      </c>
      <c r="FE17" s="17">
        <v>0</v>
      </c>
      <c r="FF17" s="15">
        <v>0</v>
      </c>
      <c r="FG17" s="15">
        <v>0</v>
      </c>
      <c r="FH17" s="17">
        <v>0</v>
      </c>
      <c r="FI17" s="15">
        <v>0</v>
      </c>
      <c r="FJ17" s="15">
        <v>0</v>
      </c>
      <c r="FK17" s="17">
        <v>0</v>
      </c>
      <c r="FL17" s="15">
        <v>0</v>
      </c>
      <c r="FM17" s="15">
        <v>0</v>
      </c>
      <c r="FN17" s="17">
        <v>0</v>
      </c>
      <c r="FO17" s="640"/>
      <c r="FP17" s="531"/>
      <c r="FQ17" s="531"/>
      <c r="FR17" s="531"/>
      <c r="FS17" s="531"/>
      <c r="FT17" s="531"/>
      <c r="FU17" s="640"/>
      <c r="FV17" s="531"/>
      <c r="FW17" s="531"/>
      <c r="FX17" s="531"/>
      <c r="FY17" s="531"/>
      <c r="FZ17" s="531"/>
    </row>
    <row r="18" spans="1:182" ht="12.75">
      <c r="A18" s="49">
        <v>43849</v>
      </c>
      <c r="B18" s="306">
        <f t="shared" ref="B18:D18" si="13">SUM(I18,AM18)</f>
        <v>0</v>
      </c>
      <c r="C18" s="306">
        <f t="shared" si="13"/>
        <v>0</v>
      </c>
      <c r="D18" s="306">
        <f t="shared" si="13"/>
        <v>0</v>
      </c>
      <c r="E18" s="326">
        <f t="shared" si="1"/>
        <v>0</v>
      </c>
      <c r="F18" s="50">
        <v>0</v>
      </c>
      <c r="G18" s="50">
        <v>0</v>
      </c>
      <c r="H18" s="52">
        <v>0</v>
      </c>
      <c r="I18" s="50">
        <v>0</v>
      </c>
      <c r="J18" s="50">
        <v>0</v>
      </c>
      <c r="K18" s="52">
        <v>0</v>
      </c>
      <c r="L18" s="50">
        <v>0</v>
      </c>
      <c r="M18" s="50">
        <v>0</v>
      </c>
      <c r="N18" s="52">
        <v>0</v>
      </c>
      <c r="O18" s="50">
        <v>0</v>
      </c>
      <c r="P18" s="50">
        <v>0</v>
      </c>
      <c r="Q18" s="52">
        <v>0</v>
      </c>
      <c r="R18" s="50">
        <v>0</v>
      </c>
      <c r="S18" s="50">
        <v>0</v>
      </c>
      <c r="T18" s="52">
        <v>0</v>
      </c>
      <c r="U18" s="50">
        <v>0</v>
      </c>
      <c r="V18" s="50">
        <v>0</v>
      </c>
      <c r="W18" s="52">
        <v>0</v>
      </c>
      <c r="X18" s="50">
        <v>0</v>
      </c>
      <c r="Y18" s="50">
        <v>0</v>
      </c>
      <c r="Z18" s="52">
        <v>0</v>
      </c>
      <c r="AA18" s="50">
        <v>0</v>
      </c>
      <c r="AB18" s="50">
        <v>0</v>
      </c>
      <c r="AC18" s="52">
        <v>0</v>
      </c>
      <c r="AD18" s="50">
        <v>0</v>
      </c>
      <c r="AE18" s="50">
        <v>0</v>
      </c>
      <c r="AF18" s="52">
        <v>0</v>
      </c>
      <c r="AG18" s="50">
        <v>0</v>
      </c>
      <c r="AH18" s="50">
        <v>0</v>
      </c>
      <c r="AI18" s="52">
        <v>0</v>
      </c>
      <c r="AJ18" s="50">
        <v>0</v>
      </c>
      <c r="AK18" s="50">
        <v>0</v>
      </c>
      <c r="AL18" s="52">
        <v>0</v>
      </c>
      <c r="AM18" s="50">
        <v>0</v>
      </c>
      <c r="AN18" s="50">
        <v>0</v>
      </c>
      <c r="AO18" s="52">
        <v>0</v>
      </c>
      <c r="AP18" s="50">
        <v>0</v>
      </c>
      <c r="AQ18" s="50">
        <v>0</v>
      </c>
      <c r="AR18" s="52">
        <v>0</v>
      </c>
      <c r="AS18" s="50">
        <v>0</v>
      </c>
      <c r="AT18" s="50">
        <v>0</v>
      </c>
      <c r="AU18" s="52">
        <v>0</v>
      </c>
      <c r="AV18" s="50">
        <v>0</v>
      </c>
      <c r="AW18" s="50">
        <v>0</v>
      </c>
      <c r="AX18" s="52">
        <v>0</v>
      </c>
      <c r="AY18" s="50">
        <v>0</v>
      </c>
      <c r="AZ18" s="50">
        <v>0</v>
      </c>
      <c r="BA18" s="52">
        <v>0</v>
      </c>
      <c r="BB18" s="50">
        <v>0</v>
      </c>
      <c r="BC18" s="50">
        <v>0</v>
      </c>
      <c r="BD18" s="52">
        <v>0</v>
      </c>
      <c r="BE18" s="50">
        <v>0</v>
      </c>
      <c r="BF18" s="50">
        <v>0</v>
      </c>
      <c r="BG18" s="52">
        <v>0</v>
      </c>
      <c r="BH18" s="50">
        <v>0</v>
      </c>
      <c r="BI18" s="50">
        <v>0</v>
      </c>
      <c r="BJ18" s="52">
        <v>0</v>
      </c>
      <c r="BK18" s="50">
        <v>0</v>
      </c>
      <c r="BL18" s="50">
        <v>0</v>
      </c>
      <c r="BM18" s="52">
        <v>0</v>
      </c>
      <c r="BN18" s="50">
        <v>0</v>
      </c>
      <c r="BO18" s="50">
        <v>0</v>
      </c>
      <c r="BP18" s="52">
        <v>0</v>
      </c>
      <c r="BQ18" s="50">
        <v>0</v>
      </c>
      <c r="BR18" s="50">
        <v>0</v>
      </c>
      <c r="BS18" s="52">
        <v>0</v>
      </c>
      <c r="BT18" s="50">
        <v>0</v>
      </c>
      <c r="BU18" s="50">
        <v>0</v>
      </c>
      <c r="BV18" s="52">
        <v>0</v>
      </c>
      <c r="BW18" s="50">
        <v>0</v>
      </c>
      <c r="BX18" s="50">
        <v>0</v>
      </c>
      <c r="BY18" s="52">
        <v>0</v>
      </c>
      <c r="BZ18" s="50">
        <v>0</v>
      </c>
      <c r="CA18" s="50">
        <v>0</v>
      </c>
      <c r="CB18" s="52">
        <v>0</v>
      </c>
      <c r="CC18" s="50">
        <v>0</v>
      </c>
      <c r="CD18" s="50">
        <v>0</v>
      </c>
      <c r="CE18" s="52">
        <v>0</v>
      </c>
      <c r="CF18" s="50">
        <v>0</v>
      </c>
      <c r="CG18" s="50">
        <v>0</v>
      </c>
      <c r="CH18" s="52">
        <v>0</v>
      </c>
      <c r="CI18" s="50">
        <v>0</v>
      </c>
      <c r="CJ18" s="50">
        <v>0</v>
      </c>
      <c r="CK18" s="52">
        <v>0</v>
      </c>
      <c r="CL18" s="50">
        <v>0</v>
      </c>
      <c r="CM18" s="50">
        <v>0</v>
      </c>
      <c r="CN18" s="52">
        <v>0</v>
      </c>
      <c r="CO18" s="50">
        <v>0</v>
      </c>
      <c r="CP18" s="50">
        <v>0</v>
      </c>
      <c r="CQ18" s="52">
        <v>0</v>
      </c>
      <c r="CR18" s="50">
        <v>0</v>
      </c>
      <c r="CS18" s="50">
        <v>0</v>
      </c>
      <c r="CT18" s="52">
        <v>0</v>
      </c>
      <c r="CU18" s="50">
        <v>0</v>
      </c>
      <c r="CV18" s="50">
        <v>0</v>
      </c>
      <c r="CW18" s="52">
        <v>0</v>
      </c>
      <c r="CX18" s="50">
        <v>0</v>
      </c>
      <c r="CY18" s="50">
        <v>0</v>
      </c>
      <c r="CZ18" s="52">
        <v>0</v>
      </c>
      <c r="DA18" s="50">
        <v>0</v>
      </c>
      <c r="DB18" s="50">
        <v>0</v>
      </c>
      <c r="DC18" s="52">
        <v>0</v>
      </c>
      <c r="DD18" s="50">
        <v>0</v>
      </c>
      <c r="DE18" s="50">
        <v>0</v>
      </c>
      <c r="DF18" s="52">
        <v>0</v>
      </c>
      <c r="DG18" s="50">
        <v>0</v>
      </c>
      <c r="DH18" s="50">
        <v>0</v>
      </c>
      <c r="DI18" s="52">
        <v>0</v>
      </c>
      <c r="DJ18" s="50">
        <v>0</v>
      </c>
      <c r="DK18" s="50">
        <v>0</v>
      </c>
      <c r="DL18" s="52">
        <v>0</v>
      </c>
      <c r="DM18" s="50">
        <v>0</v>
      </c>
      <c r="DN18" s="50">
        <v>0</v>
      </c>
      <c r="DO18" s="52">
        <v>0</v>
      </c>
      <c r="DP18" s="50">
        <v>0</v>
      </c>
      <c r="DQ18" s="50">
        <v>0</v>
      </c>
      <c r="DR18" s="52">
        <v>0</v>
      </c>
      <c r="DS18" s="50">
        <v>0</v>
      </c>
      <c r="DT18" s="50">
        <v>0</v>
      </c>
      <c r="DU18" s="52">
        <v>0</v>
      </c>
      <c r="DV18" s="50">
        <v>0</v>
      </c>
      <c r="DW18" s="50">
        <v>0</v>
      </c>
      <c r="DX18" s="52">
        <v>0</v>
      </c>
      <c r="DY18" s="50">
        <v>0</v>
      </c>
      <c r="DZ18" s="50">
        <v>0</v>
      </c>
      <c r="EA18" s="52">
        <v>0</v>
      </c>
      <c r="EB18" s="50">
        <v>0</v>
      </c>
      <c r="EC18" s="50">
        <v>0</v>
      </c>
      <c r="ED18" s="52">
        <v>0</v>
      </c>
      <c r="EE18" s="50">
        <v>0</v>
      </c>
      <c r="EF18" s="50">
        <v>0</v>
      </c>
      <c r="EG18" s="52">
        <v>0</v>
      </c>
      <c r="EH18" s="50">
        <v>0</v>
      </c>
      <c r="EI18" s="50">
        <v>0</v>
      </c>
      <c r="EJ18" s="52">
        <v>0</v>
      </c>
      <c r="EK18" s="50">
        <v>0</v>
      </c>
      <c r="EL18" s="50">
        <v>0</v>
      </c>
      <c r="EM18" s="52">
        <v>0</v>
      </c>
      <c r="EN18" s="50">
        <v>0</v>
      </c>
      <c r="EO18" s="50">
        <v>0</v>
      </c>
      <c r="EP18" s="52">
        <v>0</v>
      </c>
      <c r="EQ18" s="50">
        <v>0</v>
      </c>
      <c r="ER18" s="50">
        <v>0</v>
      </c>
      <c r="ES18" s="52">
        <v>0</v>
      </c>
      <c r="ET18" s="50">
        <v>0</v>
      </c>
      <c r="EU18" s="50">
        <v>0</v>
      </c>
      <c r="EV18" s="52">
        <v>0</v>
      </c>
      <c r="EW18" s="50">
        <v>0</v>
      </c>
      <c r="EX18" s="50">
        <v>0</v>
      </c>
      <c r="EY18" s="52">
        <v>0</v>
      </c>
      <c r="EZ18" s="50">
        <v>0</v>
      </c>
      <c r="FA18" s="50">
        <v>0</v>
      </c>
      <c r="FB18" s="52">
        <v>0</v>
      </c>
      <c r="FC18" s="50">
        <v>0</v>
      </c>
      <c r="FD18" s="50">
        <v>0</v>
      </c>
      <c r="FE18" s="52">
        <v>0</v>
      </c>
      <c r="FF18" s="50">
        <v>0</v>
      </c>
      <c r="FG18" s="50">
        <v>0</v>
      </c>
      <c r="FH18" s="52">
        <v>0</v>
      </c>
      <c r="FI18" s="50">
        <v>0</v>
      </c>
      <c r="FJ18" s="50">
        <v>0</v>
      </c>
      <c r="FK18" s="52">
        <v>0</v>
      </c>
      <c r="FL18" s="50">
        <v>0</v>
      </c>
      <c r="FM18" s="50">
        <v>0</v>
      </c>
      <c r="FN18" s="52">
        <v>0</v>
      </c>
      <c r="FO18" s="640"/>
      <c r="FP18" s="531"/>
      <c r="FQ18" s="531"/>
      <c r="FR18" s="531"/>
      <c r="FS18" s="531"/>
      <c r="FT18" s="531"/>
      <c r="FU18" s="640"/>
      <c r="FV18" s="531"/>
      <c r="FW18" s="531"/>
      <c r="FX18" s="531"/>
      <c r="FY18" s="531"/>
      <c r="FZ18" s="531"/>
    </row>
    <row r="19" spans="1:182" ht="12.75">
      <c r="A19" s="40">
        <v>43850</v>
      </c>
      <c r="B19" s="50">
        <f t="shared" ref="B19:D19" si="14">SUM(I19,AM19)</f>
        <v>0</v>
      </c>
      <c r="C19" s="50">
        <f t="shared" si="14"/>
        <v>0</v>
      </c>
      <c r="D19" s="50">
        <f t="shared" si="14"/>
        <v>0</v>
      </c>
      <c r="E19" s="154">
        <f t="shared" si="1"/>
        <v>0</v>
      </c>
      <c r="F19" s="18">
        <v>0</v>
      </c>
      <c r="G19" s="18">
        <v>0</v>
      </c>
      <c r="H19" s="317">
        <v>0</v>
      </c>
      <c r="I19" s="18">
        <v>0</v>
      </c>
      <c r="J19" s="18">
        <v>0</v>
      </c>
      <c r="K19" s="317">
        <v>0</v>
      </c>
      <c r="L19" s="18">
        <v>0</v>
      </c>
      <c r="M19" s="18">
        <v>0</v>
      </c>
      <c r="N19" s="317">
        <v>0</v>
      </c>
      <c r="O19" s="18">
        <v>0</v>
      </c>
      <c r="P19" s="18">
        <v>0</v>
      </c>
      <c r="Q19" s="317">
        <v>0</v>
      </c>
      <c r="R19" s="18">
        <v>0</v>
      </c>
      <c r="S19" s="18">
        <v>0</v>
      </c>
      <c r="T19" s="317">
        <v>0</v>
      </c>
      <c r="U19" s="18">
        <v>0</v>
      </c>
      <c r="V19" s="18">
        <v>0</v>
      </c>
      <c r="W19" s="317">
        <v>0</v>
      </c>
      <c r="X19" s="18">
        <v>0</v>
      </c>
      <c r="Y19" s="18">
        <v>0</v>
      </c>
      <c r="Z19" s="317">
        <v>0</v>
      </c>
      <c r="AA19" s="18">
        <v>0</v>
      </c>
      <c r="AB19" s="18">
        <v>0</v>
      </c>
      <c r="AC19" s="317">
        <v>0</v>
      </c>
      <c r="AD19" s="18">
        <v>0</v>
      </c>
      <c r="AE19" s="18">
        <v>0</v>
      </c>
      <c r="AF19" s="317">
        <v>0</v>
      </c>
      <c r="AG19" s="18">
        <v>0</v>
      </c>
      <c r="AH19" s="18">
        <v>0</v>
      </c>
      <c r="AI19" s="317">
        <v>0</v>
      </c>
      <c r="AJ19" s="18">
        <v>0</v>
      </c>
      <c r="AK19" s="18">
        <v>0</v>
      </c>
      <c r="AL19" s="317">
        <v>0</v>
      </c>
      <c r="AM19" s="18">
        <v>0</v>
      </c>
      <c r="AN19" s="18">
        <v>0</v>
      </c>
      <c r="AO19" s="317">
        <v>0</v>
      </c>
      <c r="AP19" s="18">
        <v>0</v>
      </c>
      <c r="AQ19" s="18">
        <v>0</v>
      </c>
      <c r="AR19" s="317">
        <v>0</v>
      </c>
      <c r="AS19" s="18">
        <v>0</v>
      </c>
      <c r="AT19" s="18">
        <v>0</v>
      </c>
      <c r="AU19" s="317">
        <v>0</v>
      </c>
      <c r="AV19" s="18">
        <v>0</v>
      </c>
      <c r="AW19" s="18">
        <v>0</v>
      </c>
      <c r="AX19" s="317">
        <v>0</v>
      </c>
      <c r="AY19" s="18">
        <v>0</v>
      </c>
      <c r="AZ19" s="18">
        <v>0</v>
      </c>
      <c r="BA19" s="317">
        <v>0</v>
      </c>
      <c r="BB19" s="18">
        <v>0</v>
      </c>
      <c r="BC19" s="18">
        <v>0</v>
      </c>
      <c r="BD19" s="317">
        <v>0</v>
      </c>
      <c r="BE19" s="18">
        <v>0</v>
      </c>
      <c r="BF19" s="18">
        <v>0</v>
      </c>
      <c r="BG19" s="317">
        <v>0</v>
      </c>
      <c r="BH19" s="18">
        <v>0</v>
      </c>
      <c r="BI19" s="18">
        <v>0</v>
      </c>
      <c r="BJ19" s="317">
        <v>0</v>
      </c>
      <c r="BK19" s="18">
        <v>0</v>
      </c>
      <c r="BL19" s="18">
        <v>0</v>
      </c>
      <c r="BM19" s="317">
        <v>0</v>
      </c>
      <c r="BN19" s="18">
        <v>0</v>
      </c>
      <c r="BO19" s="18">
        <v>0</v>
      </c>
      <c r="BP19" s="317">
        <v>0</v>
      </c>
      <c r="BQ19" s="18">
        <v>0</v>
      </c>
      <c r="BR19" s="18">
        <v>0</v>
      </c>
      <c r="BS19" s="317">
        <v>0</v>
      </c>
      <c r="BT19" s="18">
        <v>0</v>
      </c>
      <c r="BU19" s="18">
        <v>0</v>
      </c>
      <c r="BV19" s="317">
        <v>0</v>
      </c>
      <c r="BW19" s="18">
        <v>0</v>
      </c>
      <c r="BX19" s="18">
        <v>0</v>
      </c>
      <c r="BY19" s="317">
        <v>0</v>
      </c>
      <c r="BZ19" s="18">
        <v>0</v>
      </c>
      <c r="CA19" s="18">
        <v>0</v>
      </c>
      <c r="CB19" s="317">
        <v>0</v>
      </c>
      <c r="CC19" s="18">
        <v>0</v>
      </c>
      <c r="CD19" s="18">
        <v>0</v>
      </c>
      <c r="CE19" s="317">
        <v>0</v>
      </c>
      <c r="CF19" s="18">
        <v>0</v>
      </c>
      <c r="CG19" s="18">
        <v>0</v>
      </c>
      <c r="CH19" s="317">
        <v>0</v>
      </c>
      <c r="CI19" s="18">
        <v>0</v>
      </c>
      <c r="CJ19" s="18">
        <v>0</v>
      </c>
      <c r="CK19" s="317">
        <v>0</v>
      </c>
      <c r="CL19" s="18">
        <v>0</v>
      </c>
      <c r="CM19" s="18">
        <v>0</v>
      </c>
      <c r="CN19" s="317">
        <v>0</v>
      </c>
      <c r="CO19" s="18">
        <v>0</v>
      </c>
      <c r="CP19" s="18">
        <v>0</v>
      </c>
      <c r="CQ19" s="317">
        <v>0</v>
      </c>
      <c r="CR19" s="18">
        <v>0</v>
      </c>
      <c r="CS19" s="18">
        <v>0</v>
      </c>
      <c r="CT19" s="317">
        <v>0</v>
      </c>
      <c r="CU19" s="18">
        <v>0</v>
      </c>
      <c r="CV19" s="18">
        <v>0</v>
      </c>
      <c r="CW19" s="317">
        <v>0</v>
      </c>
      <c r="CX19" s="18">
        <v>0</v>
      </c>
      <c r="CY19" s="18">
        <v>0</v>
      </c>
      <c r="CZ19" s="317">
        <v>0</v>
      </c>
      <c r="DA19" s="18">
        <v>0</v>
      </c>
      <c r="DB19" s="18">
        <v>0</v>
      </c>
      <c r="DC19" s="317">
        <v>0</v>
      </c>
      <c r="DD19" s="18">
        <v>0</v>
      </c>
      <c r="DE19" s="18">
        <v>0</v>
      </c>
      <c r="DF19" s="317">
        <v>0</v>
      </c>
      <c r="DG19" s="18">
        <v>0</v>
      </c>
      <c r="DH19" s="18">
        <v>0</v>
      </c>
      <c r="DI19" s="317">
        <v>0</v>
      </c>
      <c r="DJ19" s="18">
        <v>0</v>
      </c>
      <c r="DK19" s="18">
        <v>0</v>
      </c>
      <c r="DL19" s="317">
        <v>0</v>
      </c>
      <c r="DM19" s="18">
        <v>0</v>
      </c>
      <c r="DN19" s="18">
        <v>0</v>
      </c>
      <c r="DO19" s="317">
        <v>0</v>
      </c>
      <c r="DP19" s="18">
        <v>0</v>
      </c>
      <c r="DQ19" s="18">
        <v>0</v>
      </c>
      <c r="DR19" s="317">
        <v>0</v>
      </c>
      <c r="DS19" s="18">
        <v>0</v>
      </c>
      <c r="DT19" s="18">
        <v>0</v>
      </c>
      <c r="DU19" s="317">
        <v>0</v>
      </c>
      <c r="DV19" s="18">
        <v>0</v>
      </c>
      <c r="DW19" s="18">
        <v>0</v>
      </c>
      <c r="DX19" s="317">
        <v>0</v>
      </c>
      <c r="DY19" s="18">
        <v>0</v>
      </c>
      <c r="DZ19" s="18">
        <v>0</v>
      </c>
      <c r="EA19" s="317">
        <v>0</v>
      </c>
      <c r="EB19" s="18">
        <v>0</v>
      </c>
      <c r="EC19" s="18">
        <v>0</v>
      </c>
      <c r="ED19" s="317">
        <v>0</v>
      </c>
      <c r="EE19" s="18">
        <v>0</v>
      </c>
      <c r="EF19" s="18">
        <v>0</v>
      </c>
      <c r="EG19" s="317">
        <v>0</v>
      </c>
      <c r="EH19" s="18">
        <v>0</v>
      </c>
      <c r="EI19" s="18">
        <v>0</v>
      </c>
      <c r="EJ19" s="317">
        <v>0</v>
      </c>
      <c r="EK19" s="18">
        <v>0</v>
      </c>
      <c r="EL19" s="18">
        <v>0</v>
      </c>
      <c r="EM19" s="317">
        <v>0</v>
      </c>
      <c r="EN19" s="18">
        <v>0</v>
      </c>
      <c r="EO19" s="18">
        <v>0</v>
      </c>
      <c r="EP19" s="317">
        <v>0</v>
      </c>
      <c r="EQ19" s="18">
        <v>0</v>
      </c>
      <c r="ER19" s="18">
        <v>0</v>
      </c>
      <c r="ES19" s="317">
        <v>0</v>
      </c>
      <c r="ET19" s="18">
        <v>0</v>
      </c>
      <c r="EU19" s="18">
        <v>0</v>
      </c>
      <c r="EV19" s="317">
        <v>0</v>
      </c>
      <c r="EW19" s="18">
        <v>0</v>
      </c>
      <c r="EX19" s="18">
        <v>0</v>
      </c>
      <c r="EY19" s="317">
        <v>0</v>
      </c>
      <c r="EZ19" s="18">
        <v>0</v>
      </c>
      <c r="FA19" s="18">
        <v>0</v>
      </c>
      <c r="FB19" s="317">
        <v>0</v>
      </c>
      <c r="FC19" s="18">
        <v>0</v>
      </c>
      <c r="FD19" s="18">
        <v>0</v>
      </c>
      <c r="FE19" s="317">
        <v>0</v>
      </c>
      <c r="FF19" s="18">
        <v>0</v>
      </c>
      <c r="FG19" s="18">
        <v>0</v>
      </c>
      <c r="FH19" s="317">
        <v>0</v>
      </c>
      <c r="FI19" s="18">
        <v>0</v>
      </c>
      <c r="FJ19" s="18">
        <v>0</v>
      </c>
      <c r="FK19" s="317">
        <v>0</v>
      </c>
      <c r="FL19" s="18">
        <v>0</v>
      </c>
      <c r="FM19" s="18">
        <v>0</v>
      </c>
      <c r="FN19" s="317">
        <v>0</v>
      </c>
      <c r="FO19" s="640"/>
      <c r="FP19" s="531"/>
      <c r="FQ19" s="531"/>
      <c r="FR19" s="531"/>
      <c r="FS19" s="531"/>
      <c r="FT19" s="531"/>
      <c r="FU19" s="640"/>
      <c r="FV19" s="531"/>
      <c r="FW19" s="531"/>
      <c r="FX19" s="531"/>
      <c r="FY19" s="531"/>
      <c r="FZ19" s="531"/>
    </row>
    <row r="20" spans="1:182" ht="12.75">
      <c r="A20" s="40">
        <v>43851</v>
      </c>
      <c r="B20" s="50">
        <f t="shared" ref="B20:D20" si="15">SUM(I20,AM20)</f>
        <v>0</v>
      </c>
      <c r="C20" s="50">
        <f t="shared" si="15"/>
        <v>0</v>
      </c>
      <c r="D20" s="50">
        <f t="shared" si="15"/>
        <v>0</v>
      </c>
      <c r="E20" s="154">
        <f t="shared" si="1"/>
        <v>0</v>
      </c>
      <c r="F20" s="15">
        <v>0</v>
      </c>
      <c r="G20" s="15">
        <v>0</v>
      </c>
      <c r="H20" s="17">
        <v>0</v>
      </c>
      <c r="I20" s="15">
        <v>0</v>
      </c>
      <c r="J20" s="15">
        <v>0</v>
      </c>
      <c r="K20" s="17">
        <v>0</v>
      </c>
      <c r="L20" s="15">
        <v>0</v>
      </c>
      <c r="M20" s="15">
        <v>0</v>
      </c>
      <c r="N20" s="17">
        <v>0</v>
      </c>
      <c r="O20" s="15">
        <v>0</v>
      </c>
      <c r="P20" s="15">
        <v>0</v>
      </c>
      <c r="Q20" s="17">
        <v>0</v>
      </c>
      <c r="R20" s="15">
        <v>0</v>
      </c>
      <c r="S20" s="15">
        <v>0</v>
      </c>
      <c r="T20" s="17">
        <v>0</v>
      </c>
      <c r="U20" s="15">
        <v>0</v>
      </c>
      <c r="V20" s="15">
        <v>0</v>
      </c>
      <c r="W20" s="17">
        <v>0</v>
      </c>
      <c r="X20" s="15">
        <v>0</v>
      </c>
      <c r="Y20" s="15">
        <v>0</v>
      </c>
      <c r="Z20" s="17">
        <v>0</v>
      </c>
      <c r="AA20" s="15">
        <v>0</v>
      </c>
      <c r="AB20" s="15">
        <v>0</v>
      </c>
      <c r="AC20" s="17">
        <v>0</v>
      </c>
      <c r="AD20" s="15">
        <v>0</v>
      </c>
      <c r="AE20" s="15">
        <v>0</v>
      </c>
      <c r="AF20" s="17">
        <v>0</v>
      </c>
      <c r="AG20" s="15">
        <v>0</v>
      </c>
      <c r="AH20" s="15">
        <v>0</v>
      </c>
      <c r="AI20" s="17">
        <v>0</v>
      </c>
      <c r="AJ20" s="15">
        <v>0</v>
      </c>
      <c r="AK20" s="15">
        <v>0</v>
      </c>
      <c r="AL20" s="17">
        <v>0</v>
      </c>
      <c r="AM20" s="15">
        <v>0</v>
      </c>
      <c r="AN20" s="15">
        <v>0</v>
      </c>
      <c r="AO20" s="17">
        <v>0</v>
      </c>
      <c r="AP20" s="15">
        <v>0</v>
      </c>
      <c r="AQ20" s="15">
        <v>0</v>
      </c>
      <c r="AR20" s="17">
        <v>0</v>
      </c>
      <c r="AS20" s="15">
        <v>0</v>
      </c>
      <c r="AT20" s="15">
        <v>0</v>
      </c>
      <c r="AU20" s="17">
        <v>0</v>
      </c>
      <c r="AV20" s="15">
        <v>0</v>
      </c>
      <c r="AW20" s="15">
        <v>0</v>
      </c>
      <c r="AX20" s="17">
        <v>0</v>
      </c>
      <c r="AY20" s="15">
        <v>0</v>
      </c>
      <c r="AZ20" s="15">
        <v>0</v>
      </c>
      <c r="BA20" s="17">
        <v>0</v>
      </c>
      <c r="BB20" s="15">
        <v>0</v>
      </c>
      <c r="BC20" s="15">
        <v>0</v>
      </c>
      <c r="BD20" s="17">
        <v>0</v>
      </c>
      <c r="BE20" s="15">
        <v>0</v>
      </c>
      <c r="BF20" s="15">
        <v>0</v>
      </c>
      <c r="BG20" s="17">
        <v>0</v>
      </c>
      <c r="BH20" s="15">
        <v>0</v>
      </c>
      <c r="BI20" s="15">
        <v>0</v>
      </c>
      <c r="BJ20" s="17">
        <v>0</v>
      </c>
      <c r="BK20" s="15">
        <v>0</v>
      </c>
      <c r="BL20" s="15">
        <v>0</v>
      </c>
      <c r="BM20" s="17">
        <v>0</v>
      </c>
      <c r="BN20" s="15">
        <v>0</v>
      </c>
      <c r="BO20" s="15">
        <v>0</v>
      </c>
      <c r="BP20" s="17">
        <v>0</v>
      </c>
      <c r="BQ20" s="15">
        <v>0</v>
      </c>
      <c r="BR20" s="15">
        <v>0</v>
      </c>
      <c r="BS20" s="17">
        <v>0</v>
      </c>
      <c r="BT20" s="15">
        <v>0</v>
      </c>
      <c r="BU20" s="15">
        <v>0</v>
      </c>
      <c r="BV20" s="17">
        <v>0</v>
      </c>
      <c r="BW20" s="15">
        <v>0</v>
      </c>
      <c r="BX20" s="15">
        <v>0</v>
      </c>
      <c r="BY20" s="17">
        <v>0</v>
      </c>
      <c r="BZ20" s="15">
        <v>0</v>
      </c>
      <c r="CA20" s="15">
        <v>0</v>
      </c>
      <c r="CB20" s="17">
        <v>0</v>
      </c>
      <c r="CC20" s="15">
        <v>0</v>
      </c>
      <c r="CD20" s="15">
        <v>0</v>
      </c>
      <c r="CE20" s="17">
        <v>0</v>
      </c>
      <c r="CF20" s="15">
        <v>0</v>
      </c>
      <c r="CG20" s="15">
        <v>0</v>
      </c>
      <c r="CH20" s="17">
        <v>0</v>
      </c>
      <c r="CI20" s="15">
        <v>0</v>
      </c>
      <c r="CJ20" s="15">
        <v>0</v>
      </c>
      <c r="CK20" s="17">
        <v>0</v>
      </c>
      <c r="CL20" s="15">
        <v>0</v>
      </c>
      <c r="CM20" s="15">
        <v>0</v>
      </c>
      <c r="CN20" s="17">
        <v>0</v>
      </c>
      <c r="CO20" s="15">
        <v>0</v>
      </c>
      <c r="CP20" s="15">
        <v>0</v>
      </c>
      <c r="CQ20" s="17">
        <v>0</v>
      </c>
      <c r="CR20" s="15">
        <v>0</v>
      </c>
      <c r="CS20" s="15">
        <v>0</v>
      </c>
      <c r="CT20" s="17">
        <v>0</v>
      </c>
      <c r="CU20" s="15">
        <v>0</v>
      </c>
      <c r="CV20" s="15">
        <v>0</v>
      </c>
      <c r="CW20" s="17">
        <v>0</v>
      </c>
      <c r="CX20" s="15">
        <v>0</v>
      </c>
      <c r="CY20" s="15">
        <v>0</v>
      </c>
      <c r="CZ20" s="17">
        <v>0</v>
      </c>
      <c r="DA20" s="15">
        <v>0</v>
      </c>
      <c r="DB20" s="15">
        <v>0</v>
      </c>
      <c r="DC20" s="17">
        <v>0</v>
      </c>
      <c r="DD20" s="15">
        <v>0</v>
      </c>
      <c r="DE20" s="15">
        <v>0</v>
      </c>
      <c r="DF20" s="17">
        <v>0</v>
      </c>
      <c r="DG20" s="15">
        <v>0</v>
      </c>
      <c r="DH20" s="15">
        <v>0</v>
      </c>
      <c r="DI20" s="17">
        <v>0</v>
      </c>
      <c r="DJ20" s="15">
        <v>0</v>
      </c>
      <c r="DK20" s="15">
        <v>0</v>
      </c>
      <c r="DL20" s="17">
        <v>0</v>
      </c>
      <c r="DM20" s="15">
        <v>0</v>
      </c>
      <c r="DN20" s="15">
        <v>0</v>
      </c>
      <c r="DO20" s="17">
        <v>0</v>
      </c>
      <c r="DP20" s="15">
        <v>0</v>
      </c>
      <c r="DQ20" s="15">
        <v>0</v>
      </c>
      <c r="DR20" s="17">
        <v>0</v>
      </c>
      <c r="DS20" s="15">
        <v>0</v>
      </c>
      <c r="DT20" s="15">
        <v>0</v>
      </c>
      <c r="DU20" s="17">
        <v>0</v>
      </c>
      <c r="DV20" s="15">
        <v>0</v>
      </c>
      <c r="DW20" s="15">
        <v>0</v>
      </c>
      <c r="DX20" s="17">
        <v>0</v>
      </c>
      <c r="DY20" s="15">
        <v>0</v>
      </c>
      <c r="DZ20" s="15">
        <v>0</v>
      </c>
      <c r="EA20" s="17">
        <v>0</v>
      </c>
      <c r="EB20" s="15">
        <v>0</v>
      </c>
      <c r="EC20" s="15">
        <v>0</v>
      </c>
      <c r="ED20" s="17">
        <v>0</v>
      </c>
      <c r="EE20" s="15">
        <v>0</v>
      </c>
      <c r="EF20" s="15">
        <v>0</v>
      </c>
      <c r="EG20" s="17">
        <v>0</v>
      </c>
      <c r="EH20" s="15">
        <v>0</v>
      </c>
      <c r="EI20" s="15">
        <v>0</v>
      </c>
      <c r="EJ20" s="17">
        <v>0</v>
      </c>
      <c r="EK20" s="15">
        <v>0</v>
      </c>
      <c r="EL20" s="15">
        <v>0</v>
      </c>
      <c r="EM20" s="17">
        <v>0</v>
      </c>
      <c r="EN20" s="15">
        <v>0</v>
      </c>
      <c r="EO20" s="15">
        <v>0</v>
      </c>
      <c r="EP20" s="17">
        <v>0</v>
      </c>
      <c r="EQ20" s="15">
        <v>0</v>
      </c>
      <c r="ER20" s="15">
        <v>0</v>
      </c>
      <c r="ES20" s="17">
        <v>0</v>
      </c>
      <c r="ET20" s="15">
        <v>0</v>
      </c>
      <c r="EU20" s="15">
        <v>0</v>
      </c>
      <c r="EV20" s="17">
        <v>0</v>
      </c>
      <c r="EW20" s="15">
        <v>0</v>
      </c>
      <c r="EX20" s="15">
        <v>0</v>
      </c>
      <c r="EY20" s="17">
        <v>0</v>
      </c>
      <c r="EZ20" s="15">
        <v>0</v>
      </c>
      <c r="FA20" s="15">
        <v>0</v>
      </c>
      <c r="FB20" s="17">
        <v>0</v>
      </c>
      <c r="FC20" s="15">
        <v>0</v>
      </c>
      <c r="FD20" s="15">
        <v>0</v>
      </c>
      <c r="FE20" s="17">
        <v>0</v>
      </c>
      <c r="FF20" s="15">
        <v>0</v>
      </c>
      <c r="FG20" s="15">
        <v>0</v>
      </c>
      <c r="FH20" s="17">
        <v>0</v>
      </c>
      <c r="FI20" s="15">
        <v>0</v>
      </c>
      <c r="FJ20" s="15">
        <v>0</v>
      </c>
      <c r="FK20" s="17">
        <v>0</v>
      </c>
      <c r="FL20" s="15">
        <v>0</v>
      </c>
      <c r="FM20" s="15">
        <v>0</v>
      </c>
      <c r="FN20" s="17">
        <v>0</v>
      </c>
      <c r="FO20" s="640"/>
      <c r="FP20" s="531"/>
      <c r="FQ20" s="531"/>
      <c r="FR20" s="531"/>
      <c r="FS20" s="531"/>
      <c r="FT20" s="531"/>
      <c r="FU20" s="640"/>
      <c r="FV20" s="531"/>
      <c r="FW20" s="531"/>
      <c r="FX20" s="531"/>
      <c r="FY20" s="531"/>
      <c r="FZ20" s="531"/>
    </row>
    <row r="21" spans="1:182" ht="12.75">
      <c r="A21" s="40">
        <v>43852</v>
      </c>
      <c r="B21" s="50">
        <f t="shared" ref="B21:D21" si="16">SUM(I21,AM21)</f>
        <v>0</v>
      </c>
      <c r="C21" s="50">
        <f t="shared" si="16"/>
        <v>0</v>
      </c>
      <c r="D21" s="50">
        <f t="shared" si="16"/>
        <v>0</v>
      </c>
      <c r="E21" s="154">
        <f t="shared" si="1"/>
        <v>0</v>
      </c>
      <c r="F21" s="18">
        <v>0</v>
      </c>
      <c r="G21" s="18">
        <v>0</v>
      </c>
      <c r="H21" s="317">
        <v>0</v>
      </c>
      <c r="I21" s="18">
        <v>0</v>
      </c>
      <c r="J21" s="18">
        <v>0</v>
      </c>
      <c r="K21" s="317">
        <v>0</v>
      </c>
      <c r="L21" s="18">
        <v>0</v>
      </c>
      <c r="M21" s="18">
        <v>0</v>
      </c>
      <c r="N21" s="317">
        <v>0</v>
      </c>
      <c r="O21" s="18">
        <v>0</v>
      </c>
      <c r="P21" s="18">
        <v>0</v>
      </c>
      <c r="Q21" s="317">
        <v>0</v>
      </c>
      <c r="R21" s="18">
        <v>0</v>
      </c>
      <c r="S21" s="18">
        <v>0</v>
      </c>
      <c r="T21" s="317">
        <v>0</v>
      </c>
      <c r="U21" s="18">
        <v>0</v>
      </c>
      <c r="V21" s="18">
        <v>0</v>
      </c>
      <c r="W21" s="317">
        <v>0</v>
      </c>
      <c r="X21" s="18">
        <v>0</v>
      </c>
      <c r="Y21" s="18">
        <v>0</v>
      </c>
      <c r="Z21" s="317">
        <v>0</v>
      </c>
      <c r="AA21" s="18">
        <v>0</v>
      </c>
      <c r="AB21" s="18">
        <v>0</v>
      </c>
      <c r="AC21" s="317">
        <v>0</v>
      </c>
      <c r="AD21" s="18">
        <v>0</v>
      </c>
      <c r="AE21" s="18">
        <v>0</v>
      </c>
      <c r="AF21" s="317">
        <v>0</v>
      </c>
      <c r="AG21" s="18">
        <v>0</v>
      </c>
      <c r="AH21" s="18">
        <v>0</v>
      </c>
      <c r="AI21" s="317">
        <v>0</v>
      </c>
      <c r="AJ21" s="18">
        <v>0</v>
      </c>
      <c r="AK21" s="18">
        <v>0</v>
      </c>
      <c r="AL21" s="317">
        <v>0</v>
      </c>
      <c r="AM21" s="18">
        <v>0</v>
      </c>
      <c r="AN21" s="18">
        <v>0</v>
      </c>
      <c r="AO21" s="317">
        <v>0</v>
      </c>
      <c r="AP21" s="18">
        <v>0</v>
      </c>
      <c r="AQ21" s="18">
        <v>0</v>
      </c>
      <c r="AR21" s="317">
        <v>0</v>
      </c>
      <c r="AS21" s="18">
        <v>0</v>
      </c>
      <c r="AT21" s="18">
        <v>0</v>
      </c>
      <c r="AU21" s="317">
        <v>0</v>
      </c>
      <c r="AV21" s="18">
        <v>0</v>
      </c>
      <c r="AW21" s="18">
        <v>0</v>
      </c>
      <c r="AX21" s="317">
        <v>0</v>
      </c>
      <c r="AY21" s="18">
        <v>0</v>
      </c>
      <c r="AZ21" s="18">
        <v>0</v>
      </c>
      <c r="BA21" s="317">
        <v>0</v>
      </c>
      <c r="BB21" s="18">
        <v>0</v>
      </c>
      <c r="BC21" s="18">
        <v>0</v>
      </c>
      <c r="BD21" s="317">
        <v>0</v>
      </c>
      <c r="BE21" s="18">
        <v>0</v>
      </c>
      <c r="BF21" s="18">
        <v>0</v>
      </c>
      <c r="BG21" s="317">
        <v>0</v>
      </c>
      <c r="BH21" s="18">
        <v>0</v>
      </c>
      <c r="BI21" s="18">
        <v>0</v>
      </c>
      <c r="BJ21" s="317">
        <v>0</v>
      </c>
      <c r="BK21" s="18">
        <v>0</v>
      </c>
      <c r="BL21" s="18">
        <v>0</v>
      </c>
      <c r="BM21" s="317">
        <v>0</v>
      </c>
      <c r="BN21" s="18">
        <v>0</v>
      </c>
      <c r="BO21" s="18">
        <v>0</v>
      </c>
      <c r="BP21" s="317">
        <v>0</v>
      </c>
      <c r="BQ21" s="18">
        <v>0</v>
      </c>
      <c r="BR21" s="18">
        <v>0</v>
      </c>
      <c r="BS21" s="317">
        <v>0</v>
      </c>
      <c r="BT21" s="18">
        <v>0</v>
      </c>
      <c r="BU21" s="18">
        <v>0</v>
      </c>
      <c r="BV21" s="317">
        <v>0</v>
      </c>
      <c r="BW21" s="18">
        <v>0</v>
      </c>
      <c r="BX21" s="18">
        <v>0</v>
      </c>
      <c r="BY21" s="317">
        <v>0</v>
      </c>
      <c r="BZ21" s="18">
        <v>0</v>
      </c>
      <c r="CA21" s="18">
        <v>0</v>
      </c>
      <c r="CB21" s="317">
        <v>0</v>
      </c>
      <c r="CC21" s="18">
        <v>0</v>
      </c>
      <c r="CD21" s="18">
        <v>0</v>
      </c>
      <c r="CE21" s="317">
        <v>0</v>
      </c>
      <c r="CF21" s="18">
        <v>0</v>
      </c>
      <c r="CG21" s="18">
        <v>0</v>
      </c>
      <c r="CH21" s="317">
        <v>0</v>
      </c>
      <c r="CI21" s="18">
        <v>0</v>
      </c>
      <c r="CJ21" s="18">
        <v>0</v>
      </c>
      <c r="CK21" s="317">
        <v>0</v>
      </c>
      <c r="CL21" s="18">
        <v>0</v>
      </c>
      <c r="CM21" s="18">
        <v>0</v>
      </c>
      <c r="CN21" s="317">
        <v>0</v>
      </c>
      <c r="CO21" s="18">
        <v>0</v>
      </c>
      <c r="CP21" s="18">
        <v>0</v>
      </c>
      <c r="CQ21" s="317">
        <v>0</v>
      </c>
      <c r="CR21" s="18">
        <v>0</v>
      </c>
      <c r="CS21" s="18">
        <v>0</v>
      </c>
      <c r="CT21" s="317">
        <v>0</v>
      </c>
      <c r="CU21" s="18">
        <v>0</v>
      </c>
      <c r="CV21" s="18">
        <v>0</v>
      </c>
      <c r="CW21" s="317">
        <v>0</v>
      </c>
      <c r="CX21" s="18">
        <v>0</v>
      </c>
      <c r="CY21" s="18">
        <v>0</v>
      </c>
      <c r="CZ21" s="317">
        <v>0</v>
      </c>
      <c r="DA21" s="18">
        <v>0</v>
      </c>
      <c r="DB21" s="18">
        <v>0</v>
      </c>
      <c r="DC21" s="317">
        <v>0</v>
      </c>
      <c r="DD21" s="18">
        <v>0</v>
      </c>
      <c r="DE21" s="18">
        <v>0</v>
      </c>
      <c r="DF21" s="317">
        <v>0</v>
      </c>
      <c r="DG21" s="18">
        <v>0</v>
      </c>
      <c r="DH21" s="18">
        <v>0</v>
      </c>
      <c r="DI21" s="317">
        <v>0</v>
      </c>
      <c r="DJ21" s="18">
        <v>0</v>
      </c>
      <c r="DK21" s="18">
        <v>0</v>
      </c>
      <c r="DL21" s="317">
        <v>0</v>
      </c>
      <c r="DM21" s="18">
        <v>0</v>
      </c>
      <c r="DN21" s="18">
        <v>0</v>
      </c>
      <c r="DO21" s="317">
        <v>0</v>
      </c>
      <c r="DP21" s="18">
        <v>0</v>
      </c>
      <c r="DQ21" s="18">
        <v>0</v>
      </c>
      <c r="DR21" s="317">
        <v>0</v>
      </c>
      <c r="DS21" s="18">
        <v>0</v>
      </c>
      <c r="DT21" s="18">
        <v>0</v>
      </c>
      <c r="DU21" s="317">
        <v>0</v>
      </c>
      <c r="DV21" s="18">
        <v>0</v>
      </c>
      <c r="DW21" s="18">
        <v>0</v>
      </c>
      <c r="DX21" s="317">
        <v>0</v>
      </c>
      <c r="DY21" s="18">
        <v>0</v>
      </c>
      <c r="DZ21" s="18">
        <v>0</v>
      </c>
      <c r="EA21" s="317">
        <v>0</v>
      </c>
      <c r="EB21" s="18">
        <v>0</v>
      </c>
      <c r="EC21" s="18">
        <v>0</v>
      </c>
      <c r="ED21" s="317">
        <v>0</v>
      </c>
      <c r="EE21" s="18">
        <v>0</v>
      </c>
      <c r="EF21" s="18">
        <v>0</v>
      </c>
      <c r="EG21" s="317">
        <v>0</v>
      </c>
      <c r="EH21" s="18">
        <v>0</v>
      </c>
      <c r="EI21" s="18">
        <v>0</v>
      </c>
      <c r="EJ21" s="317">
        <v>0</v>
      </c>
      <c r="EK21" s="18">
        <v>0</v>
      </c>
      <c r="EL21" s="18">
        <v>0</v>
      </c>
      <c r="EM21" s="317">
        <v>0</v>
      </c>
      <c r="EN21" s="18">
        <v>0</v>
      </c>
      <c r="EO21" s="18">
        <v>0</v>
      </c>
      <c r="EP21" s="317">
        <v>0</v>
      </c>
      <c r="EQ21" s="18">
        <v>0</v>
      </c>
      <c r="ER21" s="18">
        <v>0</v>
      </c>
      <c r="ES21" s="317">
        <v>0</v>
      </c>
      <c r="ET21" s="18">
        <v>0</v>
      </c>
      <c r="EU21" s="18">
        <v>0</v>
      </c>
      <c r="EV21" s="317">
        <v>0</v>
      </c>
      <c r="EW21" s="18">
        <v>0</v>
      </c>
      <c r="EX21" s="18">
        <v>0</v>
      </c>
      <c r="EY21" s="317">
        <v>0</v>
      </c>
      <c r="EZ21" s="18">
        <v>0</v>
      </c>
      <c r="FA21" s="18">
        <v>0</v>
      </c>
      <c r="FB21" s="317">
        <v>0</v>
      </c>
      <c r="FC21" s="18">
        <v>0</v>
      </c>
      <c r="FD21" s="18">
        <v>0</v>
      </c>
      <c r="FE21" s="317">
        <v>0</v>
      </c>
      <c r="FF21" s="18">
        <v>0</v>
      </c>
      <c r="FG21" s="18">
        <v>0</v>
      </c>
      <c r="FH21" s="317">
        <v>0</v>
      </c>
      <c r="FI21" s="18">
        <v>0</v>
      </c>
      <c r="FJ21" s="18">
        <v>0</v>
      </c>
      <c r="FK21" s="317">
        <v>0</v>
      </c>
      <c r="FL21" s="18">
        <v>0</v>
      </c>
      <c r="FM21" s="18">
        <v>0</v>
      </c>
      <c r="FN21" s="317">
        <v>0</v>
      </c>
      <c r="FO21" s="640"/>
      <c r="FP21" s="531"/>
      <c r="FQ21" s="531"/>
      <c r="FR21" s="531"/>
      <c r="FS21" s="531"/>
      <c r="FT21" s="531"/>
      <c r="FU21" s="640"/>
      <c r="FV21" s="531"/>
      <c r="FW21" s="531"/>
      <c r="FX21" s="531"/>
      <c r="FY21" s="531"/>
      <c r="FZ21" s="531"/>
    </row>
    <row r="22" spans="1:182" ht="12.75">
      <c r="A22" s="40">
        <v>43853</v>
      </c>
      <c r="B22" s="50">
        <f t="shared" ref="B22:D22" si="17">SUM(I22,AM22)</f>
        <v>0</v>
      </c>
      <c r="C22" s="50">
        <f t="shared" si="17"/>
        <v>0</v>
      </c>
      <c r="D22" s="50">
        <f t="shared" si="17"/>
        <v>0</v>
      </c>
      <c r="E22" s="154">
        <f t="shared" si="1"/>
        <v>0</v>
      </c>
      <c r="F22" s="15">
        <v>0</v>
      </c>
      <c r="G22" s="15">
        <v>0</v>
      </c>
      <c r="H22" s="17">
        <v>0</v>
      </c>
      <c r="I22" s="15">
        <v>0</v>
      </c>
      <c r="J22" s="15">
        <v>0</v>
      </c>
      <c r="K22" s="17">
        <v>0</v>
      </c>
      <c r="L22" s="15">
        <v>0</v>
      </c>
      <c r="M22" s="15">
        <v>0</v>
      </c>
      <c r="N22" s="17">
        <v>0</v>
      </c>
      <c r="O22" s="15">
        <v>0</v>
      </c>
      <c r="P22" s="15">
        <v>0</v>
      </c>
      <c r="Q22" s="17">
        <v>0</v>
      </c>
      <c r="R22" s="15">
        <v>0</v>
      </c>
      <c r="S22" s="15">
        <v>0</v>
      </c>
      <c r="T22" s="17">
        <v>0</v>
      </c>
      <c r="U22" s="15">
        <v>0</v>
      </c>
      <c r="V22" s="15">
        <v>0</v>
      </c>
      <c r="W22" s="17">
        <v>0</v>
      </c>
      <c r="X22" s="15">
        <v>0</v>
      </c>
      <c r="Y22" s="15">
        <v>0</v>
      </c>
      <c r="Z22" s="17">
        <v>0</v>
      </c>
      <c r="AA22" s="15">
        <v>0</v>
      </c>
      <c r="AB22" s="15">
        <v>0</v>
      </c>
      <c r="AC22" s="17">
        <v>0</v>
      </c>
      <c r="AD22" s="15">
        <v>0</v>
      </c>
      <c r="AE22" s="15">
        <v>0</v>
      </c>
      <c r="AF22" s="17">
        <v>0</v>
      </c>
      <c r="AG22" s="15">
        <v>0</v>
      </c>
      <c r="AH22" s="15">
        <v>0</v>
      </c>
      <c r="AI22" s="17">
        <v>0</v>
      </c>
      <c r="AJ22" s="15">
        <v>0</v>
      </c>
      <c r="AK22" s="15">
        <v>0</v>
      </c>
      <c r="AL22" s="17">
        <v>0</v>
      </c>
      <c r="AM22" s="15">
        <v>0</v>
      </c>
      <c r="AN22" s="15">
        <v>0</v>
      </c>
      <c r="AO22" s="17">
        <v>0</v>
      </c>
      <c r="AP22" s="15">
        <v>0</v>
      </c>
      <c r="AQ22" s="15">
        <v>0</v>
      </c>
      <c r="AR22" s="17">
        <v>0</v>
      </c>
      <c r="AS22" s="15">
        <v>0</v>
      </c>
      <c r="AT22" s="15">
        <v>0</v>
      </c>
      <c r="AU22" s="17">
        <v>0</v>
      </c>
      <c r="AV22" s="15">
        <v>0</v>
      </c>
      <c r="AW22" s="15">
        <v>0</v>
      </c>
      <c r="AX22" s="17">
        <v>0</v>
      </c>
      <c r="AY22" s="15">
        <v>0</v>
      </c>
      <c r="AZ22" s="15">
        <v>0</v>
      </c>
      <c r="BA22" s="17">
        <v>0</v>
      </c>
      <c r="BB22" s="15">
        <v>0</v>
      </c>
      <c r="BC22" s="15">
        <v>0</v>
      </c>
      <c r="BD22" s="17">
        <v>0</v>
      </c>
      <c r="BE22" s="15">
        <v>0</v>
      </c>
      <c r="BF22" s="15">
        <v>0</v>
      </c>
      <c r="BG22" s="17">
        <v>0</v>
      </c>
      <c r="BH22" s="15">
        <v>0</v>
      </c>
      <c r="BI22" s="15">
        <v>0</v>
      </c>
      <c r="BJ22" s="17">
        <v>0</v>
      </c>
      <c r="BK22" s="15">
        <v>0</v>
      </c>
      <c r="BL22" s="15">
        <v>0</v>
      </c>
      <c r="BM22" s="17">
        <v>0</v>
      </c>
      <c r="BN22" s="15">
        <v>0</v>
      </c>
      <c r="BO22" s="15">
        <v>0</v>
      </c>
      <c r="BP22" s="17">
        <v>0</v>
      </c>
      <c r="BQ22" s="15">
        <v>0</v>
      </c>
      <c r="BR22" s="15">
        <v>0</v>
      </c>
      <c r="BS22" s="17">
        <v>0</v>
      </c>
      <c r="BT22" s="15">
        <v>0</v>
      </c>
      <c r="BU22" s="15">
        <v>0</v>
      </c>
      <c r="BV22" s="17">
        <v>0</v>
      </c>
      <c r="BW22" s="15">
        <v>0</v>
      </c>
      <c r="BX22" s="15">
        <v>0</v>
      </c>
      <c r="BY22" s="17">
        <v>0</v>
      </c>
      <c r="BZ22" s="15">
        <v>0</v>
      </c>
      <c r="CA22" s="15">
        <v>0</v>
      </c>
      <c r="CB22" s="17">
        <v>0</v>
      </c>
      <c r="CC22" s="15">
        <v>0</v>
      </c>
      <c r="CD22" s="15">
        <v>0</v>
      </c>
      <c r="CE22" s="17">
        <v>0</v>
      </c>
      <c r="CF22" s="15">
        <v>0</v>
      </c>
      <c r="CG22" s="15">
        <v>0</v>
      </c>
      <c r="CH22" s="17">
        <v>0</v>
      </c>
      <c r="CI22" s="15">
        <v>0</v>
      </c>
      <c r="CJ22" s="15">
        <v>0</v>
      </c>
      <c r="CK22" s="17">
        <v>0</v>
      </c>
      <c r="CL22" s="15">
        <v>0</v>
      </c>
      <c r="CM22" s="15">
        <v>0</v>
      </c>
      <c r="CN22" s="17">
        <v>0</v>
      </c>
      <c r="CO22" s="15">
        <v>0</v>
      </c>
      <c r="CP22" s="15">
        <v>0</v>
      </c>
      <c r="CQ22" s="17">
        <v>0</v>
      </c>
      <c r="CR22" s="15">
        <v>0</v>
      </c>
      <c r="CS22" s="15">
        <v>0</v>
      </c>
      <c r="CT22" s="17">
        <v>0</v>
      </c>
      <c r="CU22" s="15">
        <v>0</v>
      </c>
      <c r="CV22" s="15">
        <v>0</v>
      </c>
      <c r="CW22" s="17">
        <v>0</v>
      </c>
      <c r="CX22" s="15">
        <v>0</v>
      </c>
      <c r="CY22" s="15">
        <v>0</v>
      </c>
      <c r="CZ22" s="17">
        <v>0</v>
      </c>
      <c r="DA22" s="15">
        <v>0</v>
      </c>
      <c r="DB22" s="15">
        <v>0</v>
      </c>
      <c r="DC22" s="17">
        <v>0</v>
      </c>
      <c r="DD22" s="15">
        <v>0</v>
      </c>
      <c r="DE22" s="15">
        <v>0</v>
      </c>
      <c r="DF22" s="17">
        <v>0</v>
      </c>
      <c r="DG22" s="15">
        <v>0</v>
      </c>
      <c r="DH22" s="15">
        <v>0</v>
      </c>
      <c r="DI22" s="17">
        <v>0</v>
      </c>
      <c r="DJ22" s="15">
        <v>0</v>
      </c>
      <c r="DK22" s="15">
        <v>0</v>
      </c>
      <c r="DL22" s="17">
        <v>0</v>
      </c>
      <c r="DM22" s="15">
        <v>0</v>
      </c>
      <c r="DN22" s="15">
        <v>0</v>
      </c>
      <c r="DO22" s="17">
        <v>0</v>
      </c>
      <c r="DP22" s="15">
        <v>0</v>
      </c>
      <c r="DQ22" s="15">
        <v>0</v>
      </c>
      <c r="DR22" s="17">
        <v>0</v>
      </c>
      <c r="DS22" s="15">
        <v>0</v>
      </c>
      <c r="DT22" s="15">
        <v>0</v>
      </c>
      <c r="DU22" s="17">
        <v>0</v>
      </c>
      <c r="DV22" s="15">
        <v>0</v>
      </c>
      <c r="DW22" s="15">
        <v>0</v>
      </c>
      <c r="DX22" s="17">
        <v>0</v>
      </c>
      <c r="DY22" s="15">
        <v>0</v>
      </c>
      <c r="DZ22" s="15">
        <v>0</v>
      </c>
      <c r="EA22" s="17">
        <v>0</v>
      </c>
      <c r="EB22" s="15">
        <v>0</v>
      </c>
      <c r="EC22" s="15">
        <v>0</v>
      </c>
      <c r="ED22" s="17">
        <v>0</v>
      </c>
      <c r="EE22" s="15">
        <v>0</v>
      </c>
      <c r="EF22" s="15">
        <v>0</v>
      </c>
      <c r="EG22" s="17">
        <v>0</v>
      </c>
      <c r="EH22" s="15">
        <v>0</v>
      </c>
      <c r="EI22" s="15">
        <v>0</v>
      </c>
      <c r="EJ22" s="17">
        <v>0</v>
      </c>
      <c r="EK22" s="15">
        <v>0</v>
      </c>
      <c r="EL22" s="15">
        <v>0</v>
      </c>
      <c r="EM22" s="17">
        <v>0</v>
      </c>
      <c r="EN22" s="15">
        <v>0</v>
      </c>
      <c r="EO22" s="15">
        <v>0</v>
      </c>
      <c r="EP22" s="17">
        <v>0</v>
      </c>
      <c r="EQ22" s="15">
        <v>0</v>
      </c>
      <c r="ER22" s="15">
        <v>0</v>
      </c>
      <c r="ES22" s="17">
        <v>0</v>
      </c>
      <c r="ET22" s="15">
        <v>0</v>
      </c>
      <c r="EU22" s="15">
        <v>0</v>
      </c>
      <c r="EV22" s="17">
        <v>0</v>
      </c>
      <c r="EW22" s="15">
        <v>0</v>
      </c>
      <c r="EX22" s="15">
        <v>0</v>
      </c>
      <c r="EY22" s="17">
        <v>0</v>
      </c>
      <c r="EZ22" s="15">
        <v>0</v>
      </c>
      <c r="FA22" s="15">
        <v>0</v>
      </c>
      <c r="FB22" s="17">
        <v>0</v>
      </c>
      <c r="FC22" s="15">
        <v>0</v>
      </c>
      <c r="FD22" s="15">
        <v>0</v>
      </c>
      <c r="FE22" s="17">
        <v>0</v>
      </c>
      <c r="FF22" s="15">
        <v>0</v>
      </c>
      <c r="FG22" s="15">
        <v>0</v>
      </c>
      <c r="FH22" s="17">
        <v>0</v>
      </c>
      <c r="FI22" s="15">
        <v>0</v>
      </c>
      <c r="FJ22" s="15">
        <v>0</v>
      </c>
      <c r="FK22" s="17">
        <v>0</v>
      </c>
      <c r="FL22" s="15">
        <v>0</v>
      </c>
      <c r="FM22" s="15">
        <v>0</v>
      </c>
      <c r="FN22" s="17">
        <v>0</v>
      </c>
      <c r="FO22" s="640"/>
      <c r="FP22" s="531"/>
      <c r="FQ22" s="531"/>
      <c r="FR22" s="531"/>
      <c r="FS22" s="531"/>
      <c r="FT22" s="531"/>
      <c r="FU22" s="640"/>
      <c r="FV22" s="531"/>
      <c r="FW22" s="531"/>
      <c r="FX22" s="531"/>
      <c r="FY22" s="531"/>
      <c r="FZ22" s="531"/>
    </row>
    <row r="23" spans="1:182" ht="12.75">
      <c r="A23" s="40">
        <v>43854</v>
      </c>
      <c r="B23" s="50">
        <f t="shared" ref="B23:D23" si="18">SUM(I23,AM23)</f>
        <v>0</v>
      </c>
      <c r="C23" s="50">
        <f t="shared" si="18"/>
        <v>0</v>
      </c>
      <c r="D23" s="50">
        <f t="shared" si="18"/>
        <v>0</v>
      </c>
      <c r="E23" s="154">
        <f t="shared" si="1"/>
        <v>0</v>
      </c>
      <c r="F23" s="18">
        <v>0</v>
      </c>
      <c r="G23" s="18">
        <v>0</v>
      </c>
      <c r="H23" s="317">
        <v>0</v>
      </c>
      <c r="I23" s="18">
        <v>0</v>
      </c>
      <c r="J23" s="18">
        <v>0</v>
      </c>
      <c r="K23" s="317">
        <v>0</v>
      </c>
      <c r="L23" s="18">
        <v>0</v>
      </c>
      <c r="M23" s="18">
        <v>0</v>
      </c>
      <c r="N23" s="317">
        <v>0</v>
      </c>
      <c r="O23" s="18">
        <v>0</v>
      </c>
      <c r="P23" s="18">
        <v>0</v>
      </c>
      <c r="Q23" s="317">
        <v>0</v>
      </c>
      <c r="R23" s="18">
        <v>0</v>
      </c>
      <c r="S23" s="18">
        <v>0</v>
      </c>
      <c r="T23" s="317">
        <v>0</v>
      </c>
      <c r="U23" s="18">
        <v>0</v>
      </c>
      <c r="V23" s="18">
        <v>0</v>
      </c>
      <c r="W23" s="317">
        <v>0</v>
      </c>
      <c r="X23" s="18">
        <v>0</v>
      </c>
      <c r="Y23" s="18">
        <v>0</v>
      </c>
      <c r="Z23" s="317">
        <v>0</v>
      </c>
      <c r="AA23" s="18">
        <v>0</v>
      </c>
      <c r="AB23" s="18">
        <v>0</v>
      </c>
      <c r="AC23" s="317">
        <v>0</v>
      </c>
      <c r="AD23" s="18">
        <v>0</v>
      </c>
      <c r="AE23" s="18">
        <v>0</v>
      </c>
      <c r="AF23" s="317">
        <v>0</v>
      </c>
      <c r="AG23" s="18">
        <v>0</v>
      </c>
      <c r="AH23" s="18">
        <v>0</v>
      </c>
      <c r="AI23" s="317">
        <v>0</v>
      </c>
      <c r="AJ23" s="18">
        <v>0</v>
      </c>
      <c r="AK23" s="18">
        <v>0</v>
      </c>
      <c r="AL23" s="317">
        <v>0</v>
      </c>
      <c r="AM23" s="18">
        <v>0</v>
      </c>
      <c r="AN23" s="18">
        <v>0</v>
      </c>
      <c r="AO23" s="317">
        <v>0</v>
      </c>
      <c r="AP23" s="18">
        <v>0</v>
      </c>
      <c r="AQ23" s="18">
        <v>0</v>
      </c>
      <c r="AR23" s="317">
        <v>0</v>
      </c>
      <c r="AS23" s="18">
        <v>0</v>
      </c>
      <c r="AT23" s="18">
        <v>0</v>
      </c>
      <c r="AU23" s="317">
        <v>0</v>
      </c>
      <c r="AV23" s="18">
        <v>0</v>
      </c>
      <c r="AW23" s="18">
        <v>0</v>
      </c>
      <c r="AX23" s="317">
        <v>0</v>
      </c>
      <c r="AY23" s="18">
        <v>0</v>
      </c>
      <c r="AZ23" s="18">
        <v>0</v>
      </c>
      <c r="BA23" s="317">
        <v>0</v>
      </c>
      <c r="BB23" s="18">
        <v>0</v>
      </c>
      <c r="BC23" s="18">
        <v>0</v>
      </c>
      <c r="BD23" s="317">
        <v>0</v>
      </c>
      <c r="BE23" s="18">
        <v>0</v>
      </c>
      <c r="BF23" s="18">
        <v>0</v>
      </c>
      <c r="BG23" s="317">
        <v>0</v>
      </c>
      <c r="BH23" s="18">
        <v>0</v>
      </c>
      <c r="BI23" s="18">
        <v>0</v>
      </c>
      <c r="BJ23" s="317">
        <v>0</v>
      </c>
      <c r="BK23" s="18">
        <v>0</v>
      </c>
      <c r="BL23" s="18">
        <v>0</v>
      </c>
      <c r="BM23" s="317">
        <v>0</v>
      </c>
      <c r="BN23" s="18">
        <v>0</v>
      </c>
      <c r="BO23" s="18">
        <v>0</v>
      </c>
      <c r="BP23" s="317">
        <v>0</v>
      </c>
      <c r="BQ23" s="18">
        <v>0</v>
      </c>
      <c r="BR23" s="18">
        <v>0</v>
      </c>
      <c r="BS23" s="317">
        <v>0</v>
      </c>
      <c r="BT23" s="18">
        <v>0</v>
      </c>
      <c r="BU23" s="18">
        <v>0</v>
      </c>
      <c r="BV23" s="317">
        <v>0</v>
      </c>
      <c r="BW23" s="18">
        <v>0</v>
      </c>
      <c r="BX23" s="18">
        <v>0</v>
      </c>
      <c r="BY23" s="317">
        <v>0</v>
      </c>
      <c r="BZ23" s="18">
        <v>0</v>
      </c>
      <c r="CA23" s="18">
        <v>0</v>
      </c>
      <c r="CB23" s="317">
        <v>0</v>
      </c>
      <c r="CC23" s="18">
        <v>0</v>
      </c>
      <c r="CD23" s="18">
        <v>0</v>
      </c>
      <c r="CE23" s="317">
        <v>0</v>
      </c>
      <c r="CF23" s="18">
        <v>0</v>
      </c>
      <c r="CG23" s="18">
        <v>0</v>
      </c>
      <c r="CH23" s="317">
        <v>0</v>
      </c>
      <c r="CI23" s="18">
        <v>0</v>
      </c>
      <c r="CJ23" s="18">
        <v>0</v>
      </c>
      <c r="CK23" s="317">
        <v>0</v>
      </c>
      <c r="CL23" s="18">
        <v>0</v>
      </c>
      <c r="CM23" s="18">
        <v>0</v>
      </c>
      <c r="CN23" s="317">
        <v>0</v>
      </c>
      <c r="CO23" s="18">
        <v>0</v>
      </c>
      <c r="CP23" s="18">
        <v>0</v>
      </c>
      <c r="CQ23" s="317">
        <v>0</v>
      </c>
      <c r="CR23" s="18">
        <v>0</v>
      </c>
      <c r="CS23" s="18">
        <v>0</v>
      </c>
      <c r="CT23" s="317">
        <v>0</v>
      </c>
      <c r="CU23" s="18">
        <v>0</v>
      </c>
      <c r="CV23" s="18">
        <v>0</v>
      </c>
      <c r="CW23" s="317">
        <v>0</v>
      </c>
      <c r="CX23" s="18">
        <v>0</v>
      </c>
      <c r="CY23" s="18">
        <v>0</v>
      </c>
      <c r="CZ23" s="317">
        <v>0</v>
      </c>
      <c r="DA23" s="18">
        <v>0</v>
      </c>
      <c r="DB23" s="18">
        <v>0</v>
      </c>
      <c r="DC23" s="317">
        <v>0</v>
      </c>
      <c r="DD23" s="18">
        <v>0</v>
      </c>
      <c r="DE23" s="18">
        <v>0</v>
      </c>
      <c r="DF23" s="317">
        <v>0</v>
      </c>
      <c r="DG23" s="18">
        <v>0</v>
      </c>
      <c r="DH23" s="18">
        <v>0</v>
      </c>
      <c r="DI23" s="317">
        <v>0</v>
      </c>
      <c r="DJ23" s="18">
        <v>0</v>
      </c>
      <c r="DK23" s="18">
        <v>0</v>
      </c>
      <c r="DL23" s="317">
        <v>0</v>
      </c>
      <c r="DM23" s="18">
        <v>0</v>
      </c>
      <c r="DN23" s="18">
        <v>0</v>
      </c>
      <c r="DO23" s="317">
        <v>0</v>
      </c>
      <c r="DP23" s="18">
        <v>0</v>
      </c>
      <c r="DQ23" s="18">
        <v>0</v>
      </c>
      <c r="DR23" s="317">
        <v>0</v>
      </c>
      <c r="DS23" s="18">
        <v>0</v>
      </c>
      <c r="DT23" s="18">
        <v>0</v>
      </c>
      <c r="DU23" s="317">
        <v>0</v>
      </c>
      <c r="DV23" s="18">
        <v>0</v>
      </c>
      <c r="DW23" s="18">
        <v>0</v>
      </c>
      <c r="DX23" s="317">
        <v>0</v>
      </c>
      <c r="DY23" s="18">
        <v>0</v>
      </c>
      <c r="DZ23" s="18">
        <v>0</v>
      </c>
      <c r="EA23" s="317">
        <v>0</v>
      </c>
      <c r="EB23" s="18">
        <v>0</v>
      </c>
      <c r="EC23" s="18">
        <v>0</v>
      </c>
      <c r="ED23" s="317">
        <v>0</v>
      </c>
      <c r="EE23" s="18">
        <v>0</v>
      </c>
      <c r="EF23" s="18">
        <v>0</v>
      </c>
      <c r="EG23" s="317">
        <v>0</v>
      </c>
      <c r="EH23" s="18">
        <v>0</v>
      </c>
      <c r="EI23" s="18">
        <v>0</v>
      </c>
      <c r="EJ23" s="317">
        <v>0</v>
      </c>
      <c r="EK23" s="18">
        <v>0</v>
      </c>
      <c r="EL23" s="18">
        <v>0</v>
      </c>
      <c r="EM23" s="317">
        <v>0</v>
      </c>
      <c r="EN23" s="18">
        <v>0</v>
      </c>
      <c r="EO23" s="18">
        <v>0</v>
      </c>
      <c r="EP23" s="317">
        <v>0</v>
      </c>
      <c r="EQ23" s="18">
        <v>0</v>
      </c>
      <c r="ER23" s="18">
        <v>0</v>
      </c>
      <c r="ES23" s="317">
        <v>0</v>
      </c>
      <c r="ET23" s="18">
        <v>0</v>
      </c>
      <c r="EU23" s="18">
        <v>0</v>
      </c>
      <c r="EV23" s="317">
        <v>0</v>
      </c>
      <c r="EW23" s="18">
        <v>0</v>
      </c>
      <c r="EX23" s="18">
        <v>0</v>
      </c>
      <c r="EY23" s="317">
        <v>0</v>
      </c>
      <c r="EZ23" s="18">
        <v>0</v>
      </c>
      <c r="FA23" s="18">
        <v>0</v>
      </c>
      <c r="FB23" s="317">
        <v>0</v>
      </c>
      <c r="FC23" s="18">
        <v>0</v>
      </c>
      <c r="FD23" s="18">
        <v>0</v>
      </c>
      <c r="FE23" s="317">
        <v>0</v>
      </c>
      <c r="FF23" s="18">
        <v>0</v>
      </c>
      <c r="FG23" s="18">
        <v>0</v>
      </c>
      <c r="FH23" s="317">
        <v>0</v>
      </c>
      <c r="FI23" s="18">
        <v>0</v>
      </c>
      <c r="FJ23" s="18">
        <v>0</v>
      </c>
      <c r="FK23" s="317">
        <v>0</v>
      </c>
      <c r="FL23" s="18">
        <v>0</v>
      </c>
      <c r="FM23" s="18">
        <v>0</v>
      </c>
      <c r="FN23" s="317">
        <v>0</v>
      </c>
      <c r="FO23" s="640"/>
      <c r="FP23" s="531"/>
      <c r="FQ23" s="531"/>
      <c r="FR23" s="531"/>
      <c r="FS23" s="531"/>
      <c r="FT23" s="531"/>
      <c r="FU23" s="640"/>
      <c r="FV23" s="531"/>
      <c r="FW23" s="531"/>
      <c r="FX23" s="531"/>
      <c r="FY23" s="531"/>
      <c r="FZ23" s="531"/>
    </row>
    <row r="24" spans="1:182" ht="12.75">
      <c r="A24" s="40">
        <v>43855</v>
      </c>
      <c r="B24" s="50">
        <f t="shared" ref="B24:D24" si="19">SUM(I24,AM24)</f>
        <v>0</v>
      </c>
      <c r="C24" s="50">
        <f t="shared" si="19"/>
        <v>0</v>
      </c>
      <c r="D24" s="50">
        <f t="shared" si="19"/>
        <v>0</v>
      </c>
      <c r="E24" s="154">
        <f t="shared" si="1"/>
        <v>0</v>
      </c>
      <c r="F24" s="15">
        <v>0</v>
      </c>
      <c r="G24" s="15">
        <v>0</v>
      </c>
      <c r="H24" s="17">
        <v>0</v>
      </c>
      <c r="I24" s="15">
        <v>0</v>
      </c>
      <c r="J24" s="15">
        <v>0</v>
      </c>
      <c r="K24" s="17">
        <v>0</v>
      </c>
      <c r="L24" s="15">
        <v>0</v>
      </c>
      <c r="M24" s="15">
        <v>0</v>
      </c>
      <c r="N24" s="17">
        <v>0</v>
      </c>
      <c r="O24" s="15">
        <v>0</v>
      </c>
      <c r="P24" s="15">
        <v>0</v>
      </c>
      <c r="Q24" s="17">
        <v>0</v>
      </c>
      <c r="R24" s="15">
        <v>0</v>
      </c>
      <c r="S24" s="15">
        <v>0</v>
      </c>
      <c r="T24" s="17">
        <v>0</v>
      </c>
      <c r="U24" s="15">
        <v>0</v>
      </c>
      <c r="V24" s="15">
        <v>0</v>
      </c>
      <c r="W24" s="17">
        <v>0</v>
      </c>
      <c r="X24" s="15">
        <v>0</v>
      </c>
      <c r="Y24" s="15">
        <v>0</v>
      </c>
      <c r="Z24" s="17">
        <v>0</v>
      </c>
      <c r="AA24" s="15">
        <v>0</v>
      </c>
      <c r="AB24" s="15">
        <v>0</v>
      </c>
      <c r="AC24" s="17">
        <v>0</v>
      </c>
      <c r="AD24" s="15">
        <v>0</v>
      </c>
      <c r="AE24" s="15">
        <v>0</v>
      </c>
      <c r="AF24" s="17">
        <v>0</v>
      </c>
      <c r="AG24" s="15">
        <v>0</v>
      </c>
      <c r="AH24" s="15">
        <v>0</v>
      </c>
      <c r="AI24" s="17">
        <v>0</v>
      </c>
      <c r="AJ24" s="15">
        <v>0</v>
      </c>
      <c r="AK24" s="15">
        <v>0</v>
      </c>
      <c r="AL24" s="17">
        <v>0</v>
      </c>
      <c r="AM24" s="15">
        <v>0</v>
      </c>
      <c r="AN24" s="15">
        <v>0</v>
      </c>
      <c r="AO24" s="17">
        <v>0</v>
      </c>
      <c r="AP24" s="15">
        <v>0</v>
      </c>
      <c r="AQ24" s="15">
        <v>0</v>
      </c>
      <c r="AR24" s="17">
        <v>0</v>
      </c>
      <c r="AS24" s="15">
        <v>0</v>
      </c>
      <c r="AT24" s="15">
        <v>0</v>
      </c>
      <c r="AU24" s="17">
        <v>0</v>
      </c>
      <c r="AV24" s="15">
        <v>0</v>
      </c>
      <c r="AW24" s="15">
        <v>0</v>
      </c>
      <c r="AX24" s="17">
        <v>0</v>
      </c>
      <c r="AY24" s="15">
        <v>0</v>
      </c>
      <c r="AZ24" s="15">
        <v>0</v>
      </c>
      <c r="BA24" s="17">
        <v>0</v>
      </c>
      <c r="BB24" s="15">
        <v>0</v>
      </c>
      <c r="BC24" s="15">
        <v>0</v>
      </c>
      <c r="BD24" s="17">
        <v>0</v>
      </c>
      <c r="BE24" s="15">
        <v>0</v>
      </c>
      <c r="BF24" s="15">
        <v>0</v>
      </c>
      <c r="BG24" s="17">
        <v>0</v>
      </c>
      <c r="BH24" s="15">
        <v>0</v>
      </c>
      <c r="BI24" s="15">
        <v>0</v>
      </c>
      <c r="BJ24" s="17">
        <v>0</v>
      </c>
      <c r="BK24" s="15">
        <v>0</v>
      </c>
      <c r="BL24" s="15">
        <v>0</v>
      </c>
      <c r="BM24" s="17">
        <v>0</v>
      </c>
      <c r="BN24" s="15">
        <v>0</v>
      </c>
      <c r="BO24" s="15">
        <v>0</v>
      </c>
      <c r="BP24" s="17">
        <v>0</v>
      </c>
      <c r="BQ24" s="15">
        <v>0</v>
      </c>
      <c r="BR24" s="15">
        <v>0</v>
      </c>
      <c r="BS24" s="17">
        <v>0</v>
      </c>
      <c r="BT24" s="15">
        <v>0</v>
      </c>
      <c r="BU24" s="15">
        <v>0</v>
      </c>
      <c r="BV24" s="17">
        <v>0</v>
      </c>
      <c r="BW24" s="15">
        <v>0</v>
      </c>
      <c r="BX24" s="15">
        <v>0</v>
      </c>
      <c r="BY24" s="17">
        <v>0</v>
      </c>
      <c r="BZ24" s="15">
        <v>0</v>
      </c>
      <c r="CA24" s="15">
        <v>0</v>
      </c>
      <c r="CB24" s="17">
        <v>0</v>
      </c>
      <c r="CC24" s="15">
        <v>0</v>
      </c>
      <c r="CD24" s="15">
        <v>0</v>
      </c>
      <c r="CE24" s="17">
        <v>0</v>
      </c>
      <c r="CF24" s="15">
        <v>0</v>
      </c>
      <c r="CG24" s="15">
        <v>0</v>
      </c>
      <c r="CH24" s="17">
        <v>0</v>
      </c>
      <c r="CI24" s="15">
        <v>0</v>
      </c>
      <c r="CJ24" s="15">
        <v>0</v>
      </c>
      <c r="CK24" s="17">
        <v>0</v>
      </c>
      <c r="CL24" s="15">
        <v>0</v>
      </c>
      <c r="CM24" s="15">
        <v>0</v>
      </c>
      <c r="CN24" s="17">
        <v>0</v>
      </c>
      <c r="CO24" s="15">
        <v>0</v>
      </c>
      <c r="CP24" s="15">
        <v>0</v>
      </c>
      <c r="CQ24" s="17">
        <v>0</v>
      </c>
      <c r="CR24" s="15">
        <v>0</v>
      </c>
      <c r="CS24" s="15">
        <v>0</v>
      </c>
      <c r="CT24" s="17">
        <v>0</v>
      </c>
      <c r="CU24" s="15">
        <v>0</v>
      </c>
      <c r="CV24" s="15">
        <v>0</v>
      </c>
      <c r="CW24" s="17">
        <v>0</v>
      </c>
      <c r="CX24" s="15">
        <v>0</v>
      </c>
      <c r="CY24" s="15">
        <v>0</v>
      </c>
      <c r="CZ24" s="17">
        <v>0</v>
      </c>
      <c r="DA24" s="15">
        <v>0</v>
      </c>
      <c r="DB24" s="15">
        <v>0</v>
      </c>
      <c r="DC24" s="17">
        <v>0</v>
      </c>
      <c r="DD24" s="15">
        <v>0</v>
      </c>
      <c r="DE24" s="15">
        <v>0</v>
      </c>
      <c r="DF24" s="17">
        <v>0</v>
      </c>
      <c r="DG24" s="15">
        <v>0</v>
      </c>
      <c r="DH24" s="15">
        <v>0</v>
      </c>
      <c r="DI24" s="17">
        <v>0</v>
      </c>
      <c r="DJ24" s="15">
        <v>0</v>
      </c>
      <c r="DK24" s="15">
        <v>0</v>
      </c>
      <c r="DL24" s="17">
        <v>0</v>
      </c>
      <c r="DM24" s="15">
        <v>0</v>
      </c>
      <c r="DN24" s="15">
        <v>0</v>
      </c>
      <c r="DO24" s="17">
        <v>0</v>
      </c>
      <c r="DP24" s="15">
        <v>0</v>
      </c>
      <c r="DQ24" s="15">
        <v>0</v>
      </c>
      <c r="DR24" s="17">
        <v>0</v>
      </c>
      <c r="DS24" s="15">
        <v>0</v>
      </c>
      <c r="DT24" s="15">
        <v>0</v>
      </c>
      <c r="DU24" s="17">
        <v>0</v>
      </c>
      <c r="DV24" s="15">
        <v>0</v>
      </c>
      <c r="DW24" s="15">
        <v>0</v>
      </c>
      <c r="DX24" s="17">
        <v>0</v>
      </c>
      <c r="DY24" s="15">
        <v>0</v>
      </c>
      <c r="DZ24" s="15">
        <v>0</v>
      </c>
      <c r="EA24" s="17">
        <v>0</v>
      </c>
      <c r="EB24" s="15">
        <v>0</v>
      </c>
      <c r="EC24" s="15">
        <v>0</v>
      </c>
      <c r="ED24" s="17">
        <v>0</v>
      </c>
      <c r="EE24" s="15">
        <v>0</v>
      </c>
      <c r="EF24" s="15">
        <v>0</v>
      </c>
      <c r="EG24" s="17">
        <v>0</v>
      </c>
      <c r="EH24" s="15">
        <v>0</v>
      </c>
      <c r="EI24" s="15">
        <v>0</v>
      </c>
      <c r="EJ24" s="17">
        <v>0</v>
      </c>
      <c r="EK24" s="15">
        <v>0</v>
      </c>
      <c r="EL24" s="15">
        <v>0</v>
      </c>
      <c r="EM24" s="17">
        <v>0</v>
      </c>
      <c r="EN24" s="15">
        <v>0</v>
      </c>
      <c r="EO24" s="15">
        <v>0</v>
      </c>
      <c r="EP24" s="17">
        <v>0</v>
      </c>
      <c r="EQ24" s="15">
        <v>0</v>
      </c>
      <c r="ER24" s="15">
        <v>0</v>
      </c>
      <c r="ES24" s="17">
        <v>0</v>
      </c>
      <c r="ET24" s="15">
        <v>0</v>
      </c>
      <c r="EU24" s="15">
        <v>0</v>
      </c>
      <c r="EV24" s="17">
        <v>0</v>
      </c>
      <c r="EW24" s="15">
        <v>0</v>
      </c>
      <c r="EX24" s="15">
        <v>0</v>
      </c>
      <c r="EY24" s="17">
        <v>0</v>
      </c>
      <c r="EZ24" s="15">
        <v>0</v>
      </c>
      <c r="FA24" s="15">
        <v>0</v>
      </c>
      <c r="FB24" s="17">
        <v>0</v>
      </c>
      <c r="FC24" s="15">
        <v>0</v>
      </c>
      <c r="FD24" s="15">
        <v>0</v>
      </c>
      <c r="FE24" s="17">
        <v>0</v>
      </c>
      <c r="FF24" s="15">
        <v>0</v>
      </c>
      <c r="FG24" s="15">
        <v>0</v>
      </c>
      <c r="FH24" s="17">
        <v>0</v>
      </c>
      <c r="FI24" s="15">
        <v>0</v>
      </c>
      <c r="FJ24" s="15">
        <v>0</v>
      </c>
      <c r="FK24" s="17">
        <v>0</v>
      </c>
      <c r="FL24" s="15">
        <v>0</v>
      </c>
      <c r="FM24" s="15">
        <v>0</v>
      </c>
      <c r="FN24" s="17">
        <v>0</v>
      </c>
      <c r="FO24" s="640"/>
      <c r="FP24" s="531"/>
      <c r="FQ24" s="531"/>
      <c r="FR24" s="531"/>
      <c r="FS24" s="531"/>
      <c r="FT24" s="531"/>
      <c r="FU24" s="640"/>
      <c r="FV24" s="531"/>
      <c r="FW24" s="531"/>
      <c r="FX24" s="531"/>
      <c r="FY24" s="531"/>
      <c r="FZ24" s="531"/>
    </row>
    <row r="25" spans="1:182" ht="12.75">
      <c r="A25" s="40">
        <v>43856</v>
      </c>
      <c r="B25" s="50">
        <f t="shared" ref="B25:D25" si="20">SUM(I25,AM25)</f>
        <v>0</v>
      </c>
      <c r="C25" s="50">
        <f t="shared" si="20"/>
        <v>0</v>
      </c>
      <c r="D25" s="50">
        <f t="shared" si="20"/>
        <v>0</v>
      </c>
      <c r="E25" s="154">
        <f t="shared" si="1"/>
        <v>0</v>
      </c>
      <c r="F25" s="18">
        <v>0</v>
      </c>
      <c r="G25" s="18">
        <v>0</v>
      </c>
      <c r="H25" s="317">
        <v>0</v>
      </c>
      <c r="I25" s="18">
        <v>0</v>
      </c>
      <c r="J25" s="18">
        <v>0</v>
      </c>
      <c r="K25" s="317">
        <v>0</v>
      </c>
      <c r="L25" s="18">
        <v>0</v>
      </c>
      <c r="M25" s="18">
        <v>0</v>
      </c>
      <c r="N25" s="317">
        <v>0</v>
      </c>
      <c r="O25" s="18">
        <v>0</v>
      </c>
      <c r="P25" s="18">
        <v>0</v>
      </c>
      <c r="Q25" s="317">
        <v>0</v>
      </c>
      <c r="R25" s="18">
        <v>0</v>
      </c>
      <c r="S25" s="18">
        <v>0</v>
      </c>
      <c r="T25" s="317">
        <v>0</v>
      </c>
      <c r="U25" s="18">
        <v>0</v>
      </c>
      <c r="V25" s="18">
        <v>0</v>
      </c>
      <c r="W25" s="317">
        <v>0</v>
      </c>
      <c r="X25" s="18">
        <v>0</v>
      </c>
      <c r="Y25" s="18">
        <v>0</v>
      </c>
      <c r="Z25" s="317">
        <v>0</v>
      </c>
      <c r="AA25" s="18">
        <v>0</v>
      </c>
      <c r="AB25" s="18">
        <v>0</v>
      </c>
      <c r="AC25" s="317">
        <v>0</v>
      </c>
      <c r="AD25" s="18">
        <v>0</v>
      </c>
      <c r="AE25" s="18">
        <v>0</v>
      </c>
      <c r="AF25" s="317">
        <v>0</v>
      </c>
      <c r="AG25" s="18">
        <v>0</v>
      </c>
      <c r="AH25" s="18">
        <v>0</v>
      </c>
      <c r="AI25" s="317">
        <v>0</v>
      </c>
      <c r="AJ25" s="18">
        <v>0</v>
      </c>
      <c r="AK25" s="18">
        <v>0</v>
      </c>
      <c r="AL25" s="317">
        <v>0</v>
      </c>
      <c r="AM25" s="18">
        <v>0</v>
      </c>
      <c r="AN25" s="18">
        <v>0</v>
      </c>
      <c r="AO25" s="317">
        <v>0</v>
      </c>
      <c r="AP25" s="18">
        <v>0</v>
      </c>
      <c r="AQ25" s="18">
        <v>0</v>
      </c>
      <c r="AR25" s="317">
        <v>0</v>
      </c>
      <c r="AS25" s="18">
        <v>0</v>
      </c>
      <c r="AT25" s="18">
        <v>0</v>
      </c>
      <c r="AU25" s="317">
        <v>0</v>
      </c>
      <c r="AV25" s="18">
        <v>0</v>
      </c>
      <c r="AW25" s="18">
        <v>0</v>
      </c>
      <c r="AX25" s="317">
        <v>0</v>
      </c>
      <c r="AY25" s="18">
        <v>0</v>
      </c>
      <c r="AZ25" s="18">
        <v>0</v>
      </c>
      <c r="BA25" s="317">
        <v>0</v>
      </c>
      <c r="BB25" s="18">
        <v>0</v>
      </c>
      <c r="BC25" s="18">
        <v>0</v>
      </c>
      <c r="BD25" s="317">
        <v>0</v>
      </c>
      <c r="BE25" s="18">
        <v>0</v>
      </c>
      <c r="BF25" s="18">
        <v>0</v>
      </c>
      <c r="BG25" s="317">
        <v>0</v>
      </c>
      <c r="BH25" s="18">
        <v>0</v>
      </c>
      <c r="BI25" s="18">
        <v>0</v>
      </c>
      <c r="BJ25" s="317">
        <v>0</v>
      </c>
      <c r="BK25" s="18">
        <v>0</v>
      </c>
      <c r="BL25" s="18">
        <v>0</v>
      </c>
      <c r="BM25" s="317">
        <v>0</v>
      </c>
      <c r="BN25" s="18">
        <v>0</v>
      </c>
      <c r="BO25" s="18">
        <v>0</v>
      </c>
      <c r="BP25" s="317">
        <v>0</v>
      </c>
      <c r="BQ25" s="18">
        <v>0</v>
      </c>
      <c r="BR25" s="18">
        <v>0</v>
      </c>
      <c r="BS25" s="317">
        <v>0</v>
      </c>
      <c r="BT25" s="18">
        <v>0</v>
      </c>
      <c r="BU25" s="18">
        <v>0</v>
      </c>
      <c r="BV25" s="317">
        <v>0</v>
      </c>
      <c r="BW25" s="18">
        <v>0</v>
      </c>
      <c r="BX25" s="18">
        <v>0</v>
      </c>
      <c r="BY25" s="317">
        <v>0</v>
      </c>
      <c r="BZ25" s="18">
        <v>0</v>
      </c>
      <c r="CA25" s="18">
        <v>0</v>
      </c>
      <c r="CB25" s="317">
        <v>0</v>
      </c>
      <c r="CC25" s="18">
        <v>0</v>
      </c>
      <c r="CD25" s="18">
        <v>0</v>
      </c>
      <c r="CE25" s="317">
        <v>0</v>
      </c>
      <c r="CF25" s="18">
        <v>0</v>
      </c>
      <c r="CG25" s="18">
        <v>0</v>
      </c>
      <c r="CH25" s="317">
        <v>0</v>
      </c>
      <c r="CI25" s="18">
        <v>0</v>
      </c>
      <c r="CJ25" s="18">
        <v>0</v>
      </c>
      <c r="CK25" s="317">
        <v>0</v>
      </c>
      <c r="CL25" s="18">
        <v>0</v>
      </c>
      <c r="CM25" s="18">
        <v>0</v>
      </c>
      <c r="CN25" s="317">
        <v>0</v>
      </c>
      <c r="CO25" s="18">
        <v>0</v>
      </c>
      <c r="CP25" s="18">
        <v>0</v>
      </c>
      <c r="CQ25" s="317">
        <v>0</v>
      </c>
      <c r="CR25" s="18">
        <v>0</v>
      </c>
      <c r="CS25" s="18">
        <v>0</v>
      </c>
      <c r="CT25" s="317">
        <v>0</v>
      </c>
      <c r="CU25" s="18">
        <v>0</v>
      </c>
      <c r="CV25" s="18">
        <v>0</v>
      </c>
      <c r="CW25" s="317">
        <v>0</v>
      </c>
      <c r="CX25" s="18">
        <v>0</v>
      </c>
      <c r="CY25" s="18">
        <v>0</v>
      </c>
      <c r="CZ25" s="317">
        <v>0</v>
      </c>
      <c r="DA25" s="18">
        <v>0</v>
      </c>
      <c r="DB25" s="18">
        <v>0</v>
      </c>
      <c r="DC25" s="317">
        <v>0</v>
      </c>
      <c r="DD25" s="18">
        <v>0</v>
      </c>
      <c r="DE25" s="18">
        <v>0</v>
      </c>
      <c r="DF25" s="317">
        <v>0</v>
      </c>
      <c r="DG25" s="18">
        <v>0</v>
      </c>
      <c r="DH25" s="18">
        <v>0</v>
      </c>
      <c r="DI25" s="317">
        <v>0</v>
      </c>
      <c r="DJ25" s="18">
        <v>0</v>
      </c>
      <c r="DK25" s="18">
        <v>0</v>
      </c>
      <c r="DL25" s="317">
        <v>0</v>
      </c>
      <c r="DM25" s="18">
        <v>0</v>
      </c>
      <c r="DN25" s="18">
        <v>0</v>
      </c>
      <c r="DO25" s="317">
        <v>0</v>
      </c>
      <c r="DP25" s="18">
        <v>0</v>
      </c>
      <c r="DQ25" s="18">
        <v>0</v>
      </c>
      <c r="DR25" s="317">
        <v>0</v>
      </c>
      <c r="DS25" s="18">
        <v>0</v>
      </c>
      <c r="DT25" s="18">
        <v>0</v>
      </c>
      <c r="DU25" s="317">
        <v>0</v>
      </c>
      <c r="DV25" s="18">
        <v>0</v>
      </c>
      <c r="DW25" s="18">
        <v>0</v>
      </c>
      <c r="DX25" s="317">
        <v>0</v>
      </c>
      <c r="DY25" s="18">
        <v>0</v>
      </c>
      <c r="DZ25" s="18">
        <v>0</v>
      </c>
      <c r="EA25" s="317">
        <v>0</v>
      </c>
      <c r="EB25" s="18">
        <v>0</v>
      </c>
      <c r="EC25" s="18">
        <v>0</v>
      </c>
      <c r="ED25" s="317">
        <v>0</v>
      </c>
      <c r="EE25" s="18">
        <v>0</v>
      </c>
      <c r="EF25" s="18">
        <v>0</v>
      </c>
      <c r="EG25" s="317">
        <v>0</v>
      </c>
      <c r="EH25" s="18">
        <v>0</v>
      </c>
      <c r="EI25" s="18">
        <v>0</v>
      </c>
      <c r="EJ25" s="317">
        <v>0</v>
      </c>
      <c r="EK25" s="18">
        <v>0</v>
      </c>
      <c r="EL25" s="18">
        <v>0</v>
      </c>
      <c r="EM25" s="317">
        <v>0</v>
      </c>
      <c r="EN25" s="18">
        <v>0</v>
      </c>
      <c r="EO25" s="18">
        <v>0</v>
      </c>
      <c r="EP25" s="317">
        <v>0</v>
      </c>
      <c r="EQ25" s="18">
        <v>0</v>
      </c>
      <c r="ER25" s="18">
        <v>0</v>
      </c>
      <c r="ES25" s="317">
        <v>0</v>
      </c>
      <c r="ET25" s="18">
        <v>0</v>
      </c>
      <c r="EU25" s="18">
        <v>0</v>
      </c>
      <c r="EV25" s="317">
        <v>0</v>
      </c>
      <c r="EW25" s="18">
        <v>0</v>
      </c>
      <c r="EX25" s="18">
        <v>0</v>
      </c>
      <c r="EY25" s="317">
        <v>0</v>
      </c>
      <c r="EZ25" s="18">
        <v>0</v>
      </c>
      <c r="FA25" s="18">
        <v>0</v>
      </c>
      <c r="FB25" s="317">
        <v>0</v>
      </c>
      <c r="FC25" s="18">
        <v>0</v>
      </c>
      <c r="FD25" s="18">
        <v>0</v>
      </c>
      <c r="FE25" s="317">
        <v>0</v>
      </c>
      <c r="FF25" s="18">
        <v>0</v>
      </c>
      <c r="FG25" s="18">
        <v>0</v>
      </c>
      <c r="FH25" s="317">
        <v>0</v>
      </c>
      <c r="FI25" s="18">
        <v>0</v>
      </c>
      <c r="FJ25" s="18">
        <v>0</v>
      </c>
      <c r="FK25" s="317">
        <v>0</v>
      </c>
      <c r="FL25" s="18">
        <v>0</v>
      </c>
      <c r="FM25" s="18">
        <v>0</v>
      </c>
      <c r="FN25" s="317">
        <v>0</v>
      </c>
      <c r="FO25" s="640"/>
      <c r="FP25" s="531"/>
      <c r="FQ25" s="531"/>
      <c r="FR25" s="531"/>
      <c r="FS25" s="531"/>
      <c r="FT25" s="531"/>
      <c r="FU25" s="640"/>
      <c r="FV25" s="531"/>
      <c r="FW25" s="531"/>
      <c r="FX25" s="531"/>
      <c r="FY25" s="531"/>
      <c r="FZ25" s="531"/>
    </row>
    <row r="26" spans="1:182" ht="12.75">
      <c r="A26" s="40">
        <v>43857</v>
      </c>
      <c r="B26" s="50">
        <f t="shared" ref="B26:D26" si="21">SUM(I26,AM26)</f>
        <v>0</v>
      </c>
      <c r="C26" s="50">
        <f t="shared" si="21"/>
        <v>0</v>
      </c>
      <c r="D26" s="50">
        <f t="shared" si="21"/>
        <v>0</v>
      </c>
      <c r="E26" s="154">
        <f t="shared" si="1"/>
        <v>0</v>
      </c>
      <c r="F26" s="15">
        <v>0</v>
      </c>
      <c r="G26" s="15">
        <v>0</v>
      </c>
      <c r="H26" s="17">
        <v>0</v>
      </c>
      <c r="I26" s="15">
        <v>0</v>
      </c>
      <c r="J26" s="15">
        <v>0</v>
      </c>
      <c r="K26" s="17">
        <v>0</v>
      </c>
      <c r="L26" s="15">
        <v>0</v>
      </c>
      <c r="M26" s="15">
        <v>0</v>
      </c>
      <c r="N26" s="17">
        <v>0</v>
      </c>
      <c r="O26" s="15">
        <v>0</v>
      </c>
      <c r="P26" s="15">
        <v>0</v>
      </c>
      <c r="Q26" s="17">
        <v>0</v>
      </c>
      <c r="R26" s="15">
        <v>0</v>
      </c>
      <c r="S26" s="15">
        <v>0</v>
      </c>
      <c r="T26" s="17">
        <v>0</v>
      </c>
      <c r="U26" s="15">
        <v>0</v>
      </c>
      <c r="V26" s="15">
        <v>0</v>
      </c>
      <c r="W26" s="17">
        <v>0</v>
      </c>
      <c r="X26" s="15">
        <v>0</v>
      </c>
      <c r="Y26" s="15">
        <v>0</v>
      </c>
      <c r="Z26" s="17">
        <v>0</v>
      </c>
      <c r="AA26" s="15">
        <v>0</v>
      </c>
      <c r="AB26" s="15">
        <v>0</v>
      </c>
      <c r="AC26" s="17">
        <v>0</v>
      </c>
      <c r="AD26" s="15">
        <v>0</v>
      </c>
      <c r="AE26" s="15">
        <v>0</v>
      </c>
      <c r="AF26" s="17">
        <v>0</v>
      </c>
      <c r="AG26" s="15">
        <v>0</v>
      </c>
      <c r="AH26" s="15">
        <v>0</v>
      </c>
      <c r="AI26" s="17">
        <v>0</v>
      </c>
      <c r="AJ26" s="15">
        <v>0</v>
      </c>
      <c r="AK26" s="15">
        <v>0</v>
      </c>
      <c r="AL26" s="17">
        <v>0</v>
      </c>
      <c r="AM26" s="15">
        <v>0</v>
      </c>
      <c r="AN26" s="15">
        <v>0</v>
      </c>
      <c r="AO26" s="17">
        <v>0</v>
      </c>
      <c r="AP26" s="15">
        <v>0</v>
      </c>
      <c r="AQ26" s="15">
        <v>0</v>
      </c>
      <c r="AR26" s="17">
        <v>0</v>
      </c>
      <c r="AS26" s="15">
        <v>0</v>
      </c>
      <c r="AT26" s="15">
        <v>0</v>
      </c>
      <c r="AU26" s="17">
        <v>0</v>
      </c>
      <c r="AV26" s="15">
        <v>0</v>
      </c>
      <c r="AW26" s="15">
        <v>0</v>
      </c>
      <c r="AX26" s="17">
        <v>0</v>
      </c>
      <c r="AY26" s="15">
        <v>0</v>
      </c>
      <c r="AZ26" s="15">
        <v>0</v>
      </c>
      <c r="BA26" s="17">
        <v>0</v>
      </c>
      <c r="BB26" s="15">
        <v>0</v>
      </c>
      <c r="BC26" s="15">
        <v>0</v>
      </c>
      <c r="BD26" s="17">
        <v>0</v>
      </c>
      <c r="BE26" s="15">
        <v>0</v>
      </c>
      <c r="BF26" s="15">
        <v>0</v>
      </c>
      <c r="BG26" s="17">
        <v>0</v>
      </c>
      <c r="BH26" s="15">
        <v>0</v>
      </c>
      <c r="BI26" s="15">
        <v>0</v>
      </c>
      <c r="BJ26" s="17">
        <v>0</v>
      </c>
      <c r="BK26" s="15">
        <v>0</v>
      </c>
      <c r="BL26" s="15">
        <v>0</v>
      </c>
      <c r="BM26" s="17">
        <v>0</v>
      </c>
      <c r="BN26" s="15">
        <v>0</v>
      </c>
      <c r="BO26" s="15">
        <v>0</v>
      </c>
      <c r="BP26" s="17">
        <v>0</v>
      </c>
      <c r="BQ26" s="15">
        <v>0</v>
      </c>
      <c r="BR26" s="15">
        <v>0</v>
      </c>
      <c r="BS26" s="17">
        <v>0</v>
      </c>
      <c r="BT26" s="15">
        <v>0</v>
      </c>
      <c r="BU26" s="15">
        <v>0</v>
      </c>
      <c r="BV26" s="17">
        <v>0</v>
      </c>
      <c r="BW26" s="15">
        <v>0</v>
      </c>
      <c r="BX26" s="15">
        <v>0</v>
      </c>
      <c r="BY26" s="17">
        <v>0</v>
      </c>
      <c r="BZ26" s="15">
        <v>0</v>
      </c>
      <c r="CA26" s="15">
        <v>0</v>
      </c>
      <c r="CB26" s="17">
        <v>0</v>
      </c>
      <c r="CC26" s="15">
        <v>0</v>
      </c>
      <c r="CD26" s="15">
        <v>0</v>
      </c>
      <c r="CE26" s="17">
        <v>0</v>
      </c>
      <c r="CF26" s="15">
        <v>0</v>
      </c>
      <c r="CG26" s="15">
        <v>0</v>
      </c>
      <c r="CH26" s="17">
        <v>0</v>
      </c>
      <c r="CI26" s="15">
        <v>0</v>
      </c>
      <c r="CJ26" s="15">
        <v>0</v>
      </c>
      <c r="CK26" s="17">
        <v>0</v>
      </c>
      <c r="CL26" s="15">
        <v>0</v>
      </c>
      <c r="CM26" s="15">
        <v>0</v>
      </c>
      <c r="CN26" s="17">
        <v>0</v>
      </c>
      <c r="CO26" s="15">
        <v>0</v>
      </c>
      <c r="CP26" s="15">
        <v>0</v>
      </c>
      <c r="CQ26" s="17">
        <v>0</v>
      </c>
      <c r="CR26" s="15">
        <v>0</v>
      </c>
      <c r="CS26" s="15">
        <v>0</v>
      </c>
      <c r="CT26" s="17">
        <v>0</v>
      </c>
      <c r="CU26" s="15">
        <v>0</v>
      </c>
      <c r="CV26" s="15">
        <v>0</v>
      </c>
      <c r="CW26" s="17">
        <v>0</v>
      </c>
      <c r="CX26" s="15">
        <v>0</v>
      </c>
      <c r="CY26" s="15">
        <v>0</v>
      </c>
      <c r="CZ26" s="17">
        <v>0</v>
      </c>
      <c r="DA26" s="15">
        <v>0</v>
      </c>
      <c r="DB26" s="15">
        <v>0</v>
      </c>
      <c r="DC26" s="17">
        <v>0</v>
      </c>
      <c r="DD26" s="15">
        <v>0</v>
      </c>
      <c r="DE26" s="15">
        <v>0</v>
      </c>
      <c r="DF26" s="17">
        <v>0</v>
      </c>
      <c r="DG26" s="15">
        <v>0</v>
      </c>
      <c r="DH26" s="15">
        <v>0</v>
      </c>
      <c r="DI26" s="17">
        <v>0</v>
      </c>
      <c r="DJ26" s="15">
        <v>0</v>
      </c>
      <c r="DK26" s="15">
        <v>0</v>
      </c>
      <c r="DL26" s="17">
        <v>0</v>
      </c>
      <c r="DM26" s="15">
        <v>0</v>
      </c>
      <c r="DN26" s="15">
        <v>0</v>
      </c>
      <c r="DO26" s="17">
        <v>0</v>
      </c>
      <c r="DP26" s="15">
        <v>0</v>
      </c>
      <c r="DQ26" s="15">
        <v>0</v>
      </c>
      <c r="DR26" s="17">
        <v>0</v>
      </c>
      <c r="DS26" s="15">
        <v>0</v>
      </c>
      <c r="DT26" s="15">
        <v>0</v>
      </c>
      <c r="DU26" s="17">
        <v>0</v>
      </c>
      <c r="DV26" s="15">
        <v>0</v>
      </c>
      <c r="DW26" s="15">
        <v>0</v>
      </c>
      <c r="DX26" s="17">
        <v>0</v>
      </c>
      <c r="DY26" s="15">
        <v>0</v>
      </c>
      <c r="DZ26" s="15">
        <v>0</v>
      </c>
      <c r="EA26" s="17">
        <v>0</v>
      </c>
      <c r="EB26" s="15">
        <v>0</v>
      </c>
      <c r="EC26" s="15">
        <v>0</v>
      </c>
      <c r="ED26" s="17">
        <v>0</v>
      </c>
      <c r="EE26" s="15">
        <v>0</v>
      </c>
      <c r="EF26" s="15">
        <v>0</v>
      </c>
      <c r="EG26" s="17">
        <v>0</v>
      </c>
      <c r="EH26" s="15">
        <v>0</v>
      </c>
      <c r="EI26" s="15">
        <v>0</v>
      </c>
      <c r="EJ26" s="17">
        <v>0</v>
      </c>
      <c r="EK26" s="15">
        <v>0</v>
      </c>
      <c r="EL26" s="15">
        <v>0</v>
      </c>
      <c r="EM26" s="17">
        <v>0</v>
      </c>
      <c r="EN26" s="15">
        <v>0</v>
      </c>
      <c r="EO26" s="15">
        <v>0</v>
      </c>
      <c r="EP26" s="17">
        <v>0</v>
      </c>
      <c r="EQ26" s="15">
        <v>0</v>
      </c>
      <c r="ER26" s="15">
        <v>0</v>
      </c>
      <c r="ES26" s="17">
        <v>0</v>
      </c>
      <c r="ET26" s="15">
        <v>0</v>
      </c>
      <c r="EU26" s="15">
        <v>0</v>
      </c>
      <c r="EV26" s="17">
        <v>0</v>
      </c>
      <c r="EW26" s="15">
        <v>0</v>
      </c>
      <c r="EX26" s="15">
        <v>0</v>
      </c>
      <c r="EY26" s="17">
        <v>0</v>
      </c>
      <c r="EZ26" s="15">
        <v>0</v>
      </c>
      <c r="FA26" s="15">
        <v>0</v>
      </c>
      <c r="FB26" s="17">
        <v>0</v>
      </c>
      <c r="FC26" s="15">
        <v>0</v>
      </c>
      <c r="FD26" s="15">
        <v>0</v>
      </c>
      <c r="FE26" s="17">
        <v>0</v>
      </c>
      <c r="FF26" s="15">
        <v>0</v>
      </c>
      <c r="FG26" s="15">
        <v>0</v>
      </c>
      <c r="FH26" s="17">
        <v>0</v>
      </c>
      <c r="FI26" s="15">
        <v>0</v>
      </c>
      <c r="FJ26" s="15">
        <v>0</v>
      </c>
      <c r="FK26" s="17">
        <v>0</v>
      </c>
      <c r="FL26" s="15">
        <v>0</v>
      </c>
      <c r="FM26" s="15">
        <v>0</v>
      </c>
      <c r="FN26" s="17">
        <v>0</v>
      </c>
      <c r="FO26" s="640"/>
      <c r="FP26" s="531"/>
      <c r="FQ26" s="531"/>
      <c r="FR26" s="531"/>
      <c r="FS26" s="531"/>
      <c r="FT26" s="531"/>
      <c r="FU26" s="640"/>
      <c r="FV26" s="531"/>
      <c r="FW26" s="531"/>
      <c r="FX26" s="531"/>
      <c r="FY26" s="531"/>
      <c r="FZ26" s="531"/>
    </row>
    <row r="27" spans="1:182" ht="12.75">
      <c r="A27" s="40">
        <v>43858</v>
      </c>
      <c r="B27" s="50">
        <f t="shared" ref="B27:D27" si="22">SUM(I27,AM27)</f>
        <v>0</v>
      </c>
      <c r="C27" s="50">
        <f t="shared" si="22"/>
        <v>0</v>
      </c>
      <c r="D27" s="50">
        <f t="shared" si="22"/>
        <v>0</v>
      </c>
      <c r="E27" s="154">
        <f t="shared" si="1"/>
        <v>0</v>
      </c>
      <c r="F27" s="18">
        <v>0</v>
      </c>
      <c r="G27" s="18">
        <v>0</v>
      </c>
      <c r="H27" s="317">
        <v>0</v>
      </c>
      <c r="I27" s="18">
        <v>0</v>
      </c>
      <c r="J27" s="18">
        <v>0</v>
      </c>
      <c r="K27" s="317">
        <v>0</v>
      </c>
      <c r="L27" s="18">
        <v>0</v>
      </c>
      <c r="M27" s="18">
        <v>0</v>
      </c>
      <c r="N27" s="317">
        <v>0</v>
      </c>
      <c r="O27" s="18">
        <v>0</v>
      </c>
      <c r="P27" s="18">
        <v>0</v>
      </c>
      <c r="Q27" s="317">
        <v>0</v>
      </c>
      <c r="R27" s="18">
        <v>0</v>
      </c>
      <c r="S27" s="18">
        <v>0</v>
      </c>
      <c r="T27" s="317">
        <v>0</v>
      </c>
      <c r="U27" s="18">
        <v>0</v>
      </c>
      <c r="V27" s="18">
        <v>0</v>
      </c>
      <c r="W27" s="317">
        <v>0</v>
      </c>
      <c r="X27" s="18">
        <v>0</v>
      </c>
      <c r="Y27" s="18">
        <v>0</v>
      </c>
      <c r="Z27" s="317">
        <v>0</v>
      </c>
      <c r="AA27" s="18">
        <v>0</v>
      </c>
      <c r="AB27" s="18">
        <v>0</v>
      </c>
      <c r="AC27" s="317">
        <v>0</v>
      </c>
      <c r="AD27" s="18">
        <v>0</v>
      </c>
      <c r="AE27" s="18">
        <v>0</v>
      </c>
      <c r="AF27" s="317">
        <v>0</v>
      </c>
      <c r="AG27" s="18">
        <v>0</v>
      </c>
      <c r="AH27" s="18">
        <v>0</v>
      </c>
      <c r="AI27" s="317">
        <v>0</v>
      </c>
      <c r="AJ27" s="18">
        <v>0</v>
      </c>
      <c r="AK27" s="18">
        <v>0</v>
      </c>
      <c r="AL27" s="317">
        <v>0</v>
      </c>
      <c r="AM27" s="18">
        <v>0</v>
      </c>
      <c r="AN27" s="18">
        <v>0</v>
      </c>
      <c r="AO27" s="317">
        <v>0</v>
      </c>
      <c r="AP27" s="18">
        <v>0</v>
      </c>
      <c r="AQ27" s="18">
        <v>0</v>
      </c>
      <c r="AR27" s="317">
        <v>0</v>
      </c>
      <c r="AS27" s="18">
        <v>0</v>
      </c>
      <c r="AT27" s="18">
        <v>0</v>
      </c>
      <c r="AU27" s="317">
        <v>0</v>
      </c>
      <c r="AV27" s="18">
        <v>0</v>
      </c>
      <c r="AW27" s="18">
        <v>0</v>
      </c>
      <c r="AX27" s="317">
        <v>0</v>
      </c>
      <c r="AY27" s="18">
        <v>0</v>
      </c>
      <c r="AZ27" s="18">
        <v>0</v>
      </c>
      <c r="BA27" s="317">
        <v>0</v>
      </c>
      <c r="BB27" s="18">
        <v>0</v>
      </c>
      <c r="BC27" s="18">
        <v>0</v>
      </c>
      <c r="BD27" s="317">
        <v>0</v>
      </c>
      <c r="BE27" s="18">
        <v>0</v>
      </c>
      <c r="BF27" s="18">
        <v>0</v>
      </c>
      <c r="BG27" s="317">
        <v>0</v>
      </c>
      <c r="BH27" s="18">
        <v>0</v>
      </c>
      <c r="BI27" s="18">
        <v>0</v>
      </c>
      <c r="BJ27" s="317">
        <v>0</v>
      </c>
      <c r="BK27" s="18">
        <v>0</v>
      </c>
      <c r="BL27" s="18">
        <v>0</v>
      </c>
      <c r="BM27" s="317">
        <v>0</v>
      </c>
      <c r="BN27" s="18">
        <v>0</v>
      </c>
      <c r="BO27" s="18">
        <v>0</v>
      </c>
      <c r="BP27" s="317">
        <v>0</v>
      </c>
      <c r="BQ27" s="18">
        <v>0</v>
      </c>
      <c r="BR27" s="18">
        <v>0</v>
      </c>
      <c r="BS27" s="317">
        <v>0</v>
      </c>
      <c r="BT27" s="18">
        <v>0</v>
      </c>
      <c r="BU27" s="18">
        <v>0</v>
      </c>
      <c r="BV27" s="317">
        <v>0</v>
      </c>
      <c r="BW27" s="18">
        <v>0</v>
      </c>
      <c r="BX27" s="18">
        <v>0</v>
      </c>
      <c r="BY27" s="317">
        <v>0</v>
      </c>
      <c r="BZ27" s="18">
        <v>0</v>
      </c>
      <c r="CA27" s="18">
        <v>0</v>
      </c>
      <c r="CB27" s="317">
        <v>0</v>
      </c>
      <c r="CC27" s="18">
        <v>0</v>
      </c>
      <c r="CD27" s="18">
        <v>0</v>
      </c>
      <c r="CE27" s="317">
        <v>0</v>
      </c>
      <c r="CF27" s="18">
        <v>0</v>
      </c>
      <c r="CG27" s="18">
        <v>0</v>
      </c>
      <c r="CH27" s="317">
        <v>0</v>
      </c>
      <c r="CI27" s="18">
        <v>0</v>
      </c>
      <c r="CJ27" s="18">
        <v>0</v>
      </c>
      <c r="CK27" s="317">
        <v>0</v>
      </c>
      <c r="CL27" s="18">
        <v>0</v>
      </c>
      <c r="CM27" s="18">
        <v>0</v>
      </c>
      <c r="CN27" s="317">
        <v>0</v>
      </c>
      <c r="CO27" s="18">
        <v>0</v>
      </c>
      <c r="CP27" s="18">
        <v>0</v>
      </c>
      <c r="CQ27" s="317">
        <v>0</v>
      </c>
      <c r="CR27" s="18">
        <v>0</v>
      </c>
      <c r="CS27" s="18">
        <v>0</v>
      </c>
      <c r="CT27" s="317">
        <v>0</v>
      </c>
      <c r="CU27" s="18">
        <v>0</v>
      </c>
      <c r="CV27" s="18">
        <v>0</v>
      </c>
      <c r="CW27" s="317">
        <v>0</v>
      </c>
      <c r="CX27" s="18">
        <v>0</v>
      </c>
      <c r="CY27" s="18">
        <v>0</v>
      </c>
      <c r="CZ27" s="317">
        <v>0</v>
      </c>
      <c r="DA27" s="18">
        <v>0</v>
      </c>
      <c r="DB27" s="18">
        <v>0</v>
      </c>
      <c r="DC27" s="317">
        <v>0</v>
      </c>
      <c r="DD27" s="18">
        <v>0</v>
      </c>
      <c r="DE27" s="18">
        <v>0</v>
      </c>
      <c r="DF27" s="317">
        <v>0</v>
      </c>
      <c r="DG27" s="18">
        <v>0</v>
      </c>
      <c r="DH27" s="18">
        <v>0</v>
      </c>
      <c r="DI27" s="317">
        <v>0</v>
      </c>
      <c r="DJ27" s="18">
        <v>0</v>
      </c>
      <c r="DK27" s="18">
        <v>0</v>
      </c>
      <c r="DL27" s="317">
        <v>0</v>
      </c>
      <c r="DM27" s="18">
        <v>0</v>
      </c>
      <c r="DN27" s="18">
        <v>0</v>
      </c>
      <c r="DO27" s="317">
        <v>0</v>
      </c>
      <c r="DP27" s="18">
        <v>0</v>
      </c>
      <c r="DQ27" s="18">
        <v>0</v>
      </c>
      <c r="DR27" s="317">
        <v>0</v>
      </c>
      <c r="DS27" s="18">
        <v>0</v>
      </c>
      <c r="DT27" s="18">
        <v>0</v>
      </c>
      <c r="DU27" s="317">
        <v>0</v>
      </c>
      <c r="DV27" s="18">
        <v>0</v>
      </c>
      <c r="DW27" s="18">
        <v>0</v>
      </c>
      <c r="DX27" s="317">
        <v>0</v>
      </c>
      <c r="DY27" s="18">
        <v>0</v>
      </c>
      <c r="DZ27" s="18">
        <v>0</v>
      </c>
      <c r="EA27" s="317">
        <v>0</v>
      </c>
      <c r="EB27" s="18">
        <v>0</v>
      </c>
      <c r="EC27" s="18">
        <v>0</v>
      </c>
      <c r="ED27" s="317">
        <v>0</v>
      </c>
      <c r="EE27" s="18">
        <v>0</v>
      </c>
      <c r="EF27" s="18">
        <v>0</v>
      </c>
      <c r="EG27" s="317">
        <v>0</v>
      </c>
      <c r="EH27" s="18">
        <v>0</v>
      </c>
      <c r="EI27" s="18">
        <v>0</v>
      </c>
      <c r="EJ27" s="317">
        <v>0</v>
      </c>
      <c r="EK27" s="18">
        <v>0</v>
      </c>
      <c r="EL27" s="18">
        <v>0</v>
      </c>
      <c r="EM27" s="317">
        <v>0</v>
      </c>
      <c r="EN27" s="18">
        <v>0</v>
      </c>
      <c r="EO27" s="18">
        <v>0</v>
      </c>
      <c r="EP27" s="317">
        <v>0</v>
      </c>
      <c r="EQ27" s="18">
        <v>0</v>
      </c>
      <c r="ER27" s="18">
        <v>0</v>
      </c>
      <c r="ES27" s="317">
        <v>0</v>
      </c>
      <c r="ET27" s="18">
        <v>0</v>
      </c>
      <c r="EU27" s="18">
        <v>0</v>
      </c>
      <c r="EV27" s="317">
        <v>0</v>
      </c>
      <c r="EW27" s="18">
        <v>0</v>
      </c>
      <c r="EX27" s="18">
        <v>0</v>
      </c>
      <c r="EY27" s="317">
        <v>0</v>
      </c>
      <c r="EZ27" s="18">
        <v>0</v>
      </c>
      <c r="FA27" s="18">
        <v>0</v>
      </c>
      <c r="FB27" s="317">
        <v>0</v>
      </c>
      <c r="FC27" s="18">
        <v>0</v>
      </c>
      <c r="FD27" s="18">
        <v>0</v>
      </c>
      <c r="FE27" s="317">
        <v>0</v>
      </c>
      <c r="FF27" s="18">
        <v>0</v>
      </c>
      <c r="FG27" s="18">
        <v>0</v>
      </c>
      <c r="FH27" s="317">
        <v>0</v>
      </c>
      <c r="FI27" s="18">
        <v>0</v>
      </c>
      <c r="FJ27" s="18">
        <v>0</v>
      </c>
      <c r="FK27" s="317">
        <v>0</v>
      </c>
      <c r="FL27" s="18">
        <v>0</v>
      </c>
      <c r="FM27" s="18">
        <v>0</v>
      </c>
      <c r="FN27" s="317">
        <v>0</v>
      </c>
      <c r="FO27" s="640"/>
      <c r="FP27" s="531"/>
      <c r="FQ27" s="531"/>
      <c r="FR27" s="531"/>
      <c r="FS27" s="531"/>
      <c r="FT27" s="531"/>
      <c r="FU27" s="640"/>
      <c r="FV27" s="531"/>
      <c r="FW27" s="531"/>
      <c r="FX27" s="531"/>
      <c r="FY27" s="531"/>
      <c r="FZ27" s="531"/>
    </row>
    <row r="28" spans="1:182" ht="12.75">
      <c r="A28" s="40">
        <v>43859</v>
      </c>
      <c r="B28" s="50">
        <f t="shared" ref="B28:D28" si="23">SUM(I28,AM28)</f>
        <v>0</v>
      </c>
      <c r="C28" s="50">
        <f t="shared" si="23"/>
        <v>0</v>
      </c>
      <c r="D28" s="50">
        <f t="shared" si="23"/>
        <v>0</v>
      </c>
      <c r="E28" s="154">
        <f t="shared" si="1"/>
        <v>0</v>
      </c>
      <c r="F28" s="15">
        <v>0</v>
      </c>
      <c r="G28" s="15">
        <v>0</v>
      </c>
      <c r="H28" s="17">
        <v>0</v>
      </c>
      <c r="I28" s="15">
        <v>0</v>
      </c>
      <c r="J28" s="15">
        <v>0</v>
      </c>
      <c r="K28" s="17">
        <v>0</v>
      </c>
      <c r="L28" s="15">
        <v>0</v>
      </c>
      <c r="M28" s="15">
        <v>0</v>
      </c>
      <c r="N28" s="17">
        <v>0</v>
      </c>
      <c r="O28" s="15">
        <v>0</v>
      </c>
      <c r="P28" s="15">
        <v>0</v>
      </c>
      <c r="Q28" s="17">
        <v>0</v>
      </c>
      <c r="R28" s="15">
        <v>0</v>
      </c>
      <c r="S28" s="15">
        <v>0</v>
      </c>
      <c r="T28" s="17">
        <v>0</v>
      </c>
      <c r="U28" s="15">
        <v>0</v>
      </c>
      <c r="V28" s="15">
        <v>0</v>
      </c>
      <c r="W28" s="17">
        <v>0</v>
      </c>
      <c r="X28" s="15">
        <v>0</v>
      </c>
      <c r="Y28" s="15">
        <v>0</v>
      </c>
      <c r="Z28" s="17">
        <v>0</v>
      </c>
      <c r="AA28" s="15">
        <v>0</v>
      </c>
      <c r="AB28" s="15">
        <v>0</v>
      </c>
      <c r="AC28" s="17">
        <v>0</v>
      </c>
      <c r="AD28" s="15">
        <v>0</v>
      </c>
      <c r="AE28" s="15">
        <v>0</v>
      </c>
      <c r="AF28" s="17">
        <v>0</v>
      </c>
      <c r="AG28" s="15">
        <v>0</v>
      </c>
      <c r="AH28" s="15">
        <v>0</v>
      </c>
      <c r="AI28" s="17">
        <v>0</v>
      </c>
      <c r="AJ28" s="15">
        <v>0</v>
      </c>
      <c r="AK28" s="15">
        <v>0</v>
      </c>
      <c r="AL28" s="17">
        <v>0</v>
      </c>
      <c r="AM28" s="15">
        <v>0</v>
      </c>
      <c r="AN28" s="15">
        <v>0</v>
      </c>
      <c r="AO28" s="17">
        <v>0</v>
      </c>
      <c r="AP28" s="15">
        <v>0</v>
      </c>
      <c r="AQ28" s="15">
        <v>0</v>
      </c>
      <c r="AR28" s="17">
        <v>0</v>
      </c>
      <c r="AS28" s="15">
        <v>0</v>
      </c>
      <c r="AT28" s="15">
        <v>0</v>
      </c>
      <c r="AU28" s="17">
        <v>0</v>
      </c>
      <c r="AV28" s="15">
        <v>0</v>
      </c>
      <c r="AW28" s="15">
        <v>0</v>
      </c>
      <c r="AX28" s="17">
        <v>0</v>
      </c>
      <c r="AY28" s="15">
        <v>0</v>
      </c>
      <c r="AZ28" s="15">
        <v>0</v>
      </c>
      <c r="BA28" s="17">
        <v>0</v>
      </c>
      <c r="BB28" s="15">
        <v>0</v>
      </c>
      <c r="BC28" s="15">
        <v>0</v>
      </c>
      <c r="BD28" s="17">
        <v>0</v>
      </c>
      <c r="BE28" s="15">
        <v>0</v>
      </c>
      <c r="BF28" s="15">
        <v>0</v>
      </c>
      <c r="BG28" s="17">
        <v>0</v>
      </c>
      <c r="BH28" s="15">
        <v>0</v>
      </c>
      <c r="BI28" s="15">
        <v>0</v>
      </c>
      <c r="BJ28" s="17">
        <v>0</v>
      </c>
      <c r="BK28" s="15">
        <v>0</v>
      </c>
      <c r="BL28" s="15">
        <v>0</v>
      </c>
      <c r="BM28" s="17">
        <v>0</v>
      </c>
      <c r="BN28" s="15">
        <v>0</v>
      </c>
      <c r="BO28" s="15">
        <v>0</v>
      </c>
      <c r="BP28" s="17">
        <v>0</v>
      </c>
      <c r="BQ28" s="15">
        <v>0</v>
      </c>
      <c r="BR28" s="15">
        <v>0</v>
      </c>
      <c r="BS28" s="17">
        <v>0</v>
      </c>
      <c r="BT28" s="15">
        <v>0</v>
      </c>
      <c r="BU28" s="15">
        <v>0</v>
      </c>
      <c r="BV28" s="17">
        <v>0</v>
      </c>
      <c r="BW28" s="15">
        <v>0</v>
      </c>
      <c r="BX28" s="15">
        <v>0</v>
      </c>
      <c r="BY28" s="17">
        <v>0</v>
      </c>
      <c r="BZ28" s="15">
        <v>0</v>
      </c>
      <c r="CA28" s="15">
        <v>0</v>
      </c>
      <c r="CB28" s="17">
        <v>0</v>
      </c>
      <c r="CC28" s="15">
        <v>0</v>
      </c>
      <c r="CD28" s="15">
        <v>0</v>
      </c>
      <c r="CE28" s="17">
        <v>0</v>
      </c>
      <c r="CF28" s="15">
        <v>0</v>
      </c>
      <c r="CG28" s="15">
        <v>0</v>
      </c>
      <c r="CH28" s="17">
        <v>0</v>
      </c>
      <c r="CI28" s="15">
        <v>0</v>
      </c>
      <c r="CJ28" s="15">
        <v>0</v>
      </c>
      <c r="CK28" s="17">
        <v>0</v>
      </c>
      <c r="CL28" s="15">
        <v>0</v>
      </c>
      <c r="CM28" s="15">
        <v>0</v>
      </c>
      <c r="CN28" s="17">
        <v>0</v>
      </c>
      <c r="CO28" s="15">
        <v>0</v>
      </c>
      <c r="CP28" s="15">
        <v>0</v>
      </c>
      <c r="CQ28" s="17">
        <v>0</v>
      </c>
      <c r="CR28" s="15">
        <v>0</v>
      </c>
      <c r="CS28" s="15">
        <v>0</v>
      </c>
      <c r="CT28" s="17">
        <v>0</v>
      </c>
      <c r="CU28" s="15">
        <v>0</v>
      </c>
      <c r="CV28" s="15">
        <v>0</v>
      </c>
      <c r="CW28" s="17">
        <v>0</v>
      </c>
      <c r="CX28" s="15">
        <v>0</v>
      </c>
      <c r="CY28" s="15">
        <v>0</v>
      </c>
      <c r="CZ28" s="17">
        <v>0</v>
      </c>
      <c r="DA28" s="15">
        <v>0</v>
      </c>
      <c r="DB28" s="15">
        <v>0</v>
      </c>
      <c r="DC28" s="17">
        <v>0</v>
      </c>
      <c r="DD28" s="15">
        <v>0</v>
      </c>
      <c r="DE28" s="15">
        <v>0</v>
      </c>
      <c r="DF28" s="17">
        <v>0</v>
      </c>
      <c r="DG28" s="15">
        <v>0</v>
      </c>
      <c r="DH28" s="15">
        <v>0</v>
      </c>
      <c r="DI28" s="17">
        <v>0</v>
      </c>
      <c r="DJ28" s="15">
        <v>0</v>
      </c>
      <c r="DK28" s="15">
        <v>0</v>
      </c>
      <c r="DL28" s="17">
        <v>0</v>
      </c>
      <c r="DM28" s="15">
        <v>0</v>
      </c>
      <c r="DN28" s="15">
        <v>0</v>
      </c>
      <c r="DO28" s="17">
        <v>0</v>
      </c>
      <c r="DP28" s="15">
        <v>0</v>
      </c>
      <c r="DQ28" s="15">
        <v>0</v>
      </c>
      <c r="DR28" s="17">
        <v>0</v>
      </c>
      <c r="DS28" s="15">
        <v>0</v>
      </c>
      <c r="DT28" s="15">
        <v>0</v>
      </c>
      <c r="DU28" s="17">
        <v>0</v>
      </c>
      <c r="DV28" s="15">
        <v>0</v>
      </c>
      <c r="DW28" s="15">
        <v>0</v>
      </c>
      <c r="DX28" s="17">
        <v>0</v>
      </c>
      <c r="DY28" s="15">
        <v>0</v>
      </c>
      <c r="DZ28" s="15">
        <v>0</v>
      </c>
      <c r="EA28" s="17">
        <v>0</v>
      </c>
      <c r="EB28" s="15">
        <v>0</v>
      </c>
      <c r="EC28" s="15">
        <v>0</v>
      </c>
      <c r="ED28" s="17">
        <v>0</v>
      </c>
      <c r="EE28" s="15">
        <v>0</v>
      </c>
      <c r="EF28" s="15">
        <v>0</v>
      </c>
      <c r="EG28" s="17">
        <v>0</v>
      </c>
      <c r="EH28" s="15">
        <v>0</v>
      </c>
      <c r="EI28" s="15">
        <v>0</v>
      </c>
      <c r="EJ28" s="17">
        <v>0</v>
      </c>
      <c r="EK28" s="15">
        <v>0</v>
      </c>
      <c r="EL28" s="15">
        <v>0</v>
      </c>
      <c r="EM28" s="17">
        <v>0</v>
      </c>
      <c r="EN28" s="15">
        <v>0</v>
      </c>
      <c r="EO28" s="15">
        <v>0</v>
      </c>
      <c r="EP28" s="17">
        <v>0</v>
      </c>
      <c r="EQ28" s="15">
        <v>0</v>
      </c>
      <c r="ER28" s="15">
        <v>0</v>
      </c>
      <c r="ES28" s="17">
        <v>0</v>
      </c>
      <c r="ET28" s="15">
        <v>0</v>
      </c>
      <c r="EU28" s="15">
        <v>0</v>
      </c>
      <c r="EV28" s="17">
        <v>0</v>
      </c>
      <c r="EW28" s="15">
        <v>0</v>
      </c>
      <c r="EX28" s="15">
        <v>0</v>
      </c>
      <c r="EY28" s="17">
        <v>0</v>
      </c>
      <c r="EZ28" s="15">
        <v>0</v>
      </c>
      <c r="FA28" s="15">
        <v>0</v>
      </c>
      <c r="FB28" s="17">
        <v>0</v>
      </c>
      <c r="FC28" s="15">
        <v>0</v>
      </c>
      <c r="FD28" s="15">
        <v>0</v>
      </c>
      <c r="FE28" s="17">
        <v>0</v>
      </c>
      <c r="FF28" s="15">
        <v>0</v>
      </c>
      <c r="FG28" s="15">
        <v>0</v>
      </c>
      <c r="FH28" s="17">
        <v>0</v>
      </c>
      <c r="FI28" s="15">
        <v>0</v>
      </c>
      <c r="FJ28" s="15">
        <v>0</v>
      </c>
      <c r="FK28" s="17">
        <v>0</v>
      </c>
      <c r="FL28" s="15">
        <v>0</v>
      </c>
      <c r="FM28" s="15">
        <v>0</v>
      </c>
      <c r="FN28" s="17">
        <v>0</v>
      </c>
      <c r="FO28" s="640"/>
      <c r="FP28" s="531"/>
      <c r="FQ28" s="531"/>
      <c r="FR28" s="531"/>
      <c r="FS28" s="531"/>
      <c r="FT28" s="531"/>
      <c r="FU28" s="640"/>
      <c r="FV28" s="531"/>
      <c r="FW28" s="531"/>
      <c r="FX28" s="531"/>
      <c r="FY28" s="531"/>
      <c r="FZ28" s="531"/>
    </row>
    <row r="29" spans="1:182" ht="12.75">
      <c r="A29" s="40">
        <v>43860</v>
      </c>
      <c r="B29" s="50">
        <f t="shared" ref="B29:D29" si="24">SUM(I29,AM29)</f>
        <v>0</v>
      </c>
      <c r="C29" s="50">
        <f t="shared" si="24"/>
        <v>0</v>
      </c>
      <c r="D29" s="50">
        <f t="shared" si="24"/>
        <v>0</v>
      </c>
      <c r="E29" s="154">
        <f t="shared" si="1"/>
        <v>0</v>
      </c>
      <c r="F29" s="18">
        <v>0</v>
      </c>
      <c r="G29" s="18">
        <v>0</v>
      </c>
      <c r="H29" s="317">
        <v>0</v>
      </c>
      <c r="I29" s="18">
        <v>0</v>
      </c>
      <c r="J29" s="18">
        <v>0</v>
      </c>
      <c r="K29" s="317">
        <v>0</v>
      </c>
      <c r="L29" s="18">
        <v>0</v>
      </c>
      <c r="M29" s="18">
        <v>0</v>
      </c>
      <c r="N29" s="317">
        <v>0</v>
      </c>
      <c r="O29" s="18">
        <v>0</v>
      </c>
      <c r="P29" s="18">
        <v>0</v>
      </c>
      <c r="Q29" s="317">
        <v>0</v>
      </c>
      <c r="R29" s="18">
        <v>0</v>
      </c>
      <c r="S29" s="18">
        <v>0</v>
      </c>
      <c r="T29" s="317">
        <v>0</v>
      </c>
      <c r="U29" s="18">
        <v>0</v>
      </c>
      <c r="V29" s="18">
        <v>0</v>
      </c>
      <c r="W29" s="317">
        <v>0</v>
      </c>
      <c r="X29" s="18">
        <v>0</v>
      </c>
      <c r="Y29" s="18">
        <v>0</v>
      </c>
      <c r="Z29" s="317">
        <v>0</v>
      </c>
      <c r="AA29" s="18">
        <v>0</v>
      </c>
      <c r="AB29" s="18">
        <v>0</v>
      </c>
      <c r="AC29" s="317">
        <v>0</v>
      </c>
      <c r="AD29" s="18">
        <v>0</v>
      </c>
      <c r="AE29" s="18">
        <v>0</v>
      </c>
      <c r="AF29" s="317">
        <v>0</v>
      </c>
      <c r="AG29" s="18">
        <v>0</v>
      </c>
      <c r="AH29" s="18">
        <v>0</v>
      </c>
      <c r="AI29" s="317">
        <v>0</v>
      </c>
      <c r="AJ29" s="18">
        <v>0</v>
      </c>
      <c r="AK29" s="18">
        <v>0</v>
      </c>
      <c r="AL29" s="317">
        <v>0</v>
      </c>
      <c r="AM29" s="18">
        <v>0</v>
      </c>
      <c r="AN29" s="18">
        <v>0</v>
      </c>
      <c r="AO29" s="317">
        <v>0</v>
      </c>
      <c r="AP29" s="18">
        <v>0</v>
      </c>
      <c r="AQ29" s="18">
        <v>0</v>
      </c>
      <c r="AR29" s="317">
        <v>0</v>
      </c>
      <c r="AS29" s="18">
        <v>0</v>
      </c>
      <c r="AT29" s="18">
        <v>0</v>
      </c>
      <c r="AU29" s="317">
        <v>0</v>
      </c>
      <c r="AV29" s="18">
        <v>0</v>
      </c>
      <c r="AW29" s="18">
        <v>0</v>
      </c>
      <c r="AX29" s="317">
        <v>0</v>
      </c>
      <c r="AY29" s="18">
        <v>0</v>
      </c>
      <c r="AZ29" s="18">
        <v>0</v>
      </c>
      <c r="BA29" s="317">
        <v>0</v>
      </c>
      <c r="BB29" s="18">
        <v>0</v>
      </c>
      <c r="BC29" s="18">
        <v>0</v>
      </c>
      <c r="BD29" s="317">
        <v>0</v>
      </c>
      <c r="BE29" s="18">
        <v>0</v>
      </c>
      <c r="BF29" s="18">
        <v>0</v>
      </c>
      <c r="BG29" s="317">
        <v>0</v>
      </c>
      <c r="BH29" s="18">
        <v>0</v>
      </c>
      <c r="BI29" s="18">
        <v>0</v>
      </c>
      <c r="BJ29" s="317">
        <v>0</v>
      </c>
      <c r="BK29" s="18">
        <v>0</v>
      </c>
      <c r="BL29" s="18">
        <v>0</v>
      </c>
      <c r="BM29" s="317">
        <v>0</v>
      </c>
      <c r="BN29" s="18">
        <v>0</v>
      </c>
      <c r="BO29" s="18">
        <v>0</v>
      </c>
      <c r="BP29" s="317">
        <v>0</v>
      </c>
      <c r="BQ29" s="18">
        <v>0</v>
      </c>
      <c r="BR29" s="18">
        <v>0</v>
      </c>
      <c r="BS29" s="317">
        <v>0</v>
      </c>
      <c r="BT29" s="18">
        <v>0</v>
      </c>
      <c r="BU29" s="18">
        <v>0</v>
      </c>
      <c r="BV29" s="317">
        <v>0</v>
      </c>
      <c r="BW29" s="18">
        <v>0</v>
      </c>
      <c r="BX29" s="18">
        <v>0</v>
      </c>
      <c r="BY29" s="317">
        <v>0</v>
      </c>
      <c r="BZ29" s="18">
        <v>0</v>
      </c>
      <c r="CA29" s="18">
        <v>0</v>
      </c>
      <c r="CB29" s="317">
        <v>0</v>
      </c>
      <c r="CC29" s="18">
        <v>0</v>
      </c>
      <c r="CD29" s="18">
        <v>0</v>
      </c>
      <c r="CE29" s="317">
        <v>0</v>
      </c>
      <c r="CF29" s="18">
        <v>0</v>
      </c>
      <c r="CG29" s="18">
        <v>0</v>
      </c>
      <c r="CH29" s="317">
        <v>0</v>
      </c>
      <c r="CI29" s="18">
        <v>0</v>
      </c>
      <c r="CJ29" s="18">
        <v>0</v>
      </c>
      <c r="CK29" s="317">
        <v>0</v>
      </c>
      <c r="CL29" s="18">
        <v>0</v>
      </c>
      <c r="CM29" s="18">
        <v>0</v>
      </c>
      <c r="CN29" s="317">
        <v>0</v>
      </c>
      <c r="CO29" s="18">
        <v>0</v>
      </c>
      <c r="CP29" s="18">
        <v>0</v>
      </c>
      <c r="CQ29" s="317">
        <v>0</v>
      </c>
      <c r="CR29" s="18">
        <v>0</v>
      </c>
      <c r="CS29" s="18">
        <v>0</v>
      </c>
      <c r="CT29" s="317">
        <v>0</v>
      </c>
      <c r="CU29" s="18">
        <v>0</v>
      </c>
      <c r="CV29" s="18">
        <v>0</v>
      </c>
      <c r="CW29" s="317">
        <v>0</v>
      </c>
      <c r="CX29" s="18">
        <v>0</v>
      </c>
      <c r="CY29" s="18">
        <v>0</v>
      </c>
      <c r="CZ29" s="317">
        <v>0</v>
      </c>
      <c r="DA29" s="18">
        <v>0</v>
      </c>
      <c r="DB29" s="18">
        <v>0</v>
      </c>
      <c r="DC29" s="317">
        <v>0</v>
      </c>
      <c r="DD29" s="18">
        <v>0</v>
      </c>
      <c r="DE29" s="18">
        <v>0</v>
      </c>
      <c r="DF29" s="317">
        <v>0</v>
      </c>
      <c r="DG29" s="18">
        <v>0</v>
      </c>
      <c r="DH29" s="18">
        <v>0</v>
      </c>
      <c r="DI29" s="317">
        <v>0</v>
      </c>
      <c r="DJ29" s="18">
        <v>0</v>
      </c>
      <c r="DK29" s="18">
        <v>0</v>
      </c>
      <c r="DL29" s="317">
        <v>0</v>
      </c>
      <c r="DM29" s="18">
        <v>0</v>
      </c>
      <c r="DN29" s="18">
        <v>0</v>
      </c>
      <c r="DO29" s="317">
        <v>0</v>
      </c>
      <c r="DP29" s="18">
        <v>0</v>
      </c>
      <c r="DQ29" s="18">
        <v>0</v>
      </c>
      <c r="DR29" s="317">
        <v>0</v>
      </c>
      <c r="DS29" s="18">
        <v>0</v>
      </c>
      <c r="DT29" s="18">
        <v>0</v>
      </c>
      <c r="DU29" s="317">
        <v>0</v>
      </c>
      <c r="DV29" s="18">
        <v>0</v>
      </c>
      <c r="DW29" s="18">
        <v>0</v>
      </c>
      <c r="DX29" s="317">
        <v>0</v>
      </c>
      <c r="DY29" s="18">
        <v>0</v>
      </c>
      <c r="DZ29" s="18">
        <v>0</v>
      </c>
      <c r="EA29" s="317">
        <v>0</v>
      </c>
      <c r="EB29" s="18">
        <v>0</v>
      </c>
      <c r="EC29" s="18">
        <v>0</v>
      </c>
      <c r="ED29" s="317">
        <v>0</v>
      </c>
      <c r="EE29" s="18">
        <v>0</v>
      </c>
      <c r="EF29" s="18">
        <v>0</v>
      </c>
      <c r="EG29" s="317">
        <v>0</v>
      </c>
      <c r="EH29" s="18">
        <v>0</v>
      </c>
      <c r="EI29" s="18">
        <v>0</v>
      </c>
      <c r="EJ29" s="317">
        <v>0</v>
      </c>
      <c r="EK29" s="18">
        <v>0</v>
      </c>
      <c r="EL29" s="18">
        <v>0</v>
      </c>
      <c r="EM29" s="317">
        <v>0</v>
      </c>
      <c r="EN29" s="18">
        <v>0</v>
      </c>
      <c r="EO29" s="18">
        <v>0</v>
      </c>
      <c r="EP29" s="317">
        <v>0</v>
      </c>
      <c r="EQ29" s="18">
        <v>0</v>
      </c>
      <c r="ER29" s="18">
        <v>0</v>
      </c>
      <c r="ES29" s="317">
        <v>0</v>
      </c>
      <c r="ET29" s="18">
        <v>0</v>
      </c>
      <c r="EU29" s="18">
        <v>0</v>
      </c>
      <c r="EV29" s="317">
        <v>0</v>
      </c>
      <c r="EW29" s="18">
        <v>0</v>
      </c>
      <c r="EX29" s="18">
        <v>0</v>
      </c>
      <c r="EY29" s="317">
        <v>0</v>
      </c>
      <c r="EZ29" s="18">
        <v>0</v>
      </c>
      <c r="FA29" s="18">
        <v>0</v>
      </c>
      <c r="FB29" s="317">
        <v>0</v>
      </c>
      <c r="FC29" s="18">
        <v>0</v>
      </c>
      <c r="FD29" s="18">
        <v>0</v>
      </c>
      <c r="FE29" s="317">
        <v>0</v>
      </c>
      <c r="FF29" s="18">
        <v>0</v>
      </c>
      <c r="FG29" s="18">
        <v>0</v>
      </c>
      <c r="FH29" s="317">
        <v>0</v>
      </c>
      <c r="FI29" s="18">
        <v>0</v>
      </c>
      <c r="FJ29" s="18">
        <v>0</v>
      </c>
      <c r="FK29" s="317">
        <v>0</v>
      </c>
      <c r="FL29" s="18">
        <v>0</v>
      </c>
      <c r="FM29" s="18">
        <v>0</v>
      </c>
      <c r="FN29" s="317">
        <v>0</v>
      </c>
      <c r="FO29" s="640"/>
      <c r="FP29" s="531"/>
      <c r="FQ29" s="531"/>
      <c r="FR29" s="531"/>
      <c r="FS29" s="531"/>
      <c r="FT29" s="531"/>
      <c r="FU29" s="640"/>
      <c r="FV29" s="531"/>
      <c r="FW29" s="531"/>
      <c r="FX29" s="531"/>
      <c r="FY29" s="531"/>
      <c r="FZ29" s="531"/>
    </row>
    <row r="30" spans="1:182" ht="12.75">
      <c r="A30" s="43">
        <v>43861</v>
      </c>
      <c r="B30" s="318">
        <f t="shared" ref="B30:D30" si="25">SUM(I30,AM30)</f>
        <v>0</v>
      </c>
      <c r="C30" s="318">
        <f t="shared" si="25"/>
        <v>0</v>
      </c>
      <c r="D30" s="318">
        <f t="shared" si="25"/>
        <v>0</v>
      </c>
      <c r="E30" s="319">
        <f t="shared" si="1"/>
        <v>0</v>
      </c>
      <c r="F30" s="22">
        <v>0</v>
      </c>
      <c r="G30" s="22">
        <v>0</v>
      </c>
      <c r="H30" s="24">
        <v>0</v>
      </c>
      <c r="I30" s="22">
        <v>0</v>
      </c>
      <c r="J30" s="22">
        <v>0</v>
      </c>
      <c r="K30" s="24">
        <v>0</v>
      </c>
      <c r="L30" s="22">
        <v>0</v>
      </c>
      <c r="M30" s="22">
        <v>0</v>
      </c>
      <c r="N30" s="24">
        <v>0</v>
      </c>
      <c r="O30" s="22">
        <v>0</v>
      </c>
      <c r="P30" s="22">
        <v>0</v>
      </c>
      <c r="Q30" s="24">
        <v>0</v>
      </c>
      <c r="R30" s="22">
        <v>0</v>
      </c>
      <c r="S30" s="22">
        <v>0</v>
      </c>
      <c r="T30" s="24">
        <v>0</v>
      </c>
      <c r="U30" s="22">
        <v>0</v>
      </c>
      <c r="V30" s="22">
        <v>0</v>
      </c>
      <c r="W30" s="24">
        <v>0</v>
      </c>
      <c r="X30" s="22">
        <v>0</v>
      </c>
      <c r="Y30" s="22">
        <v>0</v>
      </c>
      <c r="Z30" s="24">
        <v>0</v>
      </c>
      <c r="AA30" s="22">
        <v>0</v>
      </c>
      <c r="AB30" s="22">
        <v>0</v>
      </c>
      <c r="AC30" s="24">
        <v>0</v>
      </c>
      <c r="AD30" s="22">
        <v>0</v>
      </c>
      <c r="AE30" s="22">
        <v>0</v>
      </c>
      <c r="AF30" s="24">
        <v>0</v>
      </c>
      <c r="AG30" s="22">
        <v>0</v>
      </c>
      <c r="AH30" s="22">
        <v>0</v>
      </c>
      <c r="AI30" s="24">
        <v>0</v>
      </c>
      <c r="AJ30" s="22">
        <v>0</v>
      </c>
      <c r="AK30" s="22">
        <v>0</v>
      </c>
      <c r="AL30" s="24">
        <v>0</v>
      </c>
      <c r="AM30" s="22">
        <v>0</v>
      </c>
      <c r="AN30" s="22">
        <v>0</v>
      </c>
      <c r="AO30" s="24">
        <v>0</v>
      </c>
      <c r="AP30" s="22">
        <v>0</v>
      </c>
      <c r="AQ30" s="22">
        <v>0</v>
      </c>
      <c r="AR30" s="24">
        <v>0</v>
      </c>
      <c r="AS30" s="22">
        <v>0</v>
      </c>
      <c r="AT30" s="22">
        <v>0</v>
      </c>
      <c r="AU30" s="24">
        <v>0</v>
      </c>
      <c r="AV30" s="22">
        <v>0</v>
      </c>
      <c r="AW30" s="22">
        <v>0</v>
      </c>
      <c r="AX30" s="24">
        <v>0</v>
      </c>
      <c r="AY30" s="22">
        <v>0</v>
      </c>
      <c r="AZ30" s="22">
        <v>0</v>
      </c>
      <c r="BA30" s="24">
        <v>0</v>
      </c>
      <c r="BB30" s="22">
        <v>0</v>
      </c>
      <c r="BC30" s="22">
        <v>0</v>
      </c>
      <c r="BD30" s="24">
        <v>0</v>
      </c>
      <c r="BE30" s="22">
        <v>0</v>
      </c>
      <c r="BF30" s="22">
        <v>0</v>
      </c>
      <c r="BG30" s="24">
        <v>0</v>
      </c>
      <c r="BH30" s="22">
        <v>0</v>
      </c>
      <c r="BI30" s="22">
        <v>0</v>
      </c>
      <c r="BJ30" s="24">
        <v>0</v>
      </c>
      <c r="BK30" s="22">
        <v>0</v>
      </c>
      <c r="BL30" s="22">
        <v>0</v>
      </c>
      <c r="BM30" s="24">
        <v>0</v>
      </c>
      <c r="BN30" s="22">
        <v>0</v>
      </c>
      <c r="BO30" s="22">
        <v>0</v>
      </c>
      <c r="BP30" s="24">
        <v>0</v>
      </c>
      <c r="BQ30" s="22">
        <v>0</v>
      </c>
      <c r="BR30" s="22">
        <v>0</v>
      </c>
      <c r="BS30" s="24">
        <v>0</v>
      </c>
      <c r="BT30" s="22">
        <v>0</v>
      </c>
      <c r="BU30" s="22">
        <v>0</v>
      </c>
      <c r="BV30" s="24">
        <v>0</v>
      </c>
      <c r="BW30" s="22">
        <v>0</v>
      </c>
      <c r="BX30" s="22">
        <v>0</v>
      </c>
      <c r="BY30" s="24">
        <v>0</v>
      </c>
      <c r="BZ30" s="22">
        <v>0</v>
      </c>
      <c r="CA30" s="22">
        <v>0</v>
      </c>
      <c r="CB30" s="24">
        <v>0</v>
      </c>
      <c r="CC30" s="22">
        <v>0</v>
      </c>
      <c r="CD30" s="22">
        <v>0</v>
      </c>
      <c r="CE30" s="24">
        <v>0</v>
      </c>
      <c r="CF30" s="22">
        <v>0</v>
      </c>
      <c r="CG30" s="22">
        <v>0</v>
      </c>
      <c r="CH30" s="24">
        <v>0</v>
      </c>
      <c r="CI30" s="22">
        <v>0</v>
      </c>
      <c r="CJ30" s="22">
        <v>0</v>
      </c>
      <c r="CK30" s="24">
        <v>0</v>
      </c>
      <c r="CL30" s="22">
        <v>0</v>
      </c>
      <c r="CM30" s="22">
        <v>0</v>
      </c>
      <c r="CN30" s="24">
        <v>0</v>
      </c>
      <c r="CO30" s="22">
        <v>0</v>
      </c>
      <c r="CP30" s="22">
        <v>0</v>
      </c>
      <c r="CQ30" s="24">
        <v>0</v>
      </c>
      <c r="CR30" s="22">
        <v>0</v>
      </c>
      <c r="CS30" s="22">
        <v>0</v>
      </c>
      <c r="CT30" s="24">
        <v>0</v>
      </c>
      <c r="CU30" s="22">
        <v>0</v>
      </c>
      <c r="CV30" s="22">
        <v>0</v>
      </c>
      <c r="CW30" s="24">
        <v>0</v>
      </c>
      <c r="CX30" s="22">
        <v>0</v>
      </c>
      <c r="CY30" s="22">
        <v>0</v>
      </c>
      <c r="CZ30" s="24">
        <v>0</v>
      </c>
      <c r="DA30" s="22">
        <v>0</v>
      </c>
      <c r="DB30" s="22">
        <v>0</v>
      </c>
      <c r="DC30" s="24">
        <v>0</v>
      </c>
      <c r="DD30" s="22">
        <v>0</v>
      </c>
      <c r="DE30" s="22">
        <v>0</v>
      </c>
      <c r="DF30" s="24">
        <v>0</v>
      </c>
      <c r="DG30" s="22">
        <v>0</v>
      </c>
      <c r="DH30" s="22">
        <v>0</v>
      </c>
      <c r="DI30" s="24">
        <v>0</v>
      </c>
      <c r="DJ30" s="22">
        <v>0</v>
      </c>
      <c r="DK30" s="22">
        <v>0</v>
      </c>
      <c r="DL30" s="24">
        <v>0</v>
      </c>
      <c r="DM30" s="22">
        <v>0</v>
      </c>
      <c r="DN30" s="22">
        <v>0</v>
      </c>
      <c r="DO30" s="24">
        <v>0</v>
      </c>
      <c r="DP30" s="22">
        <v>0</v>
      </c>
      <c r="DQ30" s="22">
        <v>0</v>
      </c>
      <c r="DR30" s="24">
        <v>0</v>
      </c>
      <c r="DS30" s="22">
        <v>0</v>
      </c>
      <c r="DT30" s="22">
        <v>0</v>
      </c>
      <c r="DU30" s="24">
        <v>0</v>
      </c>
      <c r="DV30" s="22">
        <v>0</v>
      </c>
      <c r="DW30" s="22">
        <v>0</v>
      </c>
      <c r="DX30" s="24">
        <v>0</v>
      </c>
      <c r="DY30" s="22">
        <v>0</v>
      </c>
      <c r="DZ30" s="22">
        <v>0</v>
      </c>
      <c r="EA30" s="24">
        <v>0</v>
      </c>
      <c r="EB30" s="22">
        <v>0</v>
      </c>
      <c r="EC30" s="22">
        <v>0</v>
      </c>
      <c r="ED30" s="24">
        <v>0</v>
      </c>
      <c r="EE30" s="22">
        <v>0</v>
      </c>
      <c r="EF30" s="22">
        <v>0</v>
      </c>
      <c r="EG30" s="24">
        <v>0</v>
      </c>
      <c r="EH30" s="22">
        <v>0</v>
      </c>
      <c r="EI30" s="22">
        <v>0</v>
      </c>
      <c r="EJ30" s="24">
        <v>0</v>
      </c>
      <c r="EK30" s="22">
        <v>0</v>
      </c>
      <c r="EL30" s="22">
        <v>0</v>
      </c>
      <c r="EM30" s="24">
        <v>0</v>
      </c>
      <c r="EN30" s="22">
        <v>0</v>
      </c>
      <c r="EO30" s="22">
        <v>0</v>
      </c>
      <c r="EP30" s="24">
        <v>0</v>
      </c>
      <c r="EQ30" s="22">
        <v>0</v>
      </c>
      <c r="ER30" s="22">
        <v>0</v>
      </c>
      <c r="ES30" s="24">
        <v>0</v>
      </c>
      <c r="ET30" s="22">
        <v>0</v>
      </c>
      <c r="EU30" s="22">
        <v>0</v>
      </c>
      <c r="EV30" s="24">
        <v>0</v>
      </c>
      <c r="EW30" s="22">
        <v>0</v>
      </c>
      <c r="EX30" s="22">
        <v>0</v>
      </c>
      <c r="EY30" s="24">
        <v>0</v>
      </c>
      <c r="EZ30" s="22">
        <v>0</v>
      </c>
      <c r="FA30" s="22">
        <v>0</v>
      </c>
      <c r="FB30" s="24">
        <v>0</v>
      </c>
      <c r="FC30" s="22">
        <v>0</v>
      </c>
      <c r="FD30" s="22">
        <v>0</v>
      </c>
      <c r="FE30" s="24">
        <v>0</v>
      </c>
      <c r="FF30" s="22">
        <v>0</v>
      </c>
      <c r="FG30" s="22">
        <v>0</v>
      </c>
      <c r="FH30" s="24">
        <v>0</v>
      </c>
      <c r="FI30" s="22">
        <v>0</v>
      </c>
      <c r="FJ30" s="22">
        <v>0</v>
      </c>
      <c r="FK30" s="24">
        <v>0</v>
      </c>
      <c r="FL30" s="22">
        <v>0</v>
      </c>
      <c r="FM30" s="22">
        <v>0</v>
      </c>
      <c r="FN30" s="24">
        <v>0</v>
      </c>
      <c r="FO30" s="641"/>
      <c r="FP30" s="639"/>
      <c r="FQ30" s="639"/>
      <c r="FR30" s="639"/>
      <c r="FS30" s="639"/>
      <c r="FT30" s="639"/>
      <c r="FU30" s="641"/>
      <c r="FV30" s="639"/>
      <c r="FW30" s="639"/>
      <c r="FX30" s="639"/>
      <c r="FY30" s="639"/>
      <c r="FZ30" s="639"/>
    </row>
    <row r="31" spans="1:182" ht="12.75">
      <c r="A31" s="40">
        <v>43862</v>
      </c>
      <c r="B31" s="50">
        <f t="shared" ref="B31:D31" si="26">SUM(I31,AM31)</f>
        <v>0</v>
      </c>
      <c r="C31" s="50">
        <f t="shared" si="26"/>
        <v>0</v>
      </c>
      <c r="D31" s="50">
        <f t="shared" si="26"/>
        <v>0</v>
      </c>
      <c r="E31" s="154">
        <f t="shared" si="1"/>
        <v>0</v>
      </c>
      <c r="F31" s="18">
        <v>0</v>
      </c>
      <c r="G31" s="18">
        <v>0</v>
      </c>
      <c r="H31" s="317">
        <v>0</v>
      </c>
      <c r="I31" s="18">
        <v>0</v>
      </c>
      <c r="J31" s="18">
        <v>0</v>
      </c>
      <c r="K31" s="317">
        <v>0</v>
      </c>
      <c r="L31" s="18">
        <v>0</v>
      </c>
      <c r="M31" s="18">
        <v>0</v>
      </c>
      <c r="N31" s="317">
        <v>0</v>
      </c>
      <c r="O31" s="18">
        <v>0</v>
      </c>
      <c r="P31" s="18">
        <v>0</v>
      </c>
      <c r="Q31" s="317">
        <v>0</v>
      </c>
      <c r="R31" s="18">
        <v>0</v>
      </c>
      <c r="S31" s="18">
        <v>0</v>
      </c>
      <c r="T31" s="317">
        <v>0</v>
      </c>
      <c r="U31" s="18">
        <v>0</v>
      </c>
      <c r="V31" s="18">
        <v>0</v>
      </c>
      <c r="W31" s="317">
        <v>0</v>
      </c>
      <c r="X31" s="18">
        <v>0</v>
      </c>
      <c r="Y31" s="18">
        <v>0</v>
      </c>
      <c r="Z31" s="317">
        <v>0</v>
      </c>
      <c r="AA31" s="18">
        <v>0</v>
      </c>
      <c r="AB31" s="18">
        <v>0</v>
      </c>
      <c r="AC31" s="317">
        <v>0</v>
      </c>
      <c r="AD31" s="18">
        <v>0</v>
      </c>
      <c r="AE31" s="18">
        <v>0</v>
      </c>
      <c r="AF31" s="317">
        <v>0</v>
      </c>
      <c r="AG31" s="18">
        <v>0</v>
      </c>
      <c r="AH31" s="18">
        <v>0</v>
      </c>
      <c r="AI31" s="317">
        <v>0</v>
      </c>
      <c r="AJ31" s="18">
        <v>0</v>
      </c>
      <c r="AK31" s="18">
        <v>0</v>
      </c>
      <c r="AL31" s="317">
        <v>0</v>
      </c>
      <c r="AM31" s="18">
        <v>0</v>
      </c>
      <c r="AN31" s="18">
        <v>0</v>
      </c>
      <c r="AO31" s="317">
        <v>0</v>
      </c>
      <c r="AP31" s="18">
        <v>0</v>
      </c>
      <c r="AQ31" s="18">
        <v>0</v>
      </c>
      <c r="AR31" s="317">
        <v>0</v>
      </c>
      <c r="AS31" s="18">
        <v>0</v>
      </c>
      <c r="AT31" s="18">
        <v>0</v>
      </c>
      <c r="AU31" s="317">
        <v>0</v>
      </c>
      <c r="AV31" s="18">
        <v>0</v>
      </c>
      <c r="AW31" s="18">
        <v>0</v>
      </c>
      <c r="AX31" s="317">
        <v>0</v>
      </c>
      <c r="AY31" s="18">
        <v>0</v>
      </c>
      <c r="AZ31" s="18">
        <v>0</v>
      </c>
      <c r="BA31" s="317">
        <v>0</v>
      </c>
      <c r="BB31" s="18">
        <v>0</v>
      </c>
      <c r="BC31" s="18">
        <v>0</v>
      </c>
      <c r="BD31" s="317">
        <v>0</v>
      </c>
      <c r="BE31" s="18">
        <v>0</v>
      </c>
      <c r="BF31" s="18">
        <v>0</v>
      </c>
      <c r="BG31" s="317">
        <v>0</v>
      </c>
      <c r="BH31" s="18">
        <v>0</v>
      </c>
      <c r="BI31" s="18">
        <v>0</v>
      </c>
      <c r="BJ31" s="317">
        <v>0</v>
      </c>
      <c r="BK31" s="18">
        <v>0</v>
      </c>
      <c r="BL31" s="18">
        <v>0</v>
      </c>
      <c r="BM31" s="317">
        <v>0</v>
      </c>
      <c r="BN31" s="18">
        <v>0</v>
      </c>
      <c r="BO31" s="18">
        <v>0</v>
      </c>
      <c r="BP31" s="317">
        <v>0</v>
      </c>
      <c r="BQ31" s="18">
        <v>0</v>
      </c>
      <c r="BR31" s="18">
        <v>0</v>
      </c>
      <c r="BS31" s="317">
        <v>0</v>
      </c>
      <c r="BT31" s="18">
        <v>0</v>
      </c>
      <c r="BU31" s="18">
        <v>0</v>
      </c>
      <c r="BV31" s="317">
        <v>0</v>
      </c>
      <c r="BW31" s="18">
        <v>0</v>
      </c>
      <c r="BX31" s="18">
        <v>0</v>
      </c>
      <c r="BY31" s="317">
        <v>0</v>
      </c>
      <c r="BZ31" s="18">
        <v>0</v>
      </c>
      <c r="CA31" s="18">
        <v>0</v>
      </c>
      <c r="CB31" s="317">
        <v>0</v>
      </c>
      <c r="CC31" s="18">
        <v>0</v>
      </c>
      <c r="CD31" s="18">
        <v>0</v>
      </c>
      <c r="CE31" s="317">
        <v>0</v>
      </c>
      <c r="CF31" s="18">
        <v>0</v>
      </c>
      <c r="CG31" s="18">
        <v>0</v>
      </c>
      <c r="CH31" s="317">
        <v>0</v>
      </c>
      <c r="CI31" s="18">
        <v>0</v>
      </c>
      <c r="CJ31" s="18">
        <v>0</v>
      </c>
      <c r="CK31" s="317">
        <v>0</v>
      </c>
      <c r="CL31" s="18">
        <v>0</v>
      </c>
      <c r="CM31" s="18">
        <v>0</v>
      </c>
      <c r="CN31" s="317">
        <v>0</v>
      </c>
      <c r="CO31" s="18">
        <v>0</v>
      </c>
      <c r="CP31" s="18">
        <v>0</v>
      </c>
      <c r="CQ31" s="317">
        <v>0</v>
      </c>
      <c r="CR31" s="18">
        <v>0</v>
      </c>
      <c r="CS31" s="18">
        <v>0</v>
      </c>
      <c r="CT31" s="317">
        <v>0</v>
      </c>
      <c r="CU31" s="18">
        <v>0</v>
      </c>
      <c r="CV31" s="18">
        <v>0</v>
      </c>
      <c r="CW31" s="317">
        <v>0</v>
      </c>
      <c r="CX31" s="18">
        <v>0</v>
      </c>
      <c r="CY31" s="18">
        <v>0</v>
      </c>
      <c r="CZ31" s="317">
        <v>0</v>
      </c>
      <c r="DA31" s="18">
        <v>0</v>
      </c>
      <c r="DB31" s="18">
        <v>0</v>
      </c>
      <c r="DC31" s="317">
        <v>0</v>
      </c>
      <c r="DD31" s="18">
        <v>0</v>
      </c>
      <c r="DE31" s="18">
        <v>0</v>
      </c>
      <c r="DF31" s="317">
        <v>0</v>
      </c>
      <c r="DG31" s="18">
        <v>0</v>
      </c>
      <c r="DH31" s="18">
        <v>0</v>
      </c>
      <c r="DI31" s="317">
        <v>0</v>
      </c>
      <c r="DJ31" s="18">
        <v>0</v>
      </c>
      <c r="DK31" s="18">
        <v>0</v>
      </c>
      <c r="DL31" s="317">
        <v>0</v>
      </c>
      <c r="DM31" s="18">
        <v>0</v>
      </c>
      <c r="DN31" s="18">
        <v>0</v>
      </c>
      <c r="DO31" s="317">
        <v>0</v>
      </c>
      <c r="DP31" s="18">
        <v>0</v>
      </c>
      <c r="DQ31" s="18">
        <v>0</v>
      </c>
      <c r="DR31" s="317">
        <v>0</v>
      </c>
      <c r="DS31" s="18">
        <v>0</v>
      </c>
      <c r="DT31" s="18">
        <v>0</v>
      </c>
      <c r="DU31" s="317">
        <v>0</v>
      </c>
      <c r="DV31" s="18">
        <v>0</v>
      </c>
      <c r="DW31" s="18">
        <v>0</v>
      </c>
      <c r="DX31" s="317">
        <v>0</v>
      </c>
      <c r="DY31" s="18">
        <v>0</v>
      </c>
      <c r="DZ31" s="18">
        <v>0</v>
      </c>
      <c r="EA31" s="317">
        <v>0</v>
      </c>
      <c r="EB31" s="18">
        <v>0</v>
      </c>
      <c r="EC31" s="18">
        <v>0</v>
      </c>
      <c r="ED31" s="317">
        <v>0</v>
      </c>
      <c r="EE31" s="18">
        <v>0</v>
      </c>
      <c r="EF31" s="18">
        <v>0</v>
      </c>
      <c r="EG31" s="317">
        <v>0</v>
      </c>
      <c r="EH31" s="18">
        <v>0</v>
      </c>
      <c r="EI31" s="18">
        <v>0</v>
      </c>
      <c r="EJ31" s="317">
        <v>0</v>
      </c>
      <c r="EK31" s="18">
        <v>0</v>
      </c>
      <c r="EL31" s="18">
        <v>0</v>
      </c>
      <c r="EM31" s="317">
        <v>0</v>
      </c>
      <c r="EN31" s="18">
        <v>0</v>
      </c>
      <c r="EO31" s="18">
        <v>0</v>
      </c>
      <c r="EP31" s="317">
        <v>0</v>
      </c>
      <c r="EQ31" s="18">
        <v>0</v>
      </c>
      <c r="ER31" s="18">
        <v>0</v>
      </c>
      <c r="ES31" s="317">
        <v>0</v>
      </c>
      <c r="ET31" s="18">
        <v>0</v>
      </c>
      <c r="EU31" s="18">
        <v>0</v>
      </c>
      <c r="EV31" s="317">
        <v>0</v>
      </c>
      <c r="EW31" s="18">
        <v>0</v>
      </c>
      <c r="EX31" s="18">
        <v>0</v>
      </c>
      <c r="EY31" s="317">
        <v>0</v>
      </c>
      <c r="EZ31" s="18">
        <v>0</v>
      </c>
      <c r="FA31" s="18">
        <v>0</v>
      </c>
      <c r="FB31" s="317">
        <v>0</v>
      </c>
      <c r="FC31" s="18">
        <v>0</v>
      </c>
      <c r="FD31" s="18">
        <v>0</v>
      </c>
      <c r="FE31" s="317">
        <v>0</v>
      </c>
      <c r="FF31" s="18">
        <v>0</v>
      </c>
      <c r="FG31" s="18">
        <v>0</v>
      </c>
      <c r="FH31" s="317">
        <v>0</v>
      </c>
      <c r="FI31" s="18">
        <v>0</v>
      </c>
      <c r="FJ31" s="18">
        <v>0</v>
      </c>
      <c r="FK31" s="317">
        <v>0</v>
      </c>
      <c r="FL31" s="18">
        <v>0</v>
      </c>
      <c r="FM31" s="18">
        <v>0</v>
      </c>
      <c r="FN31" s="317">
        <v>0</v>
      </c>
      <c r="FO31" s="640"/>
      <c r="FP31" s="531"/>
      <c r="FQ31" s="531"/>
      <c r="FR31" s="531"/>
      <c r="FS31" s="531"/>
      <c r="FT31" s="531"/>
      <c r="FU31" s="640"/>
      <c r="FV31" s="531"/>
      <c r="FW31" s="531"/>
      <c r="FX31" s="531"/>
      <c r="FY31" s="531"/>
      <c r="FZ31" s="531"/>
    </row>
    <row r="32" spans="1:182" ht="12.75">
      <c r="A32" s="40">
        <v>43863</v>
      </c>
      <c r="B32" s="50">
        <f t="shared" ref="B32:D32" si="27">SUM(I32,AM32)</f>
        <v>0</v>
      </c>
      <c r="C32" s="50">
        <f t="shared" si="27"/>
        <v>0</v>
      </c>
      <c r="D32" s="50">
        <f t="shared" si="27"/>
        <v>0</v>
      </c>
      <c r="E32" s="154">
        <f t="shared" si="1"/>
        <v>0</v>
      </c>
      <c r="F32" s="15">
        <v>0</v>
      </c>
      <c r="G32" s="15">
        <v>0</v>
      </c>
      <c r="H32" s="17">
        <v>0</v>
      </c>
      <c r="I32" s="15">
        <v>0</v>
      </c>
      <c r="J32" s="15">
        <v>0</v>
      </c>
      <c r="K32" s="17">
        <v>0</v>
      </c>
      <c r="L32" s="15">
        <v>0</v>
      </c>
      <c r="M32" s="15">
        <v>0</v>
      </c>
      <c r="N32" s="17">
        <v>0</v>
      </c>
      <c r="O32" s="15">
        <v>0</v>
      </c>
      <c r="P32" s="15">
        <v>0</v>
      </c>
      <c r="Q32" s="17">
        <v>0</v>
      </c>
      <c r="R32" s="15">
        <v>0</v>
      </c>
      <c r="S32" s="15">
        <v>0</v>
      </c>
      <c r="T32" s="17">
        <v>0</v>
      </c>
      <c r="U32" s="15">
        <v>0</v>
      </c>
      <c r="V32" s="15">
        <v>0</v>
      </c>
      <c r="W32" s="17">
        <v>0</v>
      </c>
      <c r="X32" s="15">
        <v>0</v>
      </c>
      <c r="Y32" s="15">
        <v>0</v>
      </c>
      <c r="Z32" s="17">
        <v>0</v>
      </c>
      <c r="AA32" s="15">
        <v>0</v>
      </c>
      <c r="AB32" s="15">
        <v>0</v>
      </c>
      <c r="AC32" s="17">
        <v>0</v>
      </c>
      <c r="AD32" s="15">
        <v>0</v>
      </c>
      <c r="AE32" s="15">
        <v>0</v>
      </c>
      <c r="AF32" s="17">
        <v>0</v>
      </c>
      <c r="AG32" s="15">
        <v>0</v>
      </c>
      <c r="AH32" s="15">
        <v>0</v>
      </c>
      <c r="AI32" s="17">
        <v>0</v>
      </c>
      <c r="AJ32" s="15">
        <v>0</v>
      </c>
      <c r="AK32" s="15">
        <v>0</v>
      </c>
      <c r="AL32" s="17">
        <v>0</v>
      </c>
      <c r="AM32" s="15">
        <v>0</v>
      </c>
      <c r="AN32" s="15">
        <v>0</v>
      </c>
      <c r="AO32" s="17">
        <v>0</v>
      </c>
      <c r="AP32" s="15">
        <v>0</v>
      </c>
      <c r="AQ32" s="15">
        <v>0</v>
      </c>
      <c r="AR32" s="17">
        <v>0</v>
      </c>
      <c r="AS32" s="15">
        <v>0</v>
      </c>
      <c r="AT32" s="15">
        <v>0</v>
      </c>
      <c r="AU32" s="17">
        <v>0</v>
      </c>
      <c r="AV32" s="15">
        <v>0</v>
      </c>
      <c r="AW32" s="15">
        <v>0</v>
      </c>
      <c r="AX32" s="17">
        <v>0</v>
      </c>
      <c r="AY32" s="15">
        <v>0</v>
      </c>
      <c r="AZ32" s="15">
        <v>0</v>
      </c>
      <c r="BA32" s="17">
        <v>0</v>
      </c>
      <c r="BB32" s="15">
        <v>0</v>
      </c>
      <c r="BC32" s="15">
        <v>0</v>
      </c>
      <c r="BD32" s="17">
        <v>0</v>
      </c>
      <c r="BE32" s="15">
        <v>0</v>
      </c>
      <c r="BF32" s="15">
        <v>0</v>
      </c>
      <c r="BG32" s="17">
        <v>0</v>
      </c>
      <c r="BH32" s="15">
        <v>0</v>
      </c>
      <c r="BI32" s="15">
        <v>0</v>
      </c>
      <c r="BJ32" s="17">
        <v>0</v>
      </c>
      <c r="BK32" s="15">
        <v>0</v>
      </c>
      <c r="BL32" s="15">
        <v>0</v>
      </c>
      <c r="BM32" s="17">
        <v>0</v>
      </c>
      <c r="BN32" s="15">
        <v>0</v>
      </c>
      <c r="BO32" s="15">
        <v>0</v>
      </c>
      <c r="BP32" s="17">
        <v>0</v>
      </c>
      <c r="BQ32" s="15">
        <v>0</v>
      </c>
      <c r="BR32" s="15">
        <v>0</v>
      </c>
      <c r="BS32" s="17">
        <v>0</v>
      </c>
      <c r="BT32" s="15">
        <v>0</v>
      </c>
      <c r="BU32" s="15">
        <v>0</v>
      </c>
      <c r="BV32" s="17">
        <v>0</v>
      </c>
      <c r="BW32" s="15">
        <v>0</v>
      </c>
      <c r="BX32" s="15">
        <v>0</v>
      </c>
      <c r="BY32" s="17">
        <v>0</v>
      </c>
      <c r="BZ32" s="15">
        <v>0</v>
      </c>
      <c r="CA32" s="15">
        <v>0</v>
      </c>
      <c r="CB32" s="17">
        <v>0</v>
      </c>
      <c r="CC32" s="15">
        <v>0</v>
      </c>
      <c r="CD32" s="15">
        <v>0</v>
      </c>
      <c r="CE32" s="17">
        <v>0</v>
      </c>
      <c r="CF32" s="15">
        <v>0</v>
      </c>
      <c r="CG32" s="15">
        <v>0</v>
      </c>
      <c r="CH32" s="17">
        <v>0</v>
      </c>
      <c r="CI32" s="15">
        <v>0</v>
      </c>
      <c r="CJ32" s="15">
        <v>0</v>
      </c>
      <c r="CK32" s="17">
        <v>0</v>
      </c>
      <c r="CL32" s="15">
        <v>0</v>
      </c>
      <c r="CM32" s="15">
        <v>0</v>
      </c>
      <c r="CN32" s="17">
        <v>0</v>
      </c>
      <c r="CO32" s="15">
        <v>0</v>
      </c>
      <c r="CP32" s="15">
        <v>0</v>
      </c>
      <c r="CQ32" s="17">
        <v>0</v>
      </c>
      <c r="CR32" s="15">
        <v>0</v>
      </c>
      <c r="CS32" s="15">
        <v>0</v>
      </c>
      <c r="CT32" s="17">
        <v>0</v>
      </c>
      <c r="CU32" s="15">
        <v>0</v>
      </c>
      <c r="CV32" s="15">
        <v>0</v>
      </c>
      <c r="CW32" s="17">
        <v>0</v>
      </c>
      <c r="CX32" s="15">
        <v>0</v>
      </c>
      <c r="CY32" s="15">
        <v>0</v>
      </c>
      <c r="CZ32" s="17">
        <v>0</v>
      </c>
      <c r="DA32" s="15">
        <v>0</v>
      </c>
      <c r="DB32" s="15">
        <v>0</v>
      </c>
      <c r="DC32" s="17">
        <v>0</v>
      </c>
      <c r="DD32" s="15">
        <v>0</v>
      </c>
      <c r="DE32" s="15">
        <v>0</v>
      </c>
      <c r="DF32" s="17">
        <v>0</v>
      </c>
      <c r="DG32" s="15">
        <v>0</v>
      </c>
      <c r="DH32" s="15">
        <v>0</v>
      </c>
      <c r="DI32" s="17">
        <v>0</v>
      </c>
      <c r="DJ32" s="15">
        <v>0</v>
      </c>
      <c r="DK32" s="15">
        <v>0</v>
      </c>
      <c r="DL32" s="17">
        <v>0</v>
      </c>
      <c r="DM32" s="15">
        <v>0</v>
      </c>
      <c r="DN32" s="15">
        <v>0</v>
      </c>
      <c r="DO32" s="17">
        <v>0</v>
      </c>
      <c r="DP32" s="15">
        <v>0</v>
      </c>
      <c r="DQ32" s="15">
        <v>0</v>
      </c>
      <c r="DR32" s="17">
        <v>0</v>
      </c>
      <c r="DS32" s="15">
        <v>0</v>
      </c>
      <c r="DT32" s="15">
        <v>0</v>
      </c>
      <c r="DU32" s="17">
        <v>0</v>
      </c>
      <c r="DV32" s="15">
        <v>0</v>
      </c>
      <c r="DW32" s="15">
        <v>0</v>
      </c>
      <c r="DX32" s="17">
        <v>0</v>
      </c>
      <c r="DY32" s="15">
        <v>0</v>
      </c>
      <c r="DZ32" s="15">
        <v>0</v>
      </c>
      <c r="EA32" s="17">
        <v>0</v>
      </c>
      <c r="EB32" s="15">
        <v>0</v>
      </c>
      <c r="EC32" s="15">
        <v>0</v>
      </c>
      <c r="ED32" s="17">
        <v>0</v>
      </c>
      <c r="EE32" s="15">
        <v>0</v>
      </c>
      <c r="EF32" s="15">
        <v>0</v>
      </c>
      <c r="EG32" s="17">
        <v>0</v>
      </c>
      <c r="EH32" s="15">
        <v>0</v>
      </c>
      <c r="EI32" s="15">
        <v>0</v>
      </c>
      <c r="EJ32" s="17">
        <v>0</v>
      </c>
      <c r="EK32" s="15">
        <v>0</v>
      </c>
      <c r="EL32" s="15">
        <v>0</v>
      </c>
      <c r="EM32" s="17">
        <v>0</v>
      </c>
      <c r="EN32" s="15">
        <v>0</v>
      </c>
      <c r="EO32" s="15">
        <v>0</v>
      </c>
      <c r="EP32" s="17">
        <v>0</v>
      </c>
      <c r="EQ32" s="15">
        <v>0</v>
      </c>
      <c r="ER32" s="15">
        <v>0</v>
      </c>
      <c r="ES32" s="17">
        <v>0</v>
      </c>
      <c r="ET32" s="15">
        <v>0</v>
      </c>
      <c r="EU32" s="15">
        <v>0</v>
      </c>
      <c r="EV32" s="17">
        <v>0</v>
      </c>
      <c r="EW32" s="15">
        <v>0</v>
      </c>
      <c r="EX32" s="15">
        <v>0</v>
      </c>
      <c r="EY32" s="17">
        <v>0</v>
      </c>
      <c r="EZ32" s="15">
        <v>0</v>
      </c>
      <c r="FA32" s="15">
        <v>0</v>
      </c>
      <c r="FB32" s="17">
        <v>0</v>
      </c>
      <c r="FC32" s="15">
        <v>0</v>
      </c>
      <c r="FD32" s="15">
        <v>0</v>
      </c>
      <c r="FE32" s="17">
        <v>0</v>
      </c>
      <c r="FF32" s="15">
        <v>0</v>
      </c>
      <c r="FG32" s="15">
        <v>0</v>
      </c>
      <c r="FH32" s="17">
        <v>0</v>
      </c>
      <c r="FI32" s="15">
        <v>0</v>
      </c>
      <c r="FJ32" s="15">
        <v>0</v>
      </c>
      <c r="FK32" s="17">
        <v>0</v>
      </c>
      <c r="FL32" s="15">
        <v>0</v>
      </c>
      <c r="FM32" s="15">
        <v>0</v>
      </c>
      <c r="FN32" s="17">
        <v>0</v>
      </c>
      <c r="FO32" s="640"/>
      <c r="FP32" s="531"/>
      <c r="FQ32" s="531"/>
      <c r="FR32" s="531"/>
      <c r="FS32" s="531"/>
      <c r="FT32" s="531"/>
      <c r="FU32" s="640"/>
      <c r="FV32" s="531"/>
      <c r="FW32" s="531"/>
      <c r="FX32" s="531"/>
      <c r="FY32" s="531"/>
      <c r="FZ32" s="531"/>
    </row>
    <row r="33" spans="1:182" ht="12.75">
      <c r="A33" s="40">
        <v>43864</v>
      </c>
      <c r="B33" s="50">
        <f t="shared" ref="B33:D33" si="28">SUM(I33,AM33)</f>
        <v>0</v>
      </c>
      <c r="C33" s="50">
        <f t="shared" si="28"/>
        <v>0</v>
      </c>
      <c r="D33" s="50">
        <f t="shared" si="28"/>
        <v>0</v>
      </c>
      <c r="E33" s="154">
        <f t="shared" si="1"/>
        <v>0</v>
      </c>
      <c r="F33" s="18">
        <v>0</v>
      </c>
      <c r="G33" s="18">
        <v>0</v>
      </c>
      <c r="H33" s="317">
        <v>0</v>
      </c>
      <c r="I33" s="18">
        <v>0</v>
      </c>
      <c r="J33" s="18">
        <v>0</v>
      </c>
      <c r="K33" s="317">
        <v>0</v>
      </c>
      <c r="L33" s="18">
        <v>0</v>
      </c>
      <c r="M33" s="18">
        <v>0</v>
      </c>
      <c r="N33" s="317">
        <v>0</v>
      </c>
      <c r="O33" s="18">
        <v>0</v>
      </c>
      <c r="P33" s="18">
        <v>0</v>
      </c>
      <c r="Q33" s="317">
        <v>0</v>
      </c>
      <c r="R33" s="18">
        <v>0</v>
      </c>
      <c r="S33" s="18">
        <v>0</v>
      </c>
      <c r="T33" s="317">
        <v>0</v>
      </c>
      <c r="U33" s="18">
        <v>0</v>
      </c>
      <c r="V33" s="18">
        <v>0</v>
      </c>
      <c r="W33" s="317">
        <v>0</v>
      </c>
      <c r="X33" s="18">
        <v>0</v>
      </c>
      <c r="Y33" s="18">
        <v>0</v>
      </c>
      <c r="Z33" s="317">
        <v>0</v>
      </c>
      <c r="AA33" s="18">
        <v>0</v>
      </c>
      <c r="AB33" s="18">
        <v>0</v>
      </c>
      <c r="AC33" s="317">
        <v>0</v>
      </c>
      <c r="AD33" s="18">
        <v>0</v>
      </c>
      <c r="AE33" s="18">
        <v>0</v>
      </c>
      <c r="AF33" s="317">
        <v>0</v>
      </c>
      <c r="AG33" s="18">
        <v>0</v>
      </c>
      <c r="AH33" s="18">
        <v>0</v>
      </c>
      <c r="AI33" s="317">
        <v>0</v>
      </c>
      <c r="AJ33" s="18">
        <v>0</v>
      </c>
      <c r="AK33" s="18">
        <v>0</v>
      </c>
      <c r="AL33" s="317">
        <v>0</v>
      </c>
      <c r="AM33" s="18">
        <v>0</v>
      </c>
      <c r="AN33" s="18">
        <v>0</v>
      </c>
      <c r="AO33" s="317">
        <v>0</v>
      </c>
      <c r="AP33" s="18">
        <v>0</v>
      </c>
      <c r="AQ33" s="18">
        <v>0</v>
      </c>
      <c r="AR33" s="317">
        <v>0</v>
      </c>
      <c r="AS33" s="18">
        <v>0</v>
      </c>
      <c r="AT33" s="18">
        <v>0</v>
      </c>
      <c r="AU33" s="317">
        <v>0</v>
      </c>
      <c r="AV33" s="18">
        <v>0</v>
      </c>
      <c r="AW33" s="18">
        <v>0</v>
      </c>
      <c r="AX33" s="317">
        <v>0</v>
      </c>
      <c r="AY33" s="18">
        <v>0</v>
      </c>
      <c r="AZ33" s="18">
        <v>0</v>
      </c>
      <c r="BA33" s="317">
        <v>0</v>
      </c>
      <c r="BB33" s="18">
        <v>0</v>
      </c>
      <c r="BC33" s="18">
        <v>0</v>
      </c>
      <c r="BD33" s="317">
        <v>0</v>
      </c>
      <c r="BE33" s="18">
        <v>0</v>
      </c>
      <c r="BF33" s="18">
        <v>0</v>
      </c>
      <c r="BG33" s="317">
        <v>0</v>
      </c>
      <c r="BH33" s="18">
        <v>0</v>
      </c>
      <c r="BI33" s="18">
        <v>0</v>
      </c>
      <c r="BJ33" s="317">
        <v>0</v>
      </c>
      <c r="BK33" s="18">
        <v>0</v>
      </c>
      <c r="BL33" s="18">
        <v>0</v>
      </c>
      <c r="BM33" s="317">
        <v>0</v>
      </c>
      <c r="BN33" s="18">
        <v>0</v>
      </c>
      <c r="BO33" s="18">
        <v>0</v>
      </c>
      <c r="BP33" s="317">
        <v>0</v>
      </c>
      <c r="BQ33" s="18">
        <v>0</v>
      </c>
      <c r="BR33" s="18">
        <v>0</v>
      </c>
      <c r="BS33" s="317">
        <v>0</v>
      </c>
      <c r="BT33" s="18">
        <v>0</v>
      </c>
      <c r="BU33" s="18">
        <v>0</v>
      </c>
      <c r="BV33" s="317">
        <v>0</v>
      </c>
      <c r="BW33" s="18">
        <v>0</v>
      </c>
      <c r="BX33" s="18">
        <v>0</v>
      </c>
      <c r="BY33" s="317">
        <v>0</v>
      </c>
      <c r="BZ33" s="18">
        <v>0</v>
      </c>
      <c r="CA33" s="18">
        <v>0</v>
      </c>
      <c r="CB33" s="317">
        <v>0</v>
      </c>
      <c r="CC33" s="18">
        <v>0</v>
      </c>
      <c r="CD33" s="18">
        <v>0</v>
      </c>
      <c r="CE33" s="317">
        <v>0</v>
      </c>
      <c r="CF33" s="18">
        <v>0</v>
      </c>
      <c r="CG33" s="18">
        <v>0</v>
      </c>
      <c r="CH33" s="317">
        <v>0</v>
      </c>
      <c r="CI33" s="18">
        <v>0</v>
      </c>
      <c r="CJ33" s="18">
        <v>0</v>
      </c>
      <c r="CK33" s="317">
        <v>0</v>
      </c>
      <c r="CL33" s="18">
        <v>0</v>
      </c>
      <c r="CM33" s="18">
        <v>0</v>
      </c>
      <c r="CN33" s="317">
        <v>0</v>
      </c>
      <c r="CO33" s="18">
        <v>0</v>
      </c>
      <c r="CP33" s="18">
        <v>0</v>
      </c>
      <c r="CQ33" s="317">
        <v>0</v>
      </c>
      <c r="CR33" s="18">
        <v>0</v>
      </c>
      <c r="CS33" s="18">
        <v>0</v>
      </c>
      <c r="CT33" s="317">
        <v>0</v>
      </c>
      <c r="CU33" s="18">
        <v>0</v>
      </c>
      <c r="CV33" s="18">
        <v>0</v>
      </c>
      <c r="CW33" s="317">
        <v>0</v>
      </c>
      <c r="CX33" s="18">
        <v>0</v>
      </c>
      <c r="CY33" s="18">
        <v>0</v>
      </c>
      <c r="CZ33" s="317">
        <v>0</v>
      </c>
      <c r="DA33" s="18">
        <v>0</v>
      </c>
      <c r="DB33" s="18">
        <v>0</v>
      </c>
      <c r="DC33" s="317">
        <v>0</v>
      </c>
      <c r="DD33" s="18">
        <v>0</v>
      </c>
      <c r="DE33" s="18">
        <v>0</v>
      </c>
      <c r="DF33" s="317">
        <v>0</v>
      </c>
      <c r="DG33" s="18">
        <v>0</v>
      </c>
      <c r="DH33" s="18">
        <v>0</v>
      </c>
      <c r="DI33" s="317">
        <v>0</v>
      </c>
      <c r="DJ33" s="18">
        <v>0</v>
      </c>
      <c r="DK33" s="18">
        <v>0</v>
      </c>
      <c r="DL33" s="317">
        <v>0</v>
      </c>
      <c r="DM33" s="18">
        <v>0</v>
      </c>
      <c r="DN33" s="18">
        <v>0</v>
      </c>
      <c r="DO33" s="317">
        <v>0</v>
      </c>
      <c r="DP33" s="18">
        <v>0</v>
      </c>
      <c r="DQ33" s="18">
        <v>0</v>
      </c>
      <c r="DR33" s="317">
        <v>0</v>
      </c>
      <c r="DS33" s="18">
        <v>0</v>
      </c>
      <c r="DT33" s="18">
        <v>0</v>
      </c>
      <c r="DU33" s="317">
        <v>0</v>
      </c>
      <c r="DV33" s="18">
        <v>0</v>
      </c>
      <c r="DW33" s="18">
        <v>0</v>
      </c>
      <c r="DX33" s="317">
        <v>0</v>
      </c>
      <c r="DY33" s="18">
        <v>0</v>
      </c>
      <c r="DZ33" s="18">
        <v>0</v>
      </c>
      <c r="EA33" s="317">
        <v>0</v>
      </c>
      <c r="EB33" s="18">
        <v>0</v>
      </c>
      <c r="EC33" s="18">
        <v>0</v>
      </c>
      <c r="ED33" s="317">
        <v>0</v>
      </c>
      <c r="EE33" s="18">
        <v>0</v>
      </c>
      <c r="EF33" s="18">
        <v>0</v>
      </c>
      <c r="EG33" s="317">
        <v>0</v>
      </c>
      <c r="EH33" s="18">
        <v>0</v>
      </c>
      <c r="EI33" s="18">
        <v>0</v>
      </c>
      <c r="EJ33" s="317">
        <v>0</v>
      </c>
      <c r="EK33" s="18">
        <v>0</v>
      </c>
      <c r="EL33" s="18">
        <v>0</v>
      </c>
      <c r="EM33" s="317">
        <v>0</v>
      </c>
      <c r="EN33" s="18">
        <v>0</v>
      </c>
      <c r="EO33" s="18">
        <v>0</v>
      </c>
      <c r="EP33" s="317">
        <v>0</v>
      </c>
      <c r="EQ33" s="18">
        <v>0</v>
      </c>
      <c r="ER33" s="18">
        <v>0</v>
      </c>
      <c r="ES33" s="317">
        <v>0</v>
      </c>
      <c r="ET33" s="18">
        <v>0</v>
      </c>
      <c r="EU33" s="18">
        <v>0</v>
      </c>
      <c r="EV33" s="317">
        <v>0</v>
      </c>
      <c r="EW33" s="18">
        <v>0</v>
      </c>
      <c r="EX33" s="18">
        <v>0</v>
      </c>
      <c r="EY33" s="317">
        <v>0</v>
      </c>
      <c r="EZ33" s="18">
        <v>0</v>
      </c>
      <c r="FA33" s="18">
        <v>0</v>
      </c>
      <c r="FB33" s="317">
        <v>0</v>
      </c>
      <c r="FC33" s="18">
        <v>0</v>
      </c>
      <c r="FD33" s="18">
        <v>0</v>
      </c>
      <c r="FE33" s="317">
        <v>0</v>
      </c>
      <c r="FF33" s="18">
        <v>0</v>
      </c>
      <c r="FG33" s="18">
        <v>0</v>
      </c>
      <c r="FH33" s="317">
        <v>0</v>
      </c>
      <c r="FI33" s="18">
        <v>0</v>
      </c>
      <c r="FJ33" s="18">
        <v>0</v>
      </c>
      <c r="FK33" s="317">
        <v>0</v>
      </c>
      <c r="FL33" s="18">
        <v>0</v>
      </c>
      <c r="FM33" s="18">
        <v>0</v>
      </c>
      <c r="FN33" s="317">
        <v>0</v>
      </c>
      <c r="FO33" s="640"/>
      <c r="FP33" s="531"/>
      <c r="FQ33" s="531"/>
      <c r="FR33" s="531"/>
      <c r="FS33" s="531"/>
      <c r="FT33" s="531"/>
      <c r="FU33" s="640"/>
      <c r="FV33" s="531"/>
      <c r="FW33" s="531"/>
      <c r="FX33" s="531"/>
      <c r="FY33" s="531"/>
      <c r="FZ33" s="531"/>
    </row>
    <row r="34" spans="1:182" ht="12.75">
      <c r="A34" s="40">
        <v>43865</v>
      </c>
      <c r="B34" s="50">
        <f t="shared" ref="B34:D34" si="29">SUM(I34,AM34)</f>
        <v>0</v>
      </c>
      <c r="C34" s="50">
        <f t="shared" si="29"/>
        <v>0</v>
      </c>
      <c r="D34" s="50">
        <f t="shared" si="29"/>
        <v>0</v>
      </c>
      <c r="E34" s="154">
        <f t="shared" si="1"/>
        <v>0</v>
      </c>
      <c r="F34" s="15">
        <v>0</v>
      </c>
      <c r="G34" s="15">
        <v>0</v>
      </c>
      <c r="H34" s="17">
        <v>0</v>
      </c>
      <c r="I34" s="15">
        <v>0</v>
      </c>
      <c r="J34" s="15">
        <v>0</v>
      </c>
      <c r="K34" s="17">
        <v>0</v>
      </c>
      <c r="L34" s="15">
        <v>0</v>
      </c>
      <c r="M34" s="15">
        <v>0</v>
      </c>
      <c r="N34" s="17">
        <v>0</v>
      </c>
      <c r="O34" s="15">
        <v>0</v>
      </c>
      <c r="P34" s="15">
        <v>0</v>
      </c>
      <c r="Q34" s="17">
        <v>0</v>
      </c>
      <c r="R34" s="15">
        <v>0</v>
      </c>
      <c r="S34" s="15">
        <v>0</v>
      </c>
      <c r="T34" s="17">
        <v>0</v>
      </c>
      <c r="U34" s="15">
        <v>0</v>
      </c>
      <c r="V34" s="15">
        <v>0</v>
      </c>
      <c r="W34" s="17">
        <v>0</v>
      </c>
      <c r="X34" s="15">
        <v>0</v>
      </c>
      <c r="Y34" s="15">
        <v>0</v>
      </c>
      <c r="Z34" s="17">
        <v>0</v>
      </c>
      <c r="AA34" s="15">
        <v>0</v>
      </c>
      <c r="AB34" s="15">
        <v>0</v>
      </c>
      <c r="AC34" s="17">
        <v>0</v>
      </c>
      <c r="AD34" s="15">
        <v>0</v>
      </c>
      <c r="AE34" s="15">
        <v>0</v>
      </c>
      <c r="AF34" s="17">
        <v>0</v>
      </c>
      <c r="AG34" s="15">
        <v>0</v>
      </c>
      <c r="AH34" s="15">
        <v>0</v>
      </c>
      <c r="AI34" s="17">
        <v>0</v>
      </c>
      <c r="AJ34" s="15">
        <v>0</v>
      </c>
      <c r="AK34" s="15">
        <v>0</v>
      </c>
      <c r="AL34" s="17">
        <v>0</v>
      </c>
      <c r="AM34" s="15">
        <v>0</v>
      </c>
      <c r="AN34" s="15">
        <v>0</v>
      </c>
      <c r="AO34" s="17">
        <v>0</v>
      </c>
      <c r="AP34" s="15">
        <v>0</v>
      </c>
      <c r="AQ34" s="15">
        <v>0</v>
      </c>
      <c r="AR34" s="17">
        <v>0</v>
      </c>
      <c r="AS34" s="15">
        <v>0</v>
      </c>
      <c r="AT34" s="15">
        <v>0</v>
      </c>
      <c r="AU34" s="17">
        <v>0</v>
      </c>
      <c r="AV34" s="15">
        <v>0</v>
      </c>
      <c r="AW34" s="15">
        <v>0</v>
      </c>
      <c r="AX34" s="17">
        <v>0</v>
      </c>
      <c r="AY34" s="15">
        <v>0</v>
      </c>
      <c r="AZ34" s="15">
        <v>0</v>
      </c>
      <c r="BA34" s="17">
        <v>0</v>
      </c>
      <c r="BB34" s="15">
        <v>0</v>
      </c>
      <c r="BC34" s="15">
        <v>0</v>
      </c>
      <c r="BD34" s="17">
        <v>0</v>
      </c>
      <c r="BE34" s="15">
        <v>0</v>
      </c>
      <c r="BF34" s="15">
        <v>0</v>
      </c>
      <c r="BG34" s="17">
        <v>0</v>
      </c>
      <c r="BH34" s="15">
        <v>0</v>
      </c>
      <c r="BI34" s="15">
        <v>0</v>
      </c>
      <c r="BJ34" s="17">
        <v>0</v>
      </c>
      <c r="BK34" s="15">
        <v>0</v>
      </c>
      <c r="BL34" s="15">
        <v>0</v>
      </c>
      <c r="BM34" s="17">
        <v>0</v>
      </c>
      <c r="BN34" s="15">
        <v>0</v>
      </c>
      <c r="BO34" s="15">
        <v>0</v>
      </c>
      <c r="BP34" s="17">
        <v>0</v>
      </c>
      <c r="BQ34" s="15">
        <v>0</v>
      </c>
      <c r="BR34" s="15">
        <v>0</v>
      </c>
      <c r="BS34" s="17">
        <v>0</v>
      </c>
      <c r="BT34" s="15">
        <v>0</v>
      </c>
      <c r="BU34" s="15">
        <v>0</v>
      </c>
      <c r="BV34" s="17">
        <v>0</v>
      </c>
      <c r="BW34" s="15">
        <v>0</v>
      </c>
      <c r="BX34" s="15">
        <v>0</v>
      </c>
      <c r="BY34" s="17">
        <v>0</v>
      </c>
      <c r="BZ34" s="15">
        <v>0</v>
      </c>
      <c r="CA34" s="15">
        <v>0</v>
      </c>
      <c r="CB34" s="17">
        <v>0</v>
      </c>
      <c r="CC34" s="15">
        <v>0</v>
      </c>
      <c r="CD34" s="15">
        <v>0</v>
      </c>
      <c r="CE34" s="17">
        <v>0</v>
      </c>
      <c r="CF34" s="15">
        <v>0</v>
      </c>
      <c r="CG34" s="15">
        <v>0</v>
      </c>
      <c r="CH34" s="17">
        <v>0</v>
      </c>
      <c r="CI34" s="15">
        <v>0</v>
      </c>
      <c r="CJ34" s="15">
        <v>0</v>
      </c>
      <c r="CK34" s="17">
        <v>0</v>
      </c>
      <c r="CL34" s="15">
        <v>0</v>
      </c>
      <c r="CM34" s="15">
        <v>0</v>
      </c>
      <c r="CN34" s="17">
        <v>0</v>
      </c>
      <c r="CO34" s="15">
        <v>0</v>
      </c>
      <c r="CP34" s="15">
        <v>0</v>
      </c>
      <c r="CQ34" s="17">
        <v>0</v>
      </c>
      <c r="CR34" s="15">
        <v>0</v>
      </c>
      <c r="CS34" s="15">
        <v>0</v>
      </c>
      <c r="CT34" s="17">
        <v>0</v>
      </c>
      <c r="CU34" s="15">
        <v>0</v>
      </c>
      <c r="CV34" s="15">
        <v>0</v>
      </c>
      <c r="CW34" s="17">
        <v>0</v>
      </c>
      <c r="CX34" s="15">
        <v>0</v>
      </c>
      <c r="CY34" s="15">
        <v>0</v>
      </c>
      <c r="CZ34" s="17">
        <v>0</v>
      </c>
      <c r="DA34" s="15">
        <v>0</v>
      </c>
      <c r="DB34" s="15">
        <v>0</v>
      </c>
      <c r="DC34" s="17">
        <v>0</v>
      </c>
      <c r="DD34" s="15">
        <v>0</v>
      </c>
      <c r="DE34" s="15">
        <v>0</v>
      </c>
      <c r="DF34" s="17">
        <v>0</v>
      </c>
      <c r="DG34" s="15">
        <v>0</v>
      </c>
      <c r="DH34" s="15">
        <v>0</v>
      </c>
      <c r="DI34" s="17">
        <v>0</v>
      </c>
      <c r="DJ34" s="15">
        <v>0</v>
      </c>
      <c r="DK34" s="15">
        <v>0</v>
      </c>
      <c r="DL34" s="17">
        <v>0</v>
      </c>
      <c r="DM34" s="15">
        <v>0</v>
      </c>
      <c r="DN34" s="15">
        <v>0</v>
      </c>
      <c r="DO34" s="17">
        <v>0</v>
      </c>
      <c r="DP34" s="15">
        <v>0</v>
      </c>
      <c r="DQ34" s="15">
        <v>0</v>
      </c>
      <c r="DR34" s="17">
        <v>0</v>
      </c>
      <c r="DS34" s="15">
        <v>0</v>
      </c>
      <c r="DT34" s="15">
        <v>0</v>
      </c>
      <c r="DU34" s="17">
        <v>0</v>
      </c>
      <c r="DV34" s="15">
        <v>0</v>
      </c>
      <c r="DW34" s="15">
        <v>0</v>
      </c>
      <c r="DX34" s="17">
        <v>0</v>
      </c>
      <c r="DY34" s="15">
        <v>0</v>
      </c>
      <c r="DZ34" s="15">
        <v>0</v>
      </c>
      <c r="EA34" s="17">
        <v>0</v>
      </c>
      <c r="EB34" s="15">
        <v>0</v>
      </c>
      <c r="EC34" s="15">
        <v>0</v>
      </c>
      <c r="ED34" s="17">
        <v>0</v>
      </c>
      <c r="EE34" s="15">
        <v>0</v>
      </c>
      <c r="EF34" s="15">
        <v>0</v>
      </c>
      <c r="EG34" s="17">
        <v>0</v>
      </c>
      <c r="EH34" s="15">
        <v>0</v>
      </c>
      <c r="EI34" s="15">
        <v>0</v>
      </c>
      <c r="EJ34" s="17">
        <v>0</v>
      </c>
      <c r="EK34" s="15">
        <v>0</v>
      </c>
      <c r="EL34" s="15">
        <v>0</v>
      </c>
      <c r="EM34" s="17">
        <v>0</v>
      </c>
      <c r="EN34" s="15">
        <v>0</v>
      </c>
      <c r="EO34" s="15">
        <v>0</v>
      </c>
      <c r="EP34" s="17">
        <v>0</v>
      </c>
      <c r="EQ34" s="15">
        <v>0</v>
      </c>
      <c r="ER34" s="15">
        <v>0</v>
      </c>
      <c r="ES34" s="17">
        <v>0</v>
      </c>
      <c r="ET34" s="15">
        <v>0</v>
      </c>
      <c r="EU34" s="15">
        <v>0</v>
      </c>
      <c r="EV34" s="17">
        <v>0</v>
      </c>
      <c r="EW34" s="15">
        <v>0</v>
      </c>
      <c r="EX34" s="15">
        <v>0</v>
      </c>
      <c r="EY34" s="17">
        <v>0</v>
      </c>
      <c r="EZ34" s="15">
        <v>0</v>
      </c>
      <c r="FA34" s="15">
        <v>0</v>
      </c>
      <c r="FB34" s="17">
        <v>0</v>
      </c>
      <c r="FC34" s="15">
        <v>0</v>
      </c>
      <c r="FD34" s="15">
        <v>0</v>
      </c>
      <c r="FE34" s="17">
        <v>0</v>
      </c>
      <c r="FF34" s="15">
        <v>0</v>
      </c>
      <c r="FG34" s="15">
        <v>0</v>
      </c>
      <c r="FH34" s="17">
        <v>0</v>
      </c>
      <c r="FI34" s="15">
        <v>0</v>
      </c>
      <c r="FJ34" s="15">
        <v>0</v>
      </c>
      <c r="FK34" s="17">
        <v>0</v>
      </c>
      <c r="FL34" s="15">
        <v>0</v>
      </c>
      <c r="FM34" s="15">
        <v>0</v>
      </c>
      <c r="FN34" s="17">
        <v>0</v>
      </c>
      <c r="FO34" s="640"/>
      <c r="FP34" s="531"/>
      <c r="FQ34" s="531"/>
      <c r="FR34" s="531"/>
      <c r="FS34" s="531"/>
      <c r="FT34" s="531"/>
      <c r="FU34" s="640"/>
      <c r="FV34" s="531"/>
      <c r="FW34" s="531"/>
      <c r="FX34" s="531"/>
      <c r="FY34" s="531"/>
      <c r="FZ34" s="531"/>
    </row>
    <row r="35" spans="1:182" ht="12.75">
      <c r="A35" s="40">
        <v>43866</v>
      </c>
      <c r="B35" s="15">
        <f t="shared" ref="B35:D35" si="30">SUM(I35,AM35)</f>
        <v>0</v>
      </c>
      <c r="C35" s="15">
        <f t="shared" si="30"/>
        <v>0</v>
      </c>
      <c r="D35" s="15">
        <f t="shared" si="30"/>
        <v>0</v>
      </c>
      <c r="E35" s="154">
        <f t="shared" si="1"/>
        <v>0</v>
      </c>
      <c r="F35" s="18">
        <v>0</v>
      </c>
      <c r="G35" s="18">
        <v>0</v>
      </c>
      <c r="H35" s="317">
        <v>0</v>
      </c>
      <c r="I35" s="18">
        <v>0</v>
      </c>
      <c r="J35" s="18">
        <v>0</v>
      </c>
      <c r="K35" s="317">
        <v>0</v>
      </c>
      <c r="L35" s="18">
        <v>0</v>
      </c>
      <c r="M35" s="18">
        <v>0</v>
      </c>
      <c r="N35" s="317">
        <v>0</v>
      </c>
      <c r="O35" s="18">
        <v>0</v>
      </c>
      <c r="P35" s="18">
        <v>0</v>
      </c>
      <c r="Q35" s="317">
        <v>0</v>
      </c>
      <c r="R35" s="18">
        <v>0</v>
      </c>
      <c r="S35" s="18">
        <v>0</v>
      </c>
      <c r="T35" s="317">
        <v>0</v>
      </c>
      <c r="U35" s="18">
        <v>0</v>
      </c>
      <c r="V35" s="18">
        <v>0</v>
      </c>
      <c r="W35" s="317">
        <v>0</v>
      </c>
      <c r="X35" s="18">
        <v>0</v>
      </c>
      <c r="Y35" s="18">
        <v>0</v>
      </c>
      <c r="Z35" s="317">
        <v>0</v>
      </c>
      <c r="AA35" s="18">
        <v>0</v>
      </c>
      <c r="AB35" s="18">
        <v>0</v>
      </c>
      <c r="AC35" s="317">
        <v>0</v>
      </c>
      <c r="AD35" s="18">
        <v>0</v>
      </c>
      <c r="AE35" s="18">
        <v>0</v>
      </c>
      <c r="AF35" s="317">
        <v>0</v>
      </c>
      <c r="AG35" s="18">
        <v>0</v>
      </c>
      <c r="AH35" s="18">
        <v>0</v>
      </c>
      <c r="AI35" s="317">
        <v>0</v>
      </c>
      <c r="AJ35" s="18">
        <v>0</v>
      </c>
      <c r="AK35" s="18">
        <v>0</v>
      </c>
      <c r="AL35" s="317">
        <v>0</v>
      </c>
      <c r="AM35" s="18">
        <v>0</v>
      </c>
      <c r="AN35" s="18">
        <v>0</v>
      </c>
      <c r="AO35" s="317">
        <v>0</v>
      </c>
      <c r="AP35" s="18">
        <v>0</v>
      </c>
      <c r="AQ35" s="18">
        <v>0</v>
      </c>
      <c r="AR35" s="317">
        <v>0</v>
      </c>
      <c r="AS35" s="18">
        <v>0</v>
      </c>
      <c r="AT35" s="18">
        <v>0</v>
      </c>
      <c r="AU35" s="317">
        <v>0</v>
      </c>
      <c r="AV35" s="18">
        <v>0</v>
      </c>
      <c r="AW35" s="18">
        <v>0</v>
      </c>
      <c r="AX35" s="317">
        <v>0</v>
      </c>
      <c r="AY35" s="18">
        <v>0</v>
      </c>
      <c r="AZ35" s="18">
        <v>0</v>
      </c>
      <c r="BA35" s="317">
        <v>0</v>
      </c>
      <c r="BB35" s="18">
        <v>0</v>
      </c>
      <c r="BC35" s="18">
        <v>0</v>
      </c>
      <c r="BD35" s="317">
        <v>0</v>
      </c>
      <c r="BE35" s="18">
        <v>0</v>
      </c>
      <c r="BF35" s="18">
        <v>0</v>
      </c>
      <c r="BG35" s="317">
        <v>0</v>
      </c>
      <c r="BH35" s="18">
        <v>0</v>
      </c>
      <c r="BI35" s="18">
        <v>0</v>
      </c>
      <c r="BJ35" s="317">
        <v>0</v>
      </c>
      <c r="BK35" s="18">
        <v>0</v>
      </c>
      <c r="BL35" s="18">
        <v>0</v>
      </c>
      <c r="BM35" s="317">
        <v>0</v>
      </c>
      <c r="BN35" s="18">
        <v>0</v>
      </c>
      <c r="BO35" s="18">
        <v>0</v>
      </c>
      <c r="BP35" s="317">
        <v>0</v>
      </c>
      <c r="BQ35" s="18">
        <v>0</v>
      </c>
      <c r="BR35" s="18">
        <v>0</v>
      </c>
      <c r="BS35" s="317">
        <v>0</v>
      </c>
      <c r="BT35" s="18">
        <v>0</v>
      </c>
      <c r="BU35" s="18">
        <v>0</v>
      </c>
      <c r="BV35" s="317">
        <v>0</v>
      </c>
      <c r="BW35" s="18">
        <v>0</v>
      </c>
      <c r="BX35" s="18">
        <v>0</v>
      </c>
      <c r="BY35" s="317">
        <v>0</v>
      </c>
      <c r="BZ35" s="18">
        <v>0</v>
      </c>
      <c r="CA35" s="18">
        <v>0</v>
      </c>
      <c r="CB35" s="317">
        <v>0</v>
      </c>
      <c r="CC35" s="18">
        <v>0</v>
      </c>
      <c r="CD35" s="18">
        <v>0</v>
      </c>
      <c r="CE35" s="317">
        <v>0</v>
      </c>
      <c r="CF35" s="18">
        <v>0</v>
      </c>
      <c r="CG35" s="18">
        <v>0</v>
      </c>
      <c r="CH35" s="317">
        <v>0</v>
      </c>
      <c r="CI35" s="18">
        <v>0</v>
      </c>
      <c r="CJ35" s="18">
        <v>0</v>
      </c>
      <c r="CK35" s="317">
        <v>0</v>
      </c>
      <c r="CL35" s="18">
        <v>0</v>
      </c>
      <c r="CM35" s="18">
        <v>0</v>
      </c>
      <c r="CN35" s="317">
        <v>0</v>
      </c>
      <c r="CO35" s="18">
        <v>0</v>
      </c>
      <c r="CP35" s="18">
        <v>0</v>
      </c>
      <c r="CQ35" s="317">
        <v>0</v>
      </c>
      <c r="CR35" s="18">
        <v>0</v>
      </c>
      <c r="CS35" s="18">
        <v>0</v>
      </c>
      <c r="CT35" s="317">
        <v>0</v>
      </c>
      <c r="CU35" s="18">
        <v>0</v>
      </c>
      <c r="CV35" s="18">
        <v>0</v>
      </c>
      <c r="CW35" s="317">
        <v>0</v>
      </c>
      <c r="CX35" s="18">
        <v>0</v>
      </c>
      <c r="CY35" s="18">
        <v>0</v>
      </c>
      <c r="CZ35" s="317">
        <v>0</v>
      </c>
      <c r="DA35" s="18">
        <v>0</v>
      </c>
      <c r="DB35" s="18">
        <v>0</v>
      </c>
      <c r="DC35" s="317">
        <v>0</v>
      </c>
      <c r="DD35" s="18">
        <v>0</v>
      </c>
      <c r="DE35" s="18">
        <v>0</v>
      </c>
      <c r="DF35" s="317">
        <v>0</v>
      </c>
      <c r="DG35" s="18">
        <v>0</v>
      </c>
      <c r="DH35" s="18">
        <v>0</v>
      </c>
      <c r="DI35" s="317">
        <v>0</v>
      </c>
      <c r="DJ35" s="18">
        <v>0</v>
      </c>
      <c r="DK35" s="18">
        <v>0</v>
      </c>
      <c r="DL35" s="317">
        <v>0</v>
      </c>
      <c r="DM35" s="18">
        <v>0</v>
      </c>
      <c r="DN35" s="18">
        <v>0</v>
      </c>
      <c r="DO35" s="317">
        <v>0</v>
      </c>
      <c r="DP35" s="18">
        <v>0</v>
      </c>
      <c r="DQ35" s="18">
        <v>0</v>
      </c>
      <c r="DR35" s="317">
        <v>0</v>
      </c>
      <c r="DS35" s="18">
        <v>0</v>
      </c>
      <c r="DT35" s="18">
        <v>0</v>
      </c>
      <c r="DU35" s="317">
        <v>0</v>
      </c>
      <c r="DV35" s="18">
        <v>0</v>
      </c>
      <c r="DW35" s="18">
        <v>0</v>
      </c>
      <c r="DX35" s="317">
        <v>0</v>
      </c>
      <c r="DY35" s="18">
        <v>0</v>
      </c>
      <c r="DZ35" s="18">
        <v>0</v>
      </c>
      <c r="EA35" s="317">
        <v>0</v>
      </c>
      <c r="EB35" s="18">
        <v>0</v>
      </c>
      <c r="EC35" s="18">
        <v>0</v>
      </c>
      <c r="ED35" s="317">
        <v>0</v>
      </c>
      <c r="EE35" s="18">
        <v>0</v>
      </c>
      <c r="EF35" s="18">
        <v>0</v>
      </c>
      <c r="EG35" s="317">
        <v>0</v>
      </c>
      <c r="EH35" s="18">
        <v>0</v>
      </c>
      <c r="EI35" s="18">
        <v>0</v>
      </c>
      <c r="EJ35" s="317">
        <v>0</v>
      </c>
      <c r="EK35" s="18">
        <v>0</v>
      </c>
      <c r="EL35" s="18">
        <v>0</v>
      </c>
      <c r="EM35" s="317">
        <v>0</v>
      </c>
      <c r="EN35" s="18">
        <v>0</v>
      </c>
      <c r="EO35" s="18">
        <v>0</v>
      </c>
      <c r="EP35" s="317">
        <v>0</v>
      </c>
      <c r="EQ35" s="18">
        <v>0</v>
      </c>
      <c r="ER35" s="18">
        <v>0</v>
      </c>
      <c r="ES35" s="317">
        <v>0</v>
      </c>
      <c r="ET35" s="18">
        <v>0</v>
      </c>
      <c r="EU35" s="18">
        <v>0</v>
      </c>
      <c r="EV35" s="317">
        <v>0</v>
      </c>
      <c r="EW35" s="18">
        <v>0</v>
      </c>
      <c r="EX35" s="18">
        <v>0</v>
      </c>
      <c r="EY35" s="317">
        <v>0</v>
      </c>
      <c r="EZ35" s="18">
        <v>0</v>
      </c>
      <c r="FA35" s="18">
        <v>0</v>
      </c>
      <c r="FB35" s="317">
        <v>0</v>
      </c>
      <c r="FC35" s="18">
        <v>0</v>
      </c>
      <c r="FD35" s="18">
        <v>0</v>
      </c>
      <c r="FE35" s="317">
        <v>0</v>
      </c>
      <c r="FF35" s="18">
        <v>0</v>
      </c>
      <c r="FG35" s="18">
        <v>0</v>
      </c>
      <c r="FH35" s="317">
        <v>0</v>
      </c>
      <c r="FI35" s="18">
        <v>0</v>
      </c>
      <c r="FJ35" s="18">
        <v>0</v>
      </c>
      <c r="FK35" s="317">
        <v>0</v>
      </c>
      <c r="FL35" s="18">
        <v>0</v>
      </c>
      <c r="FM35" s="18">
        <v>0</v>
      </c>
      <c r="FN35" s="317">
        <v>0</v>
      </c>
      <c r="FO35" s="640"/>
      <c r="FP35" s="531"/>
      <c r="FQ35" s="531"/>
      <c r="FR35" s="531"/>
      <c r="FS35" s="531"/>
      <c r="FT35" s="531"/>
      <c r="FU35" s="640"/>
      <c r="FV35" s="531"/>
      <c r="FW35" s="531"/>
      <c r="FX35" s="531"/>
      <c r="FY35" s="531"/>
      <c r="FZ35" s="531"/>
    </row>
    <row r="36" spans="1:182" ht="12.75">
      <c r="A36" s="40">
        <v>43867</v>
      </c>
      <c r="B36" s="15">
        <f t="shared" ref="B36:D36" si="31">SUM(I36,AM36)</f>
        <v>0</v>
      </c>
      <c r="C36" s="15">
        <f t="shared" si="31"/>
        <v>0</v>
      </c>
      <c r="D36" s="15">
        <f t="shared" si="31"/>
        <v>0</v>
      </c>
      <c r="E36" s="154">
        <f t="shared" si="1"/>
        <v>0</v>
      </c>
      <c r="F36" s="15">
        <v>0</v>
      </c>
      <c r="G36" s="15">
        <v>0</v>
      </c>
      <c r="H36" s="17">
        <v>0</v>
      </c>
      <c r="I36" s="15">
        <v>0</v>
      </c>
      <c r="J36" s="15">
        <v>0</v>
      </c>
      <c r="K36" s="17">
        <v>0</v>
      </c>
      <c r="L36" s="15">
        <v>0</v>
      </c>
      <c r="M36" s="15">
        <v>0</v>
      </c>
      <c r="N36" s="17">
        <v>0</v>
      </c>
      <c r="O36" s="15">
        <v>0</v>
      </c>
      <c r="P36" s="15">
        <v>0</v>
      </c>
      <c r="Q36" s="17">
        <v>0</v>
      </c>
      <c r="R36" s="15">
        <v>0</v>
      </c>
      <c r="S36" s="15">
        <v>0</v>
      </c>
      <c r="T36" s="17">
        <v>0</v>
      </c>
      <c r="U36" s="15">
        <v>0</v>
      </c>
      <c r="V36" s="15">
        <v>0</v>
      </c>
      <c r="W36" s="17">
        <v>0</v>
      </c>
      <c r="X36" s="15">
        <v>0</v>
      </c>
      <c r="Y36" s="15">
        <v>0</v>
      </c>
      <c r="Z36" s="17">
        <v>0</v>
      </c>
      <c r="AA36" s="15">
        <v>0</v>
      </c>
      <c r="AB36" s="15">
        <v>0</v>
      </c>
      <c r="AC36" s="17">
        <v>0</v>
      </c>
      <c r="AD36" s="15">
        <v>0</v>
      </c>
      <c r="AE36" s="15">
        <v>0</v>
      </c>
      <c r="AF36" s="17">
        <v>0</v>
      </c>
      <c r="AG36" s="15">
        <v>0</v>
      </c>
      <c r="AH36" s="15">
        <v>0</v>
      </c>
      <c r="AI36" s="17">
        <v>0</v>
      </c>
      <c r="AJ36" s="15">
        <v>0</v>
      </c>
      <c r="AK36" s="15">
        <v>0</v>
      </c>
      <c r="AL36" s="17">
        <v>0</v>
      </c>
      <c r="AM36" s="15">
        <v>0</v>
      </c>
      <c r="AN36" s="15">
        <v>0</v>
      </c>
      <c r="AO36" s="17">
        <v>0</v>
      </c>
      <c r="AP36" s="15">
        <v>0</v>
      </c>
      <c r="AQ36" s="15">
        <v>0</v>
      </c>
      <c r="AR36" s="17">
        <v>0</v>
      </c>
      <c r="AS36" s="15">
        <v>0</v>
      </c>
      <c r="AT36" s="15">
        <v>0</v>
      </c>
      <c r="AU36" s="17">
        <v>0</v>
      </c>
      <c r="AV36" s="15">
        <v>0</v>
      </c>
      <c r="AW36" s="15">
        <v>0</v>
      </c>
      <c r="AX36" s="17">
        <v>0</v>
      </c>
      <c r="AY36" s="15">
        <v>0</v>
      </c>
      <c r="AZ36" s="15">
        <v>0</v>
      </c>
      <c r="BA36" s="17">
        <v>0</v>
      </c>
      <c r="BB36" s="15">
        <v>0</v>
      </c>
      <c r="BC36" s="15">
        <v>0</v>
      </c>
      <c r="BD36" s="17">
        <v>0</v>
      </c>
      <c r="BE36" s="15">
        <v>0</v>
      </c>
      <c r="BF36" s="15">
        <v>0</v>
      </c>
      <c r="BG36" s="17">
        <v>0</v>
      </c>
      <c r="BH36" s="15">
        <v>0</v>
      </c>
      <c r="BI36" s="15">
        <v>0</v>
      </c>
      <c r="BJ36" s="17">
        <v>0</v>
      </c>
      <c r="BK36" s="15">
        <v>0</v>
      </c>
      <c r="BL36" s="15">
        <v>0</v>
      </c>
      <c r="BM36" s="17">
        <v>0</v>
      </c>
      <c r="BN36" s="15">
        <v>0</v>
      </c>
      <c r="BO36" s="15">
        <v>0</v>
      </c>
      <c r="BP36" s="17">
        <v>0</v>
      </c>
      <c r="BQ36" s="15">
        <v>0</v>
      </c>
      <c r="BR36" s="15">
        <v>0</v>
      </c>
      <c r="BS36" s="17">
        <v>0</v>
      </c>
      <c r="BT36" s="15">
        <v>0</v>
      </c>
      <c r="BU36" s="15">
        <v>0</v>
      </c>
      <c r="BV36" s="17">
        <v>0</v>
      </c>
      <c r="BW36" s="15">
        <v>0</v>
      </c>
      <c r="BX36" s="15">
        <v>0</v>
      </c>
      <c r="BY36" s="17">
        <v>0</v>
      </c>
      <c r="BZ36" s="15">
        <v>0</v>
      </c>
      <c r="CA36" s="15">
        <v>0</v>
      </c>
      <c r="CB36" s="17">
        <v>0</v>
      </c>
      <c r="CC36" s="15">
        <v>0</v>
      </c>
      <c r="CD36" s="15">
        <v>0</v>
      </c>
      <c r="CE36" s="17">
        <v>0</v>
      </c>
      <c r="CF36" s="15">
        <v>0</v>
      </c>
      <c r="CG36" s="15">
        <v>0</v>
      </c>
      <c r="CH36" s="17">
        <v>0</v>
      </c>
      <c r="CI36" s="15">
        <v>0</v>
      </c>
      <c r="CJ36" s="15">
        <v>0</v>
      </c>
      <c r="CK36" s="17">
        <v>0</v>
      </c>
      <c r="CL36" s="15">
        <v>0</v>
      </c>
      <c r="CM36" s="15">
        <v>0</v>
      </c>
      <c r="CN36" s="17">
        <v>0</v>
      </c>
      <c r="CO36" s="15">
        <v>0</v>
      </c>
      <c r="CP36" s="15">
        <v>0</v>
      </c>
      <c r="CQ36" s="17">
        <v>0</v>
      </c>
      <c r="CR36" s="15">
        <v>0</v>
      </c>
      <c r="CS36" s="15">
        <v>0</v>
      </c>
      <c r="CT36" s="17">
        <v>0</v>
      </c>
      <c r="CU36" s="15">
        <v>0</v>
      </c>
      <c r="CV36" s="15">
        <v>0</v>
      </c>
      <c r="CW36" s="17">
        <v>0</v>
      </c>
      <c r="CX36" s="15">
        <v>0</v>
      </c>
      <c r="CY36" s="15">
        <v>0</v>
      </c>
      <c r="CZ36" s="17">
        <v>0</v>
      </c>
      <c r="DA36" s="15">
        <v>0</v>
      </c>
      <c r="DB36" s="15">
        <v>0</v>
      </c>
      <c r="DC36" s="17">
        <v>0</v>
      </c>
      <c r="DD36" s="15">
        <v>0</v>
      </c>
      <c r="DE36" s="15">
        <v>0</v>
      </c>
      <c r="DF36" s="17">
        <v>0</v>
      </c>
      <c r="DG36" s="15">
        <v>0</v>
      </c>
      <c r="DH36" s="15">
        <v>0</v>
      </c>
      <c r="DI36" s="17">
        <v>0</v>
      </c>
      <c r="DJ36" s="15">
        <v>0</v>
      </c>
      <c r="DK36" s="15">
        <v>0</v>
      </c>
      <c r="DL36" s="17">
        <v>0</v>
      </c>
      <c r="DM36" s="15">
        <v>0</v>
      </c>
      <c r="DN36" s="15">
        <v>0</v>
      </c>
      <c r="DO36" s="17">
        <v>0</v>
      </c>
      <c r="DP36" s="15">
        <v>0</v>
      </c>
      <c r="DQ36" s="15">
        <v>0</v>
      </c>
      <c r="DR36" s="17">
        <v>0</v>
      </c>
      <c r="DS36" s="15">
        <v>0</v>
      </c>
      <c r="DT36" s="15">
        <v>0</v>
      </c>
      <c r="DU36" s="17">
        <v>0</v>
      </c>
      <c r="DV36" s="15">
        <v>0</v>
      </c>
      <c r="DW36" s="15">
        <v>0</v>
      </c>
      <c r="DX36" s="17">
        <v>0</v>
      </c>
      <c r="DY36" s="15">
        <v>0</v>
      </c>
      <c r="DZ36" s="15">
        <v>0</v>
      </c>
      <c r="EA36" s="17">
        <v>0</v>
      </c>
      <c r="EB36" s="15">
        <v>0</v>
      </c>
      <c r="EC36" s="15">
        <v>0</v>
      </c>
      <c r="ED36" s="17">
        <v>0</v>
      </c>
      <c r="EE36" s="15">
        <v>0</v>
      </c>
      <c r="EF36" s="15">
        <v>0</v>
      </c>
      <c r="EG36" s="17">
        <v>0</v>
      </c>
      <c r="EH36" s="15">
        <v>0</v>
      </c>
      <c r="EI36" s="15">
        <v>0</v>
      </c>
      <c r="EJ36" s="17">
        <v>0</v>
      </c>
      <c r="EK36" s="15">
        <v>0</v>
      </c>
      <c r="EL36" s="15">
        <v>0</v>
      </c>
      <c r="EM36" s="17">
        <v>0</v>
      </c>
      <c r="EN36" s="15">
        <v>0</v>
      </c>
      <c r="EO36" s="15">
        <v>0</v>
      </c>
      <c r="EP36" s="17">
        <v>0</v>
      </c>
      <c r="EQ36" s="15">
        <v>0</v>
      </c>
      <c r="ER36" s="15">
        <v>0</v>
      </c>
      <c r="ES36" s="17">
        <v>0</v>
      </c>
      <c r="ET36" s="15">
        <v>0</v>
      </c>
      <c r="EU36" s="15">
        <v>0</v>
      </c>
      <c r="EV36" s="17">
        <v>0</v>
      </c>
      <c r="EW36" s="15">
        <v>0</v>
      </c>
      <c r="EX36" s="15">
        <v>0</v>
      </c>
      <c r="EY36" s="17">
        <v>0</v>
      </c>
      <c r="EZ36" s="15">
        <v>0</v>
      </c>
      <c r="FA36" s="15">
        <v>0</v>
      </c>
      <c r="FB36" s="17">
        <v>0</v>
      </c>
      <c r="FC36" s="15">
        <v>0</v>
      </c>
      <c r="FD36" s="15">
        <v>0</v>
      </c>
      <c r="FE36" s="17">
        <v>0</v>
      </c>
      <c r="FF36" s="15">
        <v>0</v>
      </c>
      <c r="FG36" s="15">
        <v>0</v>
      </c>
      <c r="FH36" s="17">
        <v>0</v>
      </c>
      <c r="FI36" s="15">
        <v>0</v>
      </c>
      <c r="FJ36" s="15">
        <v>0</v>
      </c>
      <c r="FK36" s="17">
        <v>0</v>
      </c>
      <c r="FL36" s="15">
        <v>0</v>
      </c>
      <c r="FM36" s="15">
        <v>0</v>
      </c>
      <c r="FN36" s="17">
        <v>0</v>
      </c>
      <c r="FO36" s="640"/>
      <c r="FP36" s="531"/>
      <c r="FQ36" s="531"/>
      <c r="FR36" s="531"/>
      <c r="FS36" s="531"/>
      <c r="FT36" s="531"/>
      <c r="FU36" s="640"/>
      <c r="FV36" s="531"/>
      <c r="FW36" s="531"/>
      <c r="FX36" s="531"/>
      <c r="FY36" s="531"/>
      <c r="FZ36" s="531"/>
    </row>
    <row r="37" spans="1:182" ht="12.75">
      <c r="A37" s="40">
        <v>43868</v>
      </c>
      <c r="B37" s="15">
        <f t="shared" ref="B37:D37" si="32">SUM(I37,AM37)</f>
        <v>0</v>
      </c>
      <c r="C37" s="15">
        <f t="shared" si="32"/>
        <v>0</v>
      </c>
      <c r="D37" s="15">
        <f t="shared" si="32"/>
        <v>0</v>
      </c>
      <c r="E37" s="154">
        <f t="shared" si="1"/>
        <v>0</v>
      </c>
      <c r="F37" s="18">
        <v>0</v>
      </c>
      <c r="G37" s="18">
        <v>0</v>
      </c>
      <c r="H37" s="317">
        <v>0</v>
      </c>
      <c r="I37" s="18">
        <v>0</v>
      </c>
      <c r="J37" s="18">
        <v>0</v>
      </c>
      <c r="K37" s="317">
        <v>0</v>
      </c>
      <c r="L37" s="18">
        <v>0</v>
      </c>
      <c r="M37" s="18">
        <v>0</v>
      </c>
      <c r="N37" s="317">
        <v>0</v>
      </c>
      <c r="O37" s="18">
        <v>0</v>
      </c>
      <c r="P37" s="18">
        <v>0</v>
      </c>
      <c r="Q37" s="317">
        <v>0</v>
      </c>
      <c r="R37" s="18">
        <v>0</v>
      </c>
      <c r="S37" s="18">
        <v>0</v>
      </c>
      <c r="T37" s="317">
        <v>0</v>
      </c>
      <c r="U37" s="18">
        <v>0</v>
      </c>
      <c r="V37" s="18">
        <v>0</v>
      </c>
      <c r="W37" s="317">
        <v>0</v>
      </c>
      <c r="X37" s="18">
        <v>0</v>
      </c>
      <c r="Y37" s="18">
        <v>0</v>
      </c>
      <c r="Z37" s="317">
        <v>0</v>
      </c>
      <c r="AA37" s="18">
        <v>0</v>
      </c>
      <c r="AB37" s="18">
        <v>0</v>
      </c>
      <c r="AC37" s="317">
        <v>0</v>
      </c>
      <c r="AD37" s="18">
        <v>0</v>
      </c>
      <c r="AE37" s="18">
        <v>0</v>
      </c>
      <c r="AF37" s="317">
        <v>0</v>
      </c>
      <c r="AG37" s="18">
        <v>0</v>
      </c>
      <c r="AH37" s="18">
        <v>0</v>
      </c>
      <c r="AI37" s="317">
        <v>0</v>
      </c>
      <c r="AJ37" s="18">
        <v>0</v>
      </c>
      <c r="AK37" s="18">
        <v>0</v>
      </c>
      <c r="AL37" s="317">
        <v>0</v>
      </c>
      <c r="AM37" s="18">
        <v>0</v>
      </c>
      <c r="AN37" s="18">
        <v>0</v>
      </c>
      <c r="AO37" s="317">
        <v>0</v>
      </c>
      <c r="AP37" s="18">
        <v>0</v>
      </c>
      <c r="AQ37" s="18">
        <v>0</v>
      </c>
      <c r="AR37" s="317">
        <v>0</v>
      </c>
      <c r="AS37" s="18">
        <v>0</v>
      </c>
      <c r="AT37" s="18">
        <v>0</v>
      </c>
      <c r="AU37" s="317">
        <v>0</v>
      </c>
      <c r="AV37" s="18">
        <v>0</v>
      </c>
      <c r="AW37" s="18">
        <v>0</v>
      </c>
      <c r="AX37" s="317">
        <v>0</v>
      </c>
      <c r="AY37" s="18">
        <v>0</v>
      </c>
      <c r="AZ37" s="18">
        <v>0</v>
      </c>
      <c r="BA37" s="317">
        <v>0</v>
      </c>
      <c r="BB37" s="18">
        <v>0</v>
      </c>
      <c r="BC37" s="18">
        <v>0</v>
      </c>
      <c r="BD37" s="317">
        <v>0</v>
      </c>
      <c r="BE37" s="18">
        <v>0</v>
      </c>
      <c r="BF37" s="18">
        <v>0</v>
      </c>
      <c r="BG37" s="317">
        <v>0</v>
      </c>
      <c r="BH37" s="18">
        <v>0</v>
      </c>
      <c r="BI37" s="18">
        <v>0</v>
      </c>
      <c r="BJ37" s="317">
        <v>0</v>
      </c>
      <c r="BK37" s="18">
        <v>0</v>
      </c>
      <c r="BL37" s="18">
        <v>0</v>
      </c>
      <c r="BM37" s="317">
        <v>0</v>
      </c>
      <c r="BN37" s="18">
        <v>0</v>
      </c>
      <c r="BO37" s="18">
        <v>0</v>
      </c>
      <c r="BP37" s="317">
        <v>0</v>
      </c>
      <c r="BQ37" s="18">
        <v>0</v>
      </c>
      <c r="BR37" s="18">
        <v>0</v>
      </c>
      <c r="BS37" s="317">
        <v>0</v>
      </c>
      <c r="BT37" s="18">
        <v>0</v>
      </c>
      <c r="BU37" s="18">
        <v>0</v>
      </c>
      <c r="BV37" s="317">
        <v>0</v>
      </c>
      <c r="BW37" s="18">
        <v>0</v>
      </c>
      <c r="BX37" s="18">
        <v>0</v>
      </c>
      <c r="BY37" s="317">
        <v>0</v>
      </c>
      <c r="BZ37" s="18">
        <v>0</v>
      </c>
      <c r="CA37" s="18">
        <v>0</v>
      </c>
      <c r="CB37" s="317">
        <v>0</v>
      </c>
      <c r="CC37" s="18">
        <v>0</v>
      </c>
      <c r="CD37" s="18">
        <v>0</v>
      </c>
      <c r="CE37" s="317">
        <v>0</v>
      </c>
      <c r="CF37" s="18">
        <v>0</v>
      </c>
      <c r="CG37" s="18">
        <v>0</v>
      </c>
      <c r="CH37" s="317">
        <v>0</v>
      </c>
      <c r="CI37" s="18">
        <v>0</v>
      </c>
      <c r="CJ37" s="18">
        <v>0</v>
      </c>
      <c r="CK37" s="317">
        <v>0</v>
      </c>
      <c r="CL37" s="18">
        <v>0</v>
      </c>
      <c r="CM37" s="18">
        <v>0</v>
      </c>
      <c r="CN37" s="317">
        <v>0</v>
      </c>
      <c r="CO37" s="18">
        <v>0</v>
      </c>
      <c r="CP37" s="18">
        <v>0</v>
      </c>
      <c r="CQ37" s="317">
        <v>0</v>
      </c>
      <c r="CR37" s="18">
        <v>0</v>
      </c>
      <c r="CS37" s="18">
        <v>0</v>
      </c>
      <c r="CT37" s="317">
        <v>0</v>
      </c>
      <c r="CU37" s="18">
        <v>0</v>
      </c>
      <c r="CV37" s="18">
        <v>0</v>
      </c>
      <c r="CW37" s="317">
        <v>0</v>
      </c>
      <c r="CX37" s="18">
        <v>0</v>
      </c>
      <c r="CY37" s="18">
        <v>0</v>
      </c>
      <c r="CZ37" s="317">
        <v>0</v>
      </c>
      <c r="DA37" s="18">
        <v>0</v>
      </c>
      <c r="DB37" s="18">
        <v>0</v>
      </c>
      <c r="DC37" s="317">
        <v>0</v>
      </c>
      <c r="DD37" s="18">
        <v>0</v>
      </c>
      <c r="DE37" s="18">
        <v>0</v>
      </c>
      <c r="DF37" s="317">
        <v>0</v>
      </c>
      <c r="DG37" s="18">
        <v>0</v>
      </c>
      <c r="DH37" s="18">
        <v>0</v>
      </c>
      <c r="DI37" s="317">
        <v>0</v>
      </c>
      <c r="DJ37" s="18">
        <v>0</v>
      </c>
      <c r="DK37" s="18">
        <v>0</v>
      </c>
      <c r="DL37" s="317">
        <v>0</v>
      </c>
      <c r="DM37" s="18">
        <v>0</v>
      </c>
      <c r="DN37" s="18">
        <v>0</v>
      </c>
      <c r="DO37" s="317">
        <v>0</v>
      </c>
      <c r="DP37" s="18">
        <v>0</v>
      </c>
      <c r="DQ37" s="18">
        <v>0</v>
      </c>
      <c r="DR37" s="317">
        <v>0</v>
      </c>
      <c r="DS37" s="18">
        <v>0</v>
      </c>
      <c r="DT37" s="18">
        <v>0</v>
      </c>
      <c r="DU37" s="317">
        <v>0</v>
      </c>
      <c r="DV37" s="18">
        <v>0</v>
      </c>
      <c r="DW37" s="18">
        <v>0</v>
      </c>
      <c r="DX37" s="317">
        <v>0</v>
      </c>
      <c r="DY37" s="18">
        <v>0</v>
      </c>
      <c r="DZ37" s="18">
        <v>0</v>
      </c>
      <c r="EA37" s="317">
        <v>0</v>
      </c>
      <c r="EB37" s="18">
        <v>0</v>
      </c>
      <c r="EC37" s="18">
        <v>0</v>
      </c>
      <c r="ED37" s="317">
        <v>0</v>
      </c>
      <c r="EE37" s="18">
        <v>0</v>
      </c>
      <c r="EF37" s="18">
        <v>0</v>
      </c>
      <c r="EG37" s="317">
        <v>0</v>
      </c>
      <c r="EH37" s="18">
        <v>0</v>
      </c>
      <c r="EI37" s="18">
        <v>0</v>
      </c>
      <c r="EJ37" s="317">
        <v>0</v>
      </c>
      <c r="EK37" s="18">
        <v>0</v>
      </c>
      <c r="EL37" s="18">
        <v>0</v>
      </c>
      <c r="EM37" s="317">
        <v>0</v>
      </c>
      <c r="EN37" s="18">
        <v>0</v>
      </c>
      <c r="EO37" s="18">
        <v>0</v>
      </c>
      <c r="EP37" s="317">
        <v>0</v>
      </c>
      <c r="EQ37" s="18">
        <v>0</v>
      </c>
      <c r="ER37" s="18">
        <v>0</v>
      </c>
      <c r="ES37" s="317">
        <v>0</v>
      </c>
      <c r="ET37" s="18">
        <v>0</v>
      </c>
      <c r="EU37" s="18">
        <v>0</v>
      </c>
      <c r="EV37" s="317">
        <v>0</v>
      </c>
      <c r="EW37" s="18">
        <v>0</v>
      </c>
      <c r="EX37" s="18">
        <v>0</v>
      </c>
      <c r="EY37" s="317">
        <v>0</v>
      </c>
      <c r="EZ37" s="18">
        <v>0</v>
      </c>
      <c r="FA37" s="18">
        <v>0</v>
      </c>
      <c r="FB37" s="317">
        <v>0</v>
      </c>
      <c r="FC37" s="18">
        <v>0</v>
      </c>
      <c r="FD37" s="18">
        <v>0</v>
      </c>
      <c r="FE37" s="317">
        <v>0</v>
      </c>
      <c r="FF37" s="18">
        <v>0</v>
      </c>
      <c r="FG37" s="18">
        <v>0</v>
      </c>
      <c r="FH37" s="317">
        <v>0</v>
      </c>
      <c r="FI37" s="18">
        <v>0</v>
      </c>
      <c r="FJ37" s="18">
        <v>0</v>
      </c>
      <c r="FK37" s="317">
        <v>0</v>
      </c>
      <c r="FL37" s="18">
        <v>0</v>
      </c>
      <c r="FM37" s="18">
        <v>0</v>
      </c>
      <c r="FN37" s="317">
        <v>0</v>
      </c>
      <c r="FO37" s="640"/>
      <c r="FP37" s="531"/>
      <c r="FQ37" s="531"/>
      <c r="FR37" s="531"/>
      <c r="FS37" s="531"/>
      <c r="FT37" s="531"/>
      <c r="FU37" s="640"/>
      <c r="FV37" s="531"/>
      <c r="FW37" s="531"/>
      <c r="FX37" s="531"/>
      <c r="FY37" s="531"/>
      <c r="FZ37" s="531"/>
    </row>
    <row r="38" spans="1:182" ht="12.75">
      <c r="A38" s="40">
        <v>43869</v>
      </c>
      <c r="B38" s="15">
        <f t="shared" ref="B38:D38" si="33">SUM(I38,AM38)</f>
        <v>0</v>
      </c>
      <c r="C38" s="15">
        <f t="shared" si="33"/>
        <v>0</v>
      </c>
      <c r="D38" s="15">
        <f t="shared" si="33"/>
        <v>0</v>
      </c>
      <c r="E38" s="154">
        <f t="shared" si="1"/>
        <v>0</v>
      </c>
      <c r="F38" s="15">
        <v>0</v>
      </c>
      <c r="G38" s="15">
        <v>0</v>
      </c>
      <c r="H38" s="17">
        <v>0</v>
      </c>
      <c r="I38" s="15">
        <v>0</v>
      </c>
      <c r="J38" s="15">
        <v>0</v>
      </c>
      <c r="K38" s="17">
        <v>0</v>
      </c>
      <c r="L38" s="15">
        <v>0</v>
      </c>
      <c r="M38" s="15">
        <v>0</v>
      </c>
      <c r="N38" s="17">
        <v>0</v>
      </c>
      <c r="O38" s="15">
        <v>0</v>
      </c>
      <c r="P38" s="15">
        <v>0</v>
      </c>
      <c r="Q38" s="17">
        <v>0</v>
      </c>
      <c r="R38" s="15">
        <v>0</v>
      </c>
      <c r="S38" s="15">
        <v>0</v>
      </c>
      <c r="T38" s="17">
        <v>0</v>
      </c>
      <c r="U38" s="15">
        <v>0</v>
      </c>
      <c r="V38" s="15">
        <v>0</v>
      </c>
      <c r="W38" s="17">
        <v>0</v>
      </c>
      <c r="X38" s="15">
        <v>0</v>
      </c>
      <c r="Y38" s="15">
        <v>0</v>
      </c>
      <c r="Z38" s="17">
        <v>0</v>
      </c>
      <c r="AA38" s="15">
        <v>0</v>
      </c>
      <c r="AB38" s="15">
        <v>0</v>
      </c>
      <c r="AC38" s="17">
        <v>0</v>
      </c>
      <c r="AD38" s="15">
        <v>0</v>
      </c>
      <c r="AE38" s="15">
        <v>0</v>
      </c>
      <c r="AF38" s="17">
        <v>0</v>
      </c>
      <c r="AG38" s="15">
        <v>0</v>
      </c>
      <c r="AH38" s="15">
        <v>0</v>
      </c>
      <c r="AI38" s="17">
        <v>0</v>
      </c>
      <c r="AJ38" s="15">
        <v>0</v>
      </c>
      <c r="AK38" s="15">
        <v>0</v>
      </c>
      <c r="AL38" s="17">
        <v>0</v>
      </c>
      <c r="AM38" s="15">
        <v>0</v>
      </c>
      <c r="AN38" s="15">
        <v>0</v>
      </c>
      <c r="AO38" s="17">
        <v>0</v>
      </c>
      <c r="AP38" s="15">
        <v>0</v>
      </c>
      <c r="AQ38" s="15">
        <v>0</v>
      </c>
      <c r="AR38" s="17">
        <v>0</v>
      </c>
      <c r="AS38" s="15">
        <v>0</v>
      </c>
      <c r="AT38" s="15">
        <v>0</v>
      </c>
      <c r="AU38" s="17">
        <v>0</v>
      </c>
      <c r="AV38" s="15">
        <v>0</v>
      </c>
      <c r="AW38" s="15">
        <v>0</v>
      </c>
      <c r="AX38" s="17">
        <v>0</v>
      </c>
      <c r="AY38" s="15">
        <v>0</v>
      </c>
      <c r="AZ38" s="15">
        <v>0</v>
      </c>
      <c r="BA38" s="17">
        <v>0</v>
      </c>
      <c r="BB38" s="15">
        <v>0</v>
      </c>
      <c r="BC38" s="15">
        <v>0</v>
      </c>
      <c r="BD38" s="17">
        <v>0</v>
      </c>
      <c r="BE38" s="15">
        <v>0</v>
      </c>
      <c r="BF38" s="15">
        <v>0</v>
      </c>
      <c r="BG38" s="17">
        <v>0</v>
      </c>
      <c r="BH38" s="15">
        <v>0</v>
      </c>
      <c r="BI38" s="15">
        <v>0</v>
      </c>
      <c r="BJ38" s="17">
        <v>0</v>
      </c>
      <c r="BK38" s="15">
        <v>0</v>
      </c>
      <c r="BL38" s="15">
        <v>0</v>
      </c>
      <c r="BM38" s="17">
        <v>0</v>
      </c>
      <c r="BN38" s="15">
        <v>0</v>
      </c>
      <c r="BO38" s="15">
        <v>0</v>
      </c>
      <c r="BP38" s="17">
        <v>0</v>
      </c>
      <c r="BQ38" s="15">
        <v>0</v>
      </c>
      <c r="BR38" s="15">
        <v>0</v>
      </c>
      <c r="BS38" s="17">
        <v>0</v>
      </c>
      <c r="BT38" s="15">
        <v>0</v>
      </c>
      <c r="BU38" s="15">
        <v>0</v>
      </c>
      <c r="BV38" s="17">
        <v>0</v>
      </c>
      <c r="BW38" s="15">
        <v>0</v>
      </c>
      <c r="BX38" s="15">
        <v>0</v>
      </c>
      <c r="BY38" s="17">
        <v>0</v>
      </c>
      <c r="BZ38" s="15">
        <v>0</v>
      </c>
      <c r="CA38" s="15">
        <v>0</v>
      </c>
      <c r="CB38" s="17">
        <v>0</v>
      </c>
      <c r="CC38" s="15">
        <v>0</v>
      </c>
      <c r="CD38" s="15">
        <v>0</v>
      </c>
      <c r="CE38" s="17">
        <v>0</v>
      </c>
      <c r="CF38" s="15">
        <v>0</v>
      </c>
      <c r="CG38" s="15">
        <v>0</v>
      </c>
      <c r="CH38" s="17">
        <v>0</v>
      </c>
      <c r="CI38" s="15">
        <v>0</v>
      </c>
      <c r="CJ38" s="15">
        <v>0</v>
      </c>
      <c r="CK38" s="17">
        <v>0</v>
      </c>
      <c r="CL38" s="15">
        <v>0</v>
      </c>
      <c r="CM38" s="15">
        <v>0</v>
      </c>
      <c r="CN38" s="17">
        <v>0</v>
      </c>
      <c r="CO38" s="15">
        <v>0</v>
      </c>
      <c r="CP38" s="15">
        <v>0</v>
      </c>
      <c r="CQ38" s="17">
        <v>0</v>
      </c>
      <c r="CR38" s="15">
        <v>0</v>
      </c>
      <c r="CS38" s="15">
        <v>0</v>
      </c>
      <c r="CT38" s="17">
        <v>0</v>
      </c>
      <c r="CU38" s="15">
        <v>0</v>
      </c>
      <c r="CV38" s="15">
        <v>0</v>
      </c>
      <c r="CW38" s="17">
        <v>0</v>
      </c>
      <c r="CX38" s="15">
        <v>0</v>
      </c>
      <c r="CY38" s="15">
        <v>0</v>
      </c>
      <c r="CZ38" s="17">
        <v>0</v>
      </c>
      <c r="DA38" s="15">
        <v>0</v>
      </c>
      <c r="DB38" s="15">
        <v>0</v>
      </c>
      <c r="DC38" s="17">
        <v>0</v>
      </c>
      <c r="DD38" s="15">
        <v>0</v>
      </c>
      <c r="DE38" s="15">
        <v>0</v>
      </c>
      <c r="DF38" s="17">
        <v>0</v>
      </c>
      <c r="DG38" s="15">
        <v>0</v>
      </c>
      <c r="DH38" s="15">
        <v>0</v>
      </c>
      <c r="DI38" s="17">
        <v>0</v>
      </c>
      <c r="DJ38" s="15">
        <v>0</v>
      </c>
      <c r="DK38" s="15">
        <v>0</v>
      </c>
      <c r="DL38" s="17">
        <v>0</v>
      </c>
      <c r="DM38" s="15">
        <v>0</v>
      </c>
      <c r="DN38" s="15">
        <v>0</v>
      </c>
      <c r="DO38" s="17">
        <v>0</v>
      </c>
      <c r="DP38" s="15">
        <v>0</v>
      </c>
      <c r="DQ38" s="15">
        <v>0</v>
      </c>
      <c r="DR38" s="17">
        <v>0</v>
      </c>
      <c r="DS38" s="15">
        <v>0</v>
      </c>
      <c r="DT38" s="15">
        <v>0</v>
      </c>
      <c r="DU38" s="17">
        <v>0</v>
      </c>
      <c r="DV38" s="15">
        <v>0</v>
      </c>
      <c r="DW38" s="15">
        <v>0</v>
      </c>
      <c r="DX38" s="17">
        <v>0</v>
      </c>
      <c r="DY38" s="15">
        <v>0</v>
      </c>
      <c r="DZ38" s="15">
        <v>0</v>
      </c>
      <c r="EA38" s="17">
        <v>0</v>
      </c>
      <c r="EB38" s="15">
        <v>0</v>
      </c>
      <c r="EC38" s="15">
        <v>0</v>
      </c>
      <c r="ED38" s="17">
        <v>0</v>
      </c>
      <c r="EE38" s="15">
        <v>0</v>
      </c>
      <c r="EF38" s="15">
        <v>0</v>
      </c>
      <c r="EG38" s="17">
        <v>0</v>
      </c>
      <c r="EH38" s="15">
        <v>0</v>
      </c>
      <c r="EI38" s="15">
        <v>0</v>
      </c>
      <c r="EJ38" s="17">
        <v>0</v>
      </c>
      <c r="EK38" s="15">
        <v>0</v>
      </c>
      <c r="EL38" s="15">
        <v>0</v>
      </c>
      <c r="EM38" s="17">
        <v>0</v>
      </c>
      <c r="EN38" s="15">
        <v>0</v>
      </c>
      <c r="EO38" s="15">
        <v>0</v>
      </c>
      <c r="EP38" s="17">
        <v>0</v>
      </c>
      <c r="EQ38" s="15">
        <v>0</v>
      </c>
      <c r="ER38" s="15">
        <v>0</v>
      </c>
      <c r="ES38" s="17">
        <v>0</v>
      </c>
      <c r="ET38" s="15">
        <v>0</v>
      </c>
      <c r="EU38" s="15">
        <v>0</v>
      </c>
      <c r="EV38" s="17">
        <v>0</v>
      </c>
      <c r="EW38" s="15">
        <v>0</v>
      </c>
      <c r="EX38" s="15">
        <v>0</v>
      </c>
      <c r="EY38" s="17">
        <v>0</v>
      </c>
      <c r="EZ38" s="15">
        <v>0</v>
      </c>
      <c r="FA38" s="15">
        <v>0</v>
      </c>
      <c r="FB38" s="17">
        <v>0</v>
      </c>
      <c r="FC38" s="15">
        <v>0</v>
      </c>
      <c r="FD38" s="15">
        <v>0</v>
      </c>
      <c r="FE38" s="17">
        <v>0</v>
      </c>
      <c r="FF38" s="15">
        <v>0</v>
      </c>
      <c r="FG38" s="15">
        <v>0</v>
      </c>
      <c r="FH38" s="17">
        <v>0</v>
      </c>
      <c r="FI38" s="15">
        <v>0</v>
      </c>
      <c r="FJ38" s="15">
        <v>0</v>
      </c>
      <c r="FK38" s="17">
        <v>0</v>
      </c>
      <c r="FL38" s="15">
        <v>0</v>
      </c>
      <c r="FM38" s="15">
        <v>0</v>
      </c>
      <c r="FN38" s="17">
        <v>0</v>
      </c>
      <c r="FO38" s="640"/>
      <c r="FP38" s="531"/>
      <c r="FQ38" s="531"/>
      <c r="FR38" s="531"/>
      <c r="FS38" s="531"/>
      <c r="FT38" s="531"/>
      <c r="FU38" s="640"/>
      <c r="FV38" s="531"/>
      <c r="FW38" s="531"/>
      <c r="FX38" s="531"/>
      <c r="FY38" s="531"/>
      <c r="FZ38" s="531"/>
    </row>
    <row r="39" spans="1:182" ht="12.75">
      <c r="A39" s="40">
        <v>43870</v>
      </c>
      <c r="B39" s="15">
        <f t="shared" ref="B39:D39" si="34">SUM(I39,AM39)</f>
        <v>0</v>
      </c>
      <c r="C39" s="15">
        <f t="shared" si="34"/>
        <v>0</v>
      </c>
      <c r="D39" s="15">
        <f t="shared" si="34"/>
        <v>0</v>
      </c>
      <c r="E39" s="154">
        <f t="shared" si="1"/>
        <v>0</v>
      </c>
      <c r="F39" s="18">
        <v>0</v>
      </c>
      <c r="G39" s="18">
        <v>0</v>
      </c>
      <c r="H39" s="317">
        <v>0</v>
      </c>
      <c r="I39" s="18">
        <v>0</v>
      </c>
      <c r="J39" s="18">
        <v>0</v>
      </c>
      <c r="K39" s="317">
        <v>0</v>
      </c>
      <c r="L39" s="18">
        <v>0</v>
      </c>
      <c r="M39" s="18">
        <v>0</v>
      </c>
      <c r="N39" s="317">
        <v>0</v>
      </c>
      <c r="O39" s="18">
        <v>0</v>
      </c>
      <c r="P39" s="18">
        <v>0</v>
      </c>
      <c r="Q39" s="317">
        <v>0</v>
      </c>
      <c r="R39" s="18">
        <v>0</v>
      </c>
      <c r="S39" s="18">
        <v>0</v>
      </c>
      <c r="T39" s="317">
        <v>0</v>
      </c>
      <c r="U39" s="18">
        <v>0</v>
      </c>
      <c r="V39" s="18">
        <v>0</v>
      </c>
      <c r="W39" s="317">
        <v>0</v>
      </c>
      <c r="X39" s="18">
        <v>0</v>
      </c>
      <c r="Y39" s="18">
        <v>0</v>
      </c>
      <c r="Z39" s="317">
        <v>0</v>
      </c>
      <c r="AA39" s="18">
        <v>0</v>
      </c>
      <c r="AB39" s="18">
        <v>0</v>
      </c>
      <c r="AC39" s="317">
        <v>0</v>
      </c>
      <c r="AD39" s="18">
        <v>0</v>
      </c>
      <c r="AE39" s="18">
        <v>0</v>
      </c>
      <c r="AF39" s="317">
        <v>0</v>
      </c>
      <c r="AG39" s="18">
        <v>0</v>
      </c>
      <c r="AH39" s="18">
        <v>0</v>
      </c>
      <c r="AI39" s="317">
        <v>0</v>
      </c>
      <c r="AJ39" s="18">
        <v>0</v>
      </c>
      <c r="AK39" s="18">
        <v>0</v>
      </c>
      <c r="AL39" s="317">
        <v>0</v>
      </c>
      <c r="AM39" s="18">
        <v>0</v>
      </c>
      <c r="AN39" s="18">
        <v>0</v>
      </c>
      <c r="AO39" s="317">
        <v>0</v>
      </c>
      <c r="AP39" s="18">
        <v>0</v>
      </c>
      <c r="AQ39" s="18">
        <v>0</v>
      </c>
      <c r="AR39" s="317">
        <v>0</v>
      </c>
      <c r="AS39" s="18">
        <v>0</v>
      </c>
      <c r="AT39" s="18">
        <v>0</v>
      </c>
      <c r="AU39" s="317">
        <v>0</v>
      </c>
      <c r="AV39" s="18">
        <v>0</v>
      </c>
      <c r="AW39" s="18">
        <v>0</v>
      </c>
      <c r="AX39" s="317">
        <v>0</v>
      </c>
      <c r="AY39" s="18">
        <v>0</v>
      </c>
      <c r="AZ39" s="18">
        <v>0</v>
      </c>
      <c r="BA39" s="317">
        <v>0</v>
      </c>
      <c r="BB39" s="18">
        <v>0</v>
      </c>
      <c r="BC39" s="18">
        <v>0</v>
      </c>
      <c r="BD39" s="317">
        <v>0</v>
      </c>
      <c r="BE39" s="18">
        <v>0</v>
      </c>
      <c r="BF39" s="18">
        <v>0</v>
      </c>
      <c r="BG39" s="317">
        <v>0</v>
      </c>
      <c r="BH39" s="18">
        <v>0</v>
      </c>
      <c r="BI39" s="18">
        <v>0</v>
      </c>
      <c r="BJ39" s="317">
        <v>0</v>
      </c>
      <c r="BK39" s="18">
        <v>0</v>
      </c>
      <c r="BL39" s="18">
        <v>0</v>
      </c>
      <c r="BM39" s="317">
        <v>0</v>
      </c>
      <c r="BN39" s="18">
        <v>0</v>
      </c>
      <c r="BO39" s="18">
        <v>0</v>
      </c>
      <c r="BP39" s="317">
        <v>0</v>
      </c>
      <c r="BQ39" s="18">
        <v>0</v>
      </c>
      <c r="BR39" s="18">
        <v>0</v>
      </c>
      <c r="BS39" s="317">
        <v>0</v>
      </c>
      <c r="BT39" s="18">
        <v>0</v>
      </c>
      <c r="BU39" s="18">
        <v>0</v>
      </c>
      <c r="BV39" s="317">
        <v>0</v>
      </c>
      <c r="BW39" s="18">
        <v>0</v>
      </c>
      <c r="BX39" s="18">
        <v>0</v>
      </c>
      <c r="BY39" s="317">
        <v>0</v>
      </c>
      <c r="BZ39" s="18">
        <v>0</v>
      </c>
      <c r="CA39" s="18">
        <v>0</v>
      </c>
      <c r="CB39" s="317">
        <v>0</v>
      </c>
      <c r="CC39" s="18">
        <v>0</v>
      </c>
      <c r="CD39" s="18">
        <v>0</v>
      </c>
      <c r="CE39" s="317">
        <v>0</v>
      </c>
      <c r="CF39" s="18">
        <v>0</v>
      </c>
      <c r="CG39" s="18">
        <v>0</v>
      </c>
      <c r="CH39" s="317">
        <v>0</v>
      </c>
      <c r="CI39" s="18">
        <v>0</v>
      </c>
      <c r="CJ39" s="18">
        <v>0</v>
      </c>
      <c r="CK39" s="317">
        <v>0</v>
      </c>
      <c r="CL39" s="18">
        <v>0</v>
      </c>
      <c r="CM39" s="18">
        <v>0</v>
      </c>
      <c r="CN39" s="317">
        <v>0</v>
      </c>
      <c r="CO39" s="18">
        <v>0</v>
      </c>
      <c r="CP39" s="18">
        <v>0</v>
      </c>
      <c r="CQ39" s="317">
        <v>0</v>
      </c>
      <c r="CR39" s="18">
        <v>0</v>
      </c>
      <c r="CS39" s="18">
        <v>0</v>
      </c>
      <c r="CT39" s="317">
        <v>0</v>
      </c>
      <c r="CU39" s="18">
        <v>0</v>
      </c>
      <c r="CV39" s="18">
        <v>0</v>
      </c>
      <c r="CW39" s="317">
        <v>0</v>
      </c>
      <c r="CX39" s="18">
        <v>0</v>
      </c>
      <c r="CY39" s="18">
        <v>0</v>
      </c>
      <c r="CZ39" s="317">
        <v>0</v>
      </c>
      <c r="DA39" s="18">
        <v>0</v>
      </c>
      <c r="DB39" s="18">
        <v>0</v>
      </c>
      <c r="DC39" s="317">
        <v>0</v>
      </c>
      <c r="DD39" s="18">
        <v>0</v>
      </c>
      <c r="DE39" s="18">
        <v>0</v>
      </c>
      <c r="DF39" s="317">
        <v>0</v>
      </c>
      <c r="DG39" s="18">
        <v>0</v>
      </c>
      <c r="DH39" s="18">
        <v>0</v>
      </c>
      <c r="DI39" s="317">
        <v>0</v>
      </c>
      <c r="DJ39" s="18">
        <v>0</v>
      </c>
      <c r="DK39" s="18">
        <v>0</v>
      </c>
      <c r="DL39" s="317">
        <v>0</v>
      </c>
      <c r="DM39" s="18">
        <v>0</v>
      </c>
      <c r="DN39" s="18">
        <v>0</v>
      </c>
      <c r="DO39" s="317">
        <v>0</v>
      </c>
      <c r="DP39" s="18">
        <v>0</v>
      </c>
      <c r="DQ39" s="18">
        <v>0</v>
      </c>
      <c r="DR39" s="317">
        <v>0</v>
      </c>
      <c r="DS39" s="18">
        <v>0</v>
      </c>
      <c r="DT39" s="18">
        <v>0</v>
      </c>
      <c r="DU39" s="317">
        <v>0</v>
      </c>
      <c r="DV39" s="18">
        <v>0</v>
      </c>
      <c r="DW39" s="18">
        <v>0</v>
      </c>
      <c r="DX39" s="317">
        <v>0</v>
      </c>
      <c r="DY39" s="18">
        <v>0</v>
      </c>
      <c r="DZ39" s="18">
        <v>0</v>
      </c>
      <c r="EA39" s="317">
        <v>0</v>
      </c>
      <c r="EB39" s="18">
        <v>0</v>
      </c>
      <c r="EC39" s="18">
        <v>0</v>
      </c>
      <c r="ED39" s="317">
        <v>0</v>
      </c>
      <c r="EE39" s="18">
        <v>0</v>
      </c>
      <c r="EF39" s="18">
        <v>0</v>
      </c>
      <c r="EG39" s="317">
        <v>0</v>
      </c>
      <c r="EH39" s="18">
        <v>0</v>
      </c>
      <c r="EI39" s="18">
        <v>0</v>
      </c>
      <c r="EJ39" s="317">
        <v>0</v>
      </c>
      <c r="EK39" s="18">
        <v>0</v>
      </c>
      <c r="EL39" s="18">
        <v>0</v>
      </c>
      <c r="EM39" s="317">
        <v>0</v>
      </c>
      <c r="EN39" s="18">
        <v>0</v>
      </c>
      <c r="EO39" s="18">
        <v>0</v>
      </c>
      <c r="EP39" s="317">
        <v>0</v>
      </c>
      <c r="EQ39" s="18">
        <v>0</v>
      </c>
      <c r="ER39" s="18">
        <v>0</v>
      </c>
      <c r="ES39" s="317">
        <v>0</v>
      </c>
      <c r="ET39" s="18">
        <v>0</v>
      </c>
      <c r="EU39" s="18">
        <v>0</v>
      </c>
      <c r="EV39" s="317">
        <v>0</v>
      </c>
      <c r="EW39" s="18">
        <v>0</v>
      </c>
      <c r="EX39" s="18">
        <v>0</v>
      </c>
      <c r="EY39" s="317">
        <v>0</v>
      </c>
      <c r="EZ39" s="18">
        <v>0</v>
      </c>
      <c r="FA39" s="18">
        <v>0</v>
      </c>
      <c r="FB39" s="317">
        <v>0</v>
      </c>
      <c r="FC39" s="18">
        <v>0</v>
      </c>
      <c r="FD39" s="18">
        <v>0</v>
      </c>
      <c r="FE39" s="317">
        <v>0</v>
      </c>
      <c r="FF39" s="18">
        <v>0</v>
      </c>
      <c r="FG39" s="18">
        <v>0</v>
      </c>
      <c r="FH39" s="317">
        <v>0</v>
      </c>
      <c r="FI39" s="18">
        <v>0</v>
      </c>
      <c r="FJ39" s="18">
        <v>0</v>
      </c>
      <c r="FK39" s="317">
        <v>0</v>
      </c>
      <c r="FL39" s="18">
        <v>0</v>
      </c>
      <c r="FM39" s="18">
        <v>0</v>
      </c>
      <c r="FN39" s="317">
        <v>0</v>
      </c>
      <c r="FO39" s="640"/>
      <c r="FP39" s="531"/>
      <c r="FQ39" s="531"/>
      <c r="FR39" s="531"/>
      <c r="FS39" s="531"/>
      <c r="FT39" s="531"/>
      <c r="FU39" s="640"/>
      <c r="FV39" s="531"/>
      <c r="FW39" s="531"/>
      <c r="FX39" s="531"/>
      <c r="FY39" s="531"/>
      <c r="FZ39" s="531"/>
    </row>
    <row r="40" spans="1:182" ht="12.75">
      <c r="A40" s="40">
        <v>43871</v>
      </c>
      <c r="B40" s="15">
        <f t="shared" ref="B40:D40" si="35">SUM(I40,AM40)</f>
        <v>0</v>
      </c>
      <c r="C40" s="15">
        <f t="shared" si="35"/>
        <v>0</v>
      </c>
      <c r="D40" s="15">
        <f t="shared" si="35"/>
        <v>0</v>
      </c>
      <c r="E40" s="154">
        <f t="shared" si="1"/>
        <v>0</v>
      </c>
      <c r="F40" s="15">
        <v>0</v>
      </c>
      <c r="G40" s="15">
        <v>0</v>
      </c>
      <c r="H40" s="17">
        <v>0</v>
      </c>
      <c r="I40" s="15">
        <v>0</v>
      </c>
      <c r="J40" s="15">
        <v>0</v>
      </c>
      <c r="K40" s="17">
        <v>0</v>
      </c>
      <c r="L40" s="15">
        <v>0</v>
      </c>
      <c r="M40" s="15">
        <v>0</v>
      </c>
      <c r="N40" s="17">
        <v>0</v>
      </c>
      <c r="O40" s="15">
        <v>0</v>
      </c>
      <c r="P40" s="15">
        <v>0</v>
      </c>
      <c r="Q40" s="17">
        <v>0</v>
      </c>
      <c r="R40" s="15">
        <v>0</v>
      </c>
      <c r="S40" s="15">
        <v>0</v>
      </c>
      <c r="T40" s="17">
        <v>0</v>
      </c>
      <c r="U40" s="15">
        <v>0</v>
      </c>
      <c r="V40" s="15">
        <v>0</v>
      </c>
      <c r="W40" s="17">
        <v>0</v>
      </c>
      <c r="X40" s="15">
        <v>0</v>
      </c>
      <c r="Y40" s="15">
        <v>0</v>
      </c>
      <c r="Z40" s="17">
        <v>0</v>
      </c>
      <c r="AA40" s="15">
        <v>0</v>
      </c>
      <c r="AB40" s="15">
        <v>0</v>
      </c>
      <c r="AC40" s="17">
        <v>0</v>
      </c>
      <c r="AD40" s="15">
        <v>0</v>
      </c>
      <c r="AE40" s="15">
        <v>0</v>
      </c>
      <c r="AF40" s="17">
        <v>0</v>
      </c>
      <c r="AG40" s="15">
        <v>0</v>
      </c>
      <c r="AH40" s="15">
        <v>0</v>
      </c>
      <c r="AI40" s="17">
        <v>0</v>
      </c>
      <c r="AJ40" s="15">
        <v>0</v>
      </c>
      <c r="AK40" s="15">
        <v>0</v>
      </c>
      <c r="AL40" s="17">
        <v>0</v>
      </c>
      <c r="AM40" s="15">
        <v>0</v>
      </c>
      <c r="AN40" s="15">
        <v>0</v>
      </c>
      <c r="AO40" s="17">
        <v>0</v>
      </c>
      <c r="AP40" s="15">
        <v>0</v>
      </c>
      <c r="AQ40" s="15">
        <v>0</v>
      </c>
      <c r="AR40" s="17">
        <v>0</v>
      </c>
      <c r="AS40" s="15">
        <v>0</v>
      </c>
      <c r="AT40" s="15">
        <v>0</v>
      </c>
      <c r="AU40" s="17">
        <v>0</v>
      </c>
      <c r="AV40" s="15">
        <v>0</v>
      </c>
      <c r="AW40" s="15">
        <v>0</v>
      </c>
      <c r="AX40" s="17">
        <v>0</v>
      </c>
      <c r="AY40" s="15">
        <v>0</v>
      </c>
      <c r="AZ40" s="15">
        <v>0</v>
      </c>
      <c r="BA40" s="17">
        <v>0</v>
      </c>
      <c r="BB40" s="15">
        <v>0</v>
      </c>
      <c r="BC40" s="15">
        <v>0</v>
      </c>
      <c r="BD40" s="17">
        <v>0</v>
      </c>
      <c r="BE40" s="15">
        <v>0</v>
      </c>
      <c r="BF40" s="15">
        <v>0</v>
      </c>
      <c r="BG40" s="17">
        <v>0</v>
      </c>
      <c r="BH40" s="15">
        <v>0</v>
      </c>
      <c r="BI40" s="15">
        <v>0</v>
      </c>
      <c r="BJ40" s="17">
        <v>0</v>
      </c>
      <c r="BK40" s="15">
        <v>0</v>
      </c>
      <c r="BL40" s="15">
        <v>0</v>
      </c>
      <c r="BM40" s="17">
        <v>0</v>
      </c>
      <c r="BN40" s="15">
        <v>0</v>
      </c>
      <c r="BO40" s="15">
        <v>0</v>
      </c>
      <c r="BP40" s="17">
        <v>0</v>
      </c>
      <c r="BQ40" s="15">
        <v>0</v>
      </c>
      <c r="BR40" s="15">
        <v>0</v>
      </c>
      <c r="BS40" s="17">
        <v>0</v>
      </c>
      <c r="BT40" s="15">
        <v>0</v>
      </c>
      <c r="BU40" s="15">
        <v>0</v>
      </c>
      <c r="BV40" s="17">
        <v>0</v>
      </c>
      <c r="BW40" s="15">
        <v>0</v>
      </c>
      <c r="BX40" s="15">
        <v>0</v>
      </c>
      <c r="BY40" s="17">
        <v>0</v>
      </c>
      <c r="BZ40" s="15">
        <v>0</v>
      </c>
      <c r="CA40" s="15">
        <v>0</v>
      </c>
      <c r="CB40" s="17">
        <v>0</v>
      </c>
      <c r="CC40" s="15">
        <v>0</v>
      </c>
      <c r="CD40" s="15">
        <v>0</v>
      </c>
      <c r="CE40" s="17">
        <v>0</v>
      </c>
      <c r="CF40" s="15">
        <v>0</v>
      </c>
      <c r="CG40" s="15">
        <v>0</v>
      </c>
      <c r="CH40" s="17">
        <v>0</v>
      </c>
      <c r="CI40" s="15">
        <v>0</v>
      </c>
      <c r="CJ40" s="15">
        <v>0</v>
      </c>
      <c r="CK40" s="17">
        <v>0</v>
      </c>
      <c r="CL40" s="15">
        <v>0</v>
      </c>
      <c r="CM40" s="15">
        <v>0</v>
      </c>
      <c r="CN40" s="17">
        <v>0</v>
      </c>
      <c r="CO40" s="15">
        <v>0</v>
      </c>
      <c r="CP40" s="15">
        <v>0</v>
      </c>
      <c r="CQ40" s="17">
        <v>0</v>
      </c>
      <c r="CR40" s="15">
        <v>0</v>
      </c>
      <c r="CS40" s="15">
        <v>0</v>
      </c>
      <c r="CT40" s="17">
        <v>0</v>
      </c>
      <c r="CU40" s="15">
        <v>0</v>
      </c>
      <c r="CV40" s="15">
        <v>0</v>
      </c>
      <c r="CW40" s="17">
        <v>0</v>
      </c>
      <c r="CX40" s="15">
        <v>0</v>
      </c>
      <c r="CY40" s="15">
        <v>0</v>
      </c>
      <c r="CZ40" s="17">
        <v>0</v>
      </c>
      <c r="DA40" s="15">
        <v>0</v>
      </c>
      <c r="DB40" s="15">
        <v>0</v>
      </c>
      <c r="DC40" s="17">
        <v>0</v>
      </c>
      <c r="DD40" s="15">
        <v>0</v>
      </c>
      <c r="DE40" s="15">
        <v>0</v>
      </c>
      <c r="DF40" s="17">
        <v>0</v>
      </c>
      <c r="DG40" s="15">
        <v>0</v>
      </c>
      <c r="DH40" s="15">
        <v>0</v>
      </c>
      <c r="DI40" s="17">
        <v>0</v>
      </c>
      <c r="DJ40" s="15">
        <v>0</v>
      </c>
      <c r="DK40" s="15">
        <v>0</v>
      </c>
      <c r="DL40" s="17">
        <v>0</v>
      </c>
      <c r="DM40" s="15">
        <v>0</v>
      </c>
      <c r="DN40" s="15">
        <v>0</v>
      </c>
      <c r="DO40" s="17">
        <v>0</v>
      </c>
      <c r="DP40" s="15">
        <v>0</v>
      </c>
      <c r="DQ40" s="15">
        <v>0</v>
      </c>
      <c r="DR40" s="17">
        <v>0</v>
      </c>
      <c r="DS40" s="15">
        <v>0</v>
      </c>
      <c r="DT40" s="15">
        <v>0</v>
      </c>
      <c r="DU40" s="17">
        <v>0</v>
      </c>
      <c r="DV40" s="15">
        <v>0</v>
      </c>
      <c r="DW40" s="15">
        <v>0</v>
      </c>
      <c r="DX40" s="17">
        <v>0</v>
      </c>
      <c r="DY40" s="15">
        <v>0</v>
      </c>
      <c r="DZ40" s="15">
        <v>0</v>
      </c>
      <c r="EA40" s="17">
        <v>0</v>
      </c>
      <c r="EB40" s="15">
        <v>0</v>
      </c>
      <c r="EC40" s="15">
        <v>0</v>
      </c>
      <c r="ED40" s="17">
        <v>0</v>
      </c>
      <c r="EE40" s="15">
        <v>0</v>
      </c>
      <c r="EF40" s="15">
        <v>0</v>
      </c>
      <c r="EG40" s="17">
        <v>0</v>
      </c>
      <c r="EH40" s="15">
        <v>0</v>
      </c>
      <c r="EI40" s="15">
        <v>0</v>
      </c>
      <c r="EJ40" s="17">
        <v>0</v>
      </c>
      <c r="EK40" s="15">
        <v>0</v>
      </c>
      <c r="EL40" s="15">
        <v>0</v>
      </c>
      <c r="EM40" s="17">
        <v>0</v>
      </c>
      <c r="EN40" s="15">
        <v>0</v>
      </c>
      <c r="EO40" s="15">
        <v>0</v>
      </c>
      <c r="EP40" s="17">
        <v>0</v>
      </c>
      <c r="EQ40" s="15">
        <v>0</v>
      </c>
      <c r="ER40" s="15">
        <v>0</v>
      </c>
      <c r="ES40" s="17">
        <v>0</v>
      </c>
      <c r="ET40" s="15">
        <v>0</v>
      </c>
      <c r="EU40" s="15">
        <v>0</v>
      </c>
      <c r="EV40" s="17">
        <v>0</v>
      </c>
      <c r="EW40" s="15">
        <v>0</v>
      </c>
      <c r="EX40" s="15">
        <v>0</v>
      </c>
      <c r="EY40" s="17">
        <v>0</v>
      </c>
      <c r="EZ40" s="15">
        <v>0</v>
      </c>
      <c r="FA40" s="15">
        <v>0</v>
      </c>
      <c r="FB40" s="17">
        <v>0</v>
      </c>
      <c r="FC40" s="15">
        <v>0</v>
      </c>
      <c r="FD40" s="15">
        <v>0</v>
      </c>
      <c r="FE40" s="17">
        <v>0</v>
      </c>
      <c r="FF40" s="15">
        <v>0</v>
      </c>
      <c r="FG40" s="15">
        <v>0</v>
      </c>
      <c r="FH40" s="17">
        <v>0</v>
      </c>
      <c r="FI40" s="15">
        <v>0</v>
      </c>
      <c r="FJ40" s="15">
        <v>0</v>
      </c>
      <c r="FK40" s="17">
        <v>0</v>
      </c>
      <c r="FL40" s="15">
        <v>0</v>
      </c>
      <c r="FM40" s="15">
        <v>0</v>
      </c>
      <c r="FN40" s="17">
        <v>0</v>
      </c>
      <c r="FO40" s="640"/>
      <c r="FP40" s="531"/>
      <c r="FQ40" s="531"/>
      <c r="FR40" s="531"/>
      <c r="FS40" s="531"/>
      <c r="FT40" s="531"/>
      <c r="FU40" s="640"/>
      <c r="FV40" s="531"/>
      <c r="FW40" s="531"/>
      <c r="FX40" s="531"/>
      <c r="FY40" s="531"/>
      <c r="FZ40" s="531"/>
    </row>
    <row r="41" spans="1:182" ht="12.75">
      <c r="A41" s="40">
        <v>43872</v>
      </c>
      <c r="B41" s="15">
        <f t="shared" ref="B41:D41" si="36">SUM(I41,AM41)</f>
        <v>0</v>
      </c>
      <c r="C41" s="15">
        <f t="shared" si="36"/>
        <v>0</v>
      </c>
      <c r="D41" s="15">
        <f t="shared" si="36"/>
        <v>0</v>
      </c>
      <c r="E41" s="154">
        <f t="shared" si="1"/>
        <v>0</v>
      </c>
      <c r="F41" s="18">
        <v>0</v>
      </c>
      <c r="G41" s="18">
        <v>0</v>
      </c>
      <c r="H41" s="317">
        <v>0</v>
      </c>
      <c r="I41" s="18">
        <v>0</v>
      </c>
      <c r="J41" s="18">
        <v>0</v>
      </c>
      <c r="K41" s="317">
        <v>0</v>
      </c>
      <c r="L41" s="18">
        <v>0</v>
      </c>
      <c r="M41" s="18">
        <v>0</v>
      </c>
      <c r="N41" s="317">
        <v>0</v>
      </c>
      <c r="O41" s="18">
        <v>0</v>
      </c>
      <c r="P41" s="18">
        <v>0</v>
      </c>
      <c r="Q41" s="317">
        <v>0</v>
      </c>
      <c r="R41" s="18">
        <v>0</v>
      </c>
      <c r="S41" s="18">
        <v>0</v>
      </c>
      <c r="T41" s="317">
        <v>0</v>
      </c>
      <c r="U41" s="18">
        <v>0</v>
      </c>
      <c r="V41" s="18">
        <v>0</v>
      </c>
      <c r="W41" s="317">
        <v>0</v>
      </c>
      <c r="X41" s="18">
        <v>0</v>
      </c>
      <c r="Y41" s="18">
        <v>0</v>
      </c>
      <c r="Z41" s="317">
        <v>0</v>
      </c>
      <c r="AA41" s="18">
        <v>0</v>
      </c>
      <c r="AB41" s="18">
        <v>0</v>
      </c>
      <c r="AC41" s="317">
        <v>0</v>
      </c>
      <c r="AD41" s="18">
        <v>0</v>
      </c>
      <c r="AE41" s="18">
        <v>0</v>
      </c>
      <c r="AF41" s="317">
        <v>0</v>
      </c>
      <c r="AG41" s="18">
        <v>0</v>
      </c>
      <c r="AH41" s="18">
        <v>0</v>
      </c>
      <c r="AI41" s="317">
        <v>0</v>
      </c>
      <c r="AJ41" s="18">
        <v>0</v>
      </c>
      <c r="AK41" s="18">
        <v>0</v>
      </c>
      <c r="AL41" s="317">
        <v>0</v>
      </c>
      <c r="AM41" s="18">
        <v>0</v>
      </c>
      <c r="AN41" s="18">
        <v>0</v>
      </c>
      <c r="AO41" s="317">
        <v>0</v>
      </c>
      <c r="AP41" s="18">
        <v>0</v>
      </c>
      <c r="AQ41" s="18">
        <v>0</v>
      </c>
      <c r="AR41" s="317">
        <v>0</v>
      </c>
      <c r="AS41" s="18">
        <v>0</v>
      </c>
      <c r="AT41" s="18">
        <v>0</v>
      </c>
      <c r="AU41" s="317">
        <v>0</v>
      </c>
      <c r="AV41" s="18">
        <v>0</v>
      </c>
      <c r="AW41" s="18">
        <v>0</v>
      </c>
      <c r="AX41" s="317">
        <v>0</v>
      </c>
      <c r="AY41" s="18">
        <v>0</v>
      </c>
      <c r="AZ41" s="18">
        <v>0</v>
      </c>
      <c r="BA41" s="317">
        <v>0</v>
      </c>
      <c r="BB41" s="18">
        <v>0</v>
      </c>
      <c r="BC41" s="18">
        <v>0</v>
      </c>
      <c r="BD41" s="317">
        <v>0</v>
      </c>
      <c r="BE41" s="18">
        <v>0</v>
      </c>
      <c r="BF41" s="18">
        <v>0</v>
      </c>
      <c r="BG41" s="317">
        <v>0</v>
      </c>
      <c r="BH41" s="18">
        <v>0</v>
      </c>
      <c r="BI41" s="18">
        <v>0</v>
      </c>
      <c r="BJ41" s="317">
        <v>0</v>
      </c>
      <c r="BK41" s="18">
        <v>0</v>
      </c>
      <c r="BL41" s="18">
        <v>0</v>
      </c>
      <c r="BM41" s="317">
        <v>0</v>
      </c>
      <c r="BN41" s="18">
        <v>0</v>
      </c>
      <c r="BO41" s="18">
        <v>0</v>
      </c>
      <c r="BP41" s="317">
        <v>0</v>
      </c>
      <c r="BQ41" s="18">
        <v>0</v>
      </c>
      <c r="BR41" s="18">
        <v>0</v>
      </c>
      <c r="BS41" s="317">
        <v>0</v>
      </c>
      <c r="BT41" s="18">
        <v>0</v>
      </c>
      <c r="BU41" s="18">
        <v>0</v>
      </c>
      <c r="BV41" s="317">
        <v>0</v>
      </c>
      <c r="BW41" s="18">
        <v>0</v>
      </c>
      <c r="BX41" s="18">
        <v>0</v>
      </c>
      <c r="BY41" s="317">
        <v>0</v>
      </c>
      <c r="BZ41" s="18">
        <v>0</v>
      </c>
      <c r="CA41" s="18">
        <v>0</v>
      </c>
      <c r="CB41" s="317">
        <v>0</v>
      </c>
      <c r="CC41" s="18">
        <v>0</v>
      </c>
      <c r="CD41" s="18">
        <v>0</v>
      </c>
      <c r="CE41" s="317">
        <v>0</v>
      </c>
      <c r="CF41" s="18">
        <v>0</v>
      </c>
      <c r="CG41" s="18">
        <v>0</v>
      </c>
      <c r="CH41" s="317">
        <v>0</v>
      </c>
      <c r="CI41" s="18">
        <v>0</v>
      </c>
      <c r="CJ41" s="18">
        <v>0</v>
      </c>
      <c r="CK41" s="317">
        <v>0</v>
      </c>
      <c r="CL41" s="18">
        <v>0</v>
      </c>
      <c r="CM41" s="18">
        <v>0</v>
      </c>
      <c r="CN41" s="317">
        <v>0</v>
      </c>
      <c r="CO41" s="18">
        <v>0</v>
      </c>
      <c r="CP41" s="18">
        <v>0</v>
      </c>
      <c r="CQ41" s="317">
        <v>0</v>
      </c>
      <c r="CR41" s="18">
        <v>0</v>
      </c>
      <c r="CS41" s="18">
        <v>0</v>
      </c>
      <c r="CT41" s="317">
        <v>0</v>
      </c>
      <c r="CU41" s="18">
        <v>0</v>
      </c>
      <c r="CV41" s="18">
        <v>0</v>
      </c>
      <c r="CW41" s="317">
        <v>0</v>
      </c>
      <c r="CX41" s="18">
        <v>0</v>
      </c>
      <c r="CY41" s="18">
        <v>0</v>
      </c>
      <c r="CZ41" s="317">
        <v>0</v>
      </c>
      <c r="DA41" s="18">
        <v>0</v>
      </c>
      <c r="DB41" s="18">
        <v>0</v>
      </c>
      <c r="DC41" s="317">
        <v>0</v>
      </c>
      <c r="DD41" s="18">
        <v>0</v>
      </c>
      <c r="DE41" s="18">
        <v>0</v>
      </c>
      <c r="DF41" s="317">
        <v>0</v>
      </c>
      <c r="DG41" s="18">
        <v>0</v>
      </c>
      <c r="DH41" s="18">
        <v>0</v>
      </c>
      <c r="DI41" s="317">
        <v>0</v>
      </c>
      <c r="DJ41" s="18">
        <v>0</v>
      </c>
      <c r="DK41" s="18">
        <v>0</v>
      </c>
      <c r="DL41" s="317">
        <v>0</v>
      </c>
      <c r="DM41" s="18">
        <v>0</v>
      </c>
      <c r="DN41" s="18">
        <v>0</v>
      </c>
      <c r="DO41" s="317">
        <v>0</v>
      </c>
      <c r="DP41" s="18">
        <v>0</v>
      </c>
      <c r="DQ41" s="18">
        <v>0</v>
      </c>
      <c r="DR41" s="317">
        <v>0</v>
      </c>
      <c r="DS41" s="18">
        <v>0</v>
      </c>
      <c r="DT41" s="18">
        <v>0</v>
      </c>
      <c r="DU41" s="317">
        <v>0</v>
      </c>
      <c r="DV41" s="18">
        <v>0</v>
      </c>
      <c r="DW41" s="18">
        <v>0</v>
      </c>
      <c r="DX41" s="317">
        <v>0</v>
      </c>
      <c r="DY41" s="18">
        <v>0</v>
      </c>
      <c r="DZ41" s="18">
        <v>0</v>
      </c>
      <c r="EA41" s="317">
        <v>0</v>
      </c>
      <c r="EB41" s="18">
        <v>0</v>
      </c>
      <c r="EC41" s="18">
        <v>0</v>
      </c>
      <c r="ED41" s="317">
        <v>0</v>
      </c>
      <c r="EE41" s="18">
        <v>0</v>
      </c>
      <c r="EF41" s="18">
        <v>0</v>
      </c>
      <c r="EG41" s="317">
        <v>0</v>
      </c>
      <c r="EH41" s="18">
        <v>0</v>
      </c>
      <c r="EI41" s="18">
        <v>0</v>
      </c>
      <c r="EJ41" s="317">
        <v>0</v>
      </c>
      <c r="EK41" s="18">
        <v>0</v>
      </c>
      <c r="EL41" s="18">
        <v>0</v>
      </c>
      <c r="EM41" s="317">
        <v>0</v>
      </c>
      <c r="EN41" s="18">
        <v>0</v>
      </c>
      <c r="EO41" s="18">
        <v>0</v>
      </c>
      <c r="EP41" s="317">
        <v>0</v>
      </c>
      <c r="EQ41" s="18">
        <v>0</v>
      </c>
      <c r="ER41" s="18">
        <v>0</v>
      </c>
      <c r="ES41" s="317">
        <v>0</v>
      </c>
      <c r="ET41" s="18">
        <v>0</v>
      </c>
      <c r="EU41" s="18">
        <v>0</v>
      </c>
      <c r="EV41" s="317">
        <v>0</v>
      </c>
      <c r="EW41" s="18">
        <v>0</v>
      </c>
      <c r="EX41" s="18">
        <v>0</v>
      </c>
      <c r="EY41" s="317">
        <v>0</v>
      </c>
      <c r="EZ41" s="18">
        <v>0</v>
      </c>
      <c r="FA41" s="18">
        <v>0</v>
      </c>
      <c r="FB41" s="317">
        <v>0</v>
      </c>
      <c r="FC41" s="18">
        <v>0</v>
      </c>
      <c r="FD41" s="18">
        <v>0</v>
      </c>
      <c r="FE41" s="317">
        <v>0</v>
      </c>
      <c r="FF41" s="18">
        <v>0</v>
      </c>
      <c r="FG41" s="18">
        <v>0</v>
      </c>
      <c r="FH41" s="317">
        <v>0</v>
      </c>
      <c r="FI41" s="18">
        <v>0</v>
      </c>
      <c r="FJ41" s="18">
        <v>0</v>
      </c>
      <c r="FK41" s="317">
        <v>0</v>
      </c>
      <c r="FL41" s="18">
        <v>0</v>
      </c>
      <c r="FM41" s="18">
        <v>0</v>
      </c>
      <c r="FN41" s="317">
        <v>0</v>
      </c>
      <c r="FO41" s="640"/>
      <c r="FP41" s="531"/>
      <c r="FQ41" s="531"/>
      <c r="FR41" s="531"/>
      <c r="FS41" s="531"/>
      <c r="FT41" s="531"/>
      <c r="FU41" s="640"/>
      <c r="FV41" s="531"/>
      <c r="FW41" s="531"/>
      <c r="FX41" s="531"/>
      <c r="FY41" s="531"/>
      <c r="FZ41" s="531"/>
    </row>
    <row r="42" spans="1:182" ht="12.75">
      <c r="A42" s="40">
        <v>43873</v>
      </c>
      <c r="B42" s="15">
        <f t="shared" ref="B42:D42" si="37">SUM(I42,AM42)</f>
        <v>0</v>
      </c>
      <c r="C42" s="15">
        <f t="shared" si="37"/>
        <v>0</v>
      </c>
      <c r="D42" s="15">
        <f t="shared" si="37"/>
        <v>0</v>
      </c>
      <c r="E42" s="154">
        <f t="shared" si="1"/>
        <v>0</v>
      </c>
      <c r="F42" s="15">
        <v>0</v>
      </c>
      <c r="G42" s="15">
        <v>0</v>
      </c>
      <c r="H42" s="17">
        <v>0</v>
      </c>
      <c r="I42" s="15">
        <v>0</v>
      </c>
      <c r="J42" s="15">
        <v>0</v>
      </c>
      <c r="K42" s="17">
        <v>0</v>
      </c>
      <c r="L42" s="15">
        <v>0</v>
      </c>
      <c r="M42" s="15">
        <v>0</v>
      </c>
      <c r="N42" s="17">
        <v>0</v>
      </c>
      <c r="O42" s="15">
        <v>0</v>
      </c>
      <c r="P42" s="15">
        <v>0</v>
      </c>
      <c r="Q42" s="17">
        <v>0</v>
      </c>
      <c r="R42" s="15">
        <v>0</v>
      </c>
      <c r="S42" s="15">
        <v>0</v>
      </c>
      <c r="T42" s="17">
        <v>0</v>
      </c>
      <c r="U42" s="15">
        <v>0</v>
      </c>
      <c r="V42" s="15">
        <v>0</v>
      </c>
      <c r="W42" s="17">
        <v>0</v>
      </c>
      <c r="X42" s="15">
        <v>0</v>
      </c>
      <c r="Y42" s="15">
        <v>0</v>
      </c>
      <c r="Z42" s="17">
        <v>0</v>
      </c>
      <c r="AA42" s="15">
        <v>0</v>
      </c>
      <c r="AB42" s="15">
        <v>0</v>
      </c>
      <c r="AC42" s="17">
        <v>0</v>
      </c>
      <c r="AD42" s="15">
        <v>0</v>
      </c>
      <c r="AE42" s="15">
        <v>0</v>
      </c>
      <c r="AF42" s="17">
        <v>0</v>
      </c>
      <c r="AG42" s="15">
        <v>0</v>
      </c>
      <c r="AH42" s="15">
        <v>0</v>
      </c>
      <c r="AI42" s="17">
        <v>0</v>
      </c>
      <c r="AJ42" s="15">
        <v>0</v>
      </c>
      <c r="AK42" s="15">
        <v>0</v>
      </c>
      <c r="AL42" s="17">
        <v>0</v>
      </c>
      <c r="AM42" s="15">
        <v>0</v>
      </c>
      <c r="AN42" s="15">
        <v>0</v>
      </c>
      <c r="AO42" s="17">
        <v>0</v>
      </c>
      <c r="AP42" s="15">
        <v>0</v>
      </c>
      <c r="AQ42" s="15">
        <v>0</v>
      </c>
      <c r="AR42" s="17">
        <v>0</v>
      </c>
      <c r="AS42" s="15">
        <v>0</v>
      </c>
      <c r="AT42" s="15">
        <v>0</v>
      </c>
      <c r="AU42" s="17">
        <v>0</v>
      </c>
      <c r="AV42" s="15">
        <v>0</v>
      </c>
      <c r="AW42" s="15">
        <v>0</v>
      </c>
      <c r="AX42" s="17">
        <v>0</v>
      </c>
      <c r="AY42" s="15">
        <v>0</v>
      </c>
      <c r="AZ42" s="15">
        <v>0</v>
      </c>
      <c r="BA42" s="17">
        <v>0</v>
      </c>
      <c r="BB42" s="15">
        <v>0</v>
      </c>
      <c r="BC42" s="15">
        <v>0</v>
      </c>
      <c r="BD42" s="17">
        <v>0</v>
      </c>
      <c r="BE42" s="15">
        <v>0</v>
      </c>
      <c r="BF42" s="15">
        <v>0</v>
      </c>
      <c r="BG42" s="17">
        <v>0</v>
      </c>
      <c r="BH42" s="15">
        <v>0</v>
      </c>
      <c r="BI42" s="15">
        <v>0</v>
      </c>
      <c r="BJ42" s="17">
        <v>0</v>
      </c>
      <c r="BK42" s="15">
        <v>0</v>
      </c>
      <c r="BL42" s="15">
        <v>0</v>
      </c>
      <c r="BM42" s="17">
        <v>0</v>
      </c>
      <c r="BN42" s="15">
        <v>0</v>
      </c>
      <c r="BO42" s="15">
        <v>0</v>
      </c>
      <c r="BP42" s="17">
        <v>0</v>
      </c>
      <c r="BQ42" s="15">
        <v>0</v>
      </c>
      <c r="BR42" s="15">
        <v>0</v>
      </c>
      <c r="BS42" s="17">
        <v>0</v>
      </c>
      <c r="BT42" s="15">
        <v>0</v>
      </c>
      <c r="BU42" s="15">
        <v>0</v>
      </c>
      <c r="BV42" s="17">
        <v>0</v>
      </c>
      <c r="BW42" s="15">
        <v>0</v>
      </c>
      <c r="BX42" s="15">
        <v>0</v>
      </c>
      <c r="BY42" s="17">
        <v>0</v>
      </c>
      <c r="BZ42" s="15">
        <v>0</v>
      </c>
      <c r="CA42" s="15">
        <v>0</v>
      </c>
      <c r="CB42" s="17">
        <v>0</v>
      </c>
      <c r="CC42" s="15">
        <v>0</v>
      </c>
      <c r="CD42" s="15">
        <v>0</v>
      </c>
      <c r="CE42" s="17">
        <v>0</v>
      </c>
      <c r="CF42" s="15">
        <v>0</v>
      </c>
      <c r="CG42" s="15">
        <v>0</v>
      </c>
      <c r="CH42" s="17">
        <v>0</v>
      </c>
      <c r="CI42" s="15">
        <v>0</v>
      </c>
      <c r="CJ42" s="15">
        <v>0</v>
      </c>
      <c r="CK42" s="17">
        <v>0</v>
      </c>
      <c r="CL42" s="15">
        <v>0</v>
      </c>
      <c r="CM42" s="15">
        <v>0</v>
      </c>
      <c r="CN42" s="17">
        <v>0</v>
      </c>
      <c r="CO42" s="15">
        <v>0</v>
      </c>
      <c r="CP42" s="15">
        <v>0</v>
      </c>
      <c r="CQ42" s="17">
        <v>0</v>
      </c>
      <c r="CR42" s="15">
        <v>0</v>
      </c>
      <c r="CS42" s="15">
        <v>0</v>
      </c>
      <c r="CT42" s="17">
        <v>0</v>
      </c>
      <c r="CU42" s="15">
        <v>0</v>
      </c>
      <c r="CV42" s="15">
        <v>0</v>
      </c>
      <c r="CW42" s="17">
        <v>0</v>
      </c>
      <c r="CX42" s="15">
        <v>0</v>
      </c>
      <c r="CY42" s="15">
        <v>0</v>
      </c>
      <c r="CZ42" s="17">
        <v>0</v>
      </c>
      <c r="DA42" s="15">
        <v>0</v>
      </c>
      <c r="DB42" s="15">
        <v>0</v>
      </c>
      <c r="DC42" s="17">
        <v>0</v>
      </c>
      <c r="DD42" s="15">
        <v>0</v>
      </c>
      <c r="DE42" s="15">
        <v>0</v>
      </c>
      <c r="DF42" s="17">
        <v>0</v>
      </c>
      <c r="DG42" s="15">
        <v>0</v>
      </c>
      <c r="DH42" s="15">
        <v>0</v>
      </c>
      <c r="DI42" s="17">
        <v>0</v>
      </c>
      <c r="DJ42" s="15">
        <v>0</v>
      </c>
      <c r="DK42" s="15">
        <v>0</v>
      </c>
      <c r="DL42" s="17">
        <v>0</v>
      </c>
      <c r="DM42" s="15">
        <v>0</v>
      </c>
      <c r="DN42" s="15">
        <v>0</v>
      </c>
      <c r="DO42" s="17">
        <v>0</v>
      </c>
      <c r="DP42" s="15">
        <v>0</v>
      </c>
      <c r="DQ42" s="15">
        <v>0</v>
      </c>
      <c r="DR42" s="17">
        <v>0</v>
      </c>
      <c r="DS42" s="15">
        <v>0</v>
      </c>
      <c r="DT42" s="15">
        <v>0</v>
      </c>
      <c r="DU42" s="17">
        <v>0</v>
      </c>
      <c r="DV42" s="15">
        <v>0</v>
      </c>
      <c r="DW42" s="15">
        <v>0</v>
      </c>
      <c r="DX42" s="17">
        <v>0</v>
      </c>
      <c r="DY42" s="15">
        <v>0</v>
      </c>
      <c r="DZ42" s="15">
        <v>0</v>
      </c>
      <c r="EA42" s="17">
        <v>0</v>
      </c>
      <c r="EB42" s="15">
        <v>0</v>
      </c>
      <c r="EC42" s="15">
        <v>0</v>
      </c>
      <c r="ED42" s="17">
        <v>0</v>
      </c>
      <c r="EE42" s="15">
        <v>0</v>
      </c>
      <c r="EF42" s="15">
        <v>0</v>
      </c>
      <c r="EG42" s="17">
        <v>0</v>
      </c>
      <c r="EH42" s="15">
        <v>0</v>
      </c>
      <c r="EI42" s="15">
        <v>0</v>
      </c>
      <c r="EJ42" s="17">
        <v>0</v>
      </c>
      <c r="EK42" s="15">
        <v>0</v>
      </c>
      <c r="EL42" s="15">
        <v>0</v>
      </c>
      <c r="EM42" s="17">
        <v>0</v>
      </c>
      <c r="EN42" s="15">
        <v>0</v>
      </c>
      <c r="EO42" s="15">
        <v>0</v>
      </c>
      <c r="EP42" s="17">
        <v>0</v>
      </c>
      <c r="EQ42" s="15">
        <v>0</v>
      </c>
      <c r="ER42" s="15">
        <v>0</v>
      </c>
      <c r="ES42" s="17">
        <v>0</v>
      </c>
      <c r="ET42" s="15">
        <v>0</v>
      </c>
      <c r="EU42" s="15">
        <v>0</v>
      </c>
      <c r="EV42" s="17">
        <v>0</v>
      </c>
      <c r="EW42" s="15">
        <v>0</v>
      </c>
      <c r="EX42" s="15">
        <v>0</v>
      </c>
      <c r="EY42" s="17">
        <v>0</v>
      </c>
      <c r="EZ42" s="15">
        <v>0</v>
      </c>
      <c r="FA42" s="15">
        <v>0</v>
      </c>
      <c r="FB42" s="17">
        <v>0</v>
      </c>
      <c r="FC42" s="15">
        <v>0</v>
      </c>
      <c r="FD42" s="15">
        <v>0</v>
      </c>
      <c r="FE42" s="17">
        <v>0</v>
      </c>
      <c r="FF42" s="15">
        <v>0</v>
      </c>
      <c r="FG42" s="15">
        <v>0</v>
      </c>
      <c r="FH42" s="17">
        <v>0</v>
      </c>
      <c r="FI42" s="15">
        <v>0</v>
      </c>
      <c r="FJ42" s="15">
        <v>0</v>
      </c>
      <c r="FK42" s="17">
        <v>0</v>
      </c>
      <c r="FL42" s="15">
        <v>0</v>
      </c>
      <c r="FM42" s="15">
        <v>0</v>
      </c>
      <c r="FN42" s="17">
        <v>0</v>
      </c>
      <c r="FO42" s="640"/>
      <c r="FP42" s="531"/>
      <c r="FQ42" s="531"/>
      <c r="FR42" s="531"/>
      <c r="FS42" s="531"/>
      <c r="FT42" s="531"/>
      <c r="FU42" s="640"/>
      <c r="FV42" s="531"/>
      <c r="FW42" s="531"/>
      <c r="FX42" s="531"/>
      <c r="FY42" s="531"/>
      <c r="FZ42" s="531"/>
    </row>
    <row r="43" spans="1:182" ht="12.75">
      <c r="A43" s="40">
        <v>43874</v>
      </c>
      <c r="B43" s="15">
        <f t="shared" ref="B43:D43" si="38">SUM(I43,AM43)</f>
        <v>0</v>
      </c>
      <c r="C43" s="15">
        <f t="shared" si="38"/>
        <v>0</v>
      </c>
      <c r="D43" s="15">
        <f t="shared" si="38"/>
        <v>0</v>
      </c>
      <c r="E43" s="154">
        <f t="shared" si="1"/>
        <v>0</v>
      </c>
      <c r="F43" s="18">
        <v>0</v>
      </c>
      <c r="G43" s="18">
        <v>0</v>
      </c>
      <c r="H43" s="317">
        <v>0</v>
      </c>
      <c r="I43" s="18">
        <v>0</v>
      </c>
      <c r="J43" s="18">
        <v>0</v>
      </c>
      <c r="K43" s="317">
        <v>0</v>
      </c>
      <c r="L43" s="18">
        <v>0</v>
      </c>
      <c r="M43" s="18">
        <v>0</v>
      </c>
      <c r="N43" s="317">
        <v>0</v>
      </c>
      <c r="O43" s="18">
        <v>0</v>
      </c>
      <c r="P43" s="18">
        <v>0</v>
      </c>
      <c r="Q43" s="317">
        <v>0</v>
      </c>
      <c r="R43" s="18">
        <v>0</v>
      </c>
      <c r="S43" s="18">
        <v>0</v>
      </c>
      <c r="T43" s="317">
        <v>0</v>
      </c>
      <c r="U43" s="18">
        <v>0</v>
      </c>
      <c r="V43" s="18">
        <v>0</v>
      </c>
      <c r="W43" s="317">
        <v>0</v>
      </c>
      <c r="X43" s="18">
        <v>0</v>
      </c>
      <c r="Y43" s="18">
        <v>0</v>
      </c>
      <c r="Z43" s="317">
        <v>0</v>
      </c>
      <c r="AA43" s="18">
        <v>0</v>
      </c>
      <c r="AB43" s="18">
        <v>0</v>
      </c>
      <c r="AC43" s="317">
        <v>0</v>
      </c>
      <c r="AD43" s="18">
        <v>0</v>
      </c>
      <c r="AE43" s="18">
        <v>0</v>
      </c>
      <c r="AF43" s="317">
        <v>0</v>
      </c>
      <c r="AG43" s="18">
        <v>0</v>
      </c>
      <c r="AH43" s="18">
        <v>0</v>
      </c>
      <c r="AI43" s="317">
        <v>0</v>
      </c>
      <c r="AJ43" s="18">
        <v>0</v>
      </c>
      <c r="AK43" s="18">
        <v>0</v>
      </c>
      <c r="AL43" s="317">
        <v>0</v>
      </c>
      <c r="AM43" s="18">
        <v>0</v>
      </c>
      <c r="AN43" s="18">
        <v>0</v>
      </c>
      <c r="AO43" s="317">
        <v>0</v>
      </c>
      <c r="AP43" s="18">
        <v>0</v>
      </c>
      <c r="AQ43" s="18">
        <v>0</v>
      </c>
      <c r="AR43" s="317">
        <v>0</v>
      </c>
      <c r="AS43" s="18">
        <v>0</v>
      </c>
      <c r="AT43" s="18">
        <v>0</v>
      </c>
      <c r="AU43" s="317">
        <v>0</v>
      </c>
      <c r="AV43" s="18">
        <v>0</v>
      </c>
      <c r="AW43" s="18">
        <v>0</v>
      </c>
      <c r="AX43" s="317">
        <v>0</v>
      </c>
      <c r="AY43" s="18">
        <v>0</v>
      </c>
      <c r="AZ43" s="18">
        <v>0</v>
      </c>
      <c r="BA43" s="317">
        <v>0</v>
      </c>
      <c r="BB43" s="18">
        <v>0</v>
      </c>
      <c r="BC43" s="18">
        <v>0</v>
      </c>
      <c r="BD43" s="317">
        <v>0</v>
      </c>
      <c r="BE43" s="18">
        <v>0</v>
      </c>
      <c r="BF43" s="18">
        <v>0</v>
      </c>
      <c r="BG43" s="317">
        <v>0</v>
      </c>
      <c r="BH43" s="18">
        <v>0</v>
      </c>
      <c r="BI43" s="18">
        <v>0</v>
      </c>
      <c r="BJ43" s="317">
        <v>0</v>
      </c>
      <c r="BK43" s="18">
        <v>0</v>
      </c>
      <c r="BL43" s="18">
        <v>0</v>
      </c>
      <c r="BM43" s="317">
        <v>0</v>
      </c>
      <c r="BN43" s="18">
        <v>0</v>
      </c>
      <c r="BO43" s="18">
        <v>0</v>
      </c>
      <c r="BP43" s="317">
        <v>0</v>
      </c>
      <c r="BQ43" s="18">
        <v>0</v>
      </c>
      <c r="BR43" s="18">
        <v>0</v>
      </c>
      <c r="BS43" s="317">
        <v>0</v>
      </c>
      <c r="BT43" s="18">
        <v>0</v>
      </c>
      <c r="BU43" s="18">
        <v>0</v>
      </c>
      <c r="BV43" s="317">
        <v>0</v>
      </c>
      <c r="BW43" s="18">
        <v>0</v>
      </c>
      <c r="BX43" s="18">
        <v>0</v>
      </c>
      <c r="BY43" s="317">
        <v>0</v>
      </c>
      <c r="BZ43" s="18">
        <v>0</v>
      </c>
      <c r="CA43" s="18">
        <v>0</v>
      </c>
      <c r="CB43" s="317">
        <v>0</v>
      </c>
      <c r="CC43" s="18">
        <v>0</v>
      </c>
      <c r="CD43" s="18">
        <v>0</v>
      </c>
      <c r="CE43" s="317">
        <v>0</v>
      </c>
      <c r="CF43" s="18">
        <v>0</v>
      </c>
      <c r="CG43" s="18">
        <v>0</v>
      </c>
      <c r="CH43" s="317">
        <v>0</v>
      </c>
      <c r="CI43" s="18">
        <v>0</v>
      </c>
      <c r="CJ43" s="18">
        <v>0</v>
      </c>
      <c r="CK43" s="317">
        <v>0</v>
      </c>
      <c r="CL43" s="18">
        <v>0</v>
      </c>
      <c r="CM43" s="18">
        <v>0</v>
      </c>
      <c r="CN43" s="317">
        <v>0</v>
      </c>
      <c r="CO43" s="18">
        <v>0</v>
      </c>
      <c r="CP43" s="18">
        <v>0</v>
      </c>
      <c r="CQ43" s="317">
        <v>0</v>
      </c>
      <c r="CR43" s="18">
        <v>0</v>
      </c>
      <c r="CS43" s="18">
        <v>0</v>
      </c>
      <c r="CT43" s="317">
        <v>0</v>
      </c>
      <c r="CU43" s="18">
        <v>0</v>
      </c>
      <c r="CV43" s="18">
        <v>0</v>
      </c>
      <c r="CW43" s="317">
        <v>0</v>
      </c>
      <c r="CX43" s="18">
        <v>0</v>
      </c>
      <c r="CY43" s="18">
        <v>0</v>
      </c>
      <c r="CZ43" s="317">
        <v>0</v>
      </c>
      <c r="DA43" s="18">
        <v>0</v>
      </c>
      <c r="DB43" s="18">
        <v>0</v>
      </c>
      <c r="DC43" s="317">
        <v>0</v>
      </c>
      <c r="DD43" s="18">
        <v>0</v>
      </c>
      <c r="DE43" s="18">
        <v>0</v>
      </c>
      <c r="DF43" s="317">
        <v>0</v>
      </c>
      <c r="DG43" s="18">
        <v>0</v>
      </c>
      <c r="DH43" s="18">
        <v>0</v>
      </c>
      <c r="DI43" s="317">
        <v>0</v>
      </c>
      <c r="DJ43" s="18">
        <v>0</v>
      </c>
      <c r="DK43" s="18">
        <v>0</v>
      </c>
      <c r="DL43" s="317">
        <v>0</v>
      </c>
      <c r="DM43" s="18">
        <v>0</v>
      </c>
      <c r="DN43" s="18">
        <v>0</v>
      </c>
      <c r="DO43" s="317">
        <v>0</v>
      </c>
      <c r="DP43" s="18">
        <v>0</v>
      </c>
      <c r="DQ43" s="18">
        <v>0</v>
      </c>
      <c r="DR43" s="317">
        <v>0</v>
      </c>
      <c r="DS43" s="18">
        <v>0</v>
      </c>
      <c r="DT43" s="18">
        <v>0</v>
      </c>
      <c r="DU43" s="317">
        <v>0</v>
      </c>
      <c r="DV43" s="18">
        <v>0</v>
      </c>
      <c r="DW43" s="18">
        <v>0</v>
      </c>
      <c r="DX43" s="317">
        <v>0</v>
      </c>
      <c r="DY43" s="18">
        <v>0</v>
      </c>
      <c r="DZ43" s="18">
        <v>0</v>
      </c>
      <c r="EA43" s="317">
        <v>0</v>
      </c>
      <c r="EB43" s="18">
        <v>0</v>
      </c>
      <c r="EC43" s="18">
        <v>0</v>
      </c>
      <c r="ED43" s="317">
        <v>0</v>
      </c>
      <c r="EE43" s="18">
        <v>0</v>
      </c>
      <c r="EF43" s="18">
        <v>0</v>
      </c>
      <c r="EG43" s="317">
        <v>0</v>
      </c>
      <c r="EH43" s="18">
        <v>0</v>
      </c>
      <c r="EI43" s="18">
        <v>0</v>
      </c>
      <c r="EJ43" s="317">
        <v>0</v>
      </c>
      <c r="EK43" s="18">
        <v>0</v>
      </c>
      <c r="EL43" s="18">
        <v>0</v>
      </c>
      <c r="EM43" s="317">
        <v>0</v>
      </c>
      <c r="EN43" s="18">
        <v>0</v>
      </c>
      <c r="EO43" s="18">
        <v>0</v>
      </c>
      <c r="EP43" s="317">
        <v>0</v>
      </c>
      <c r="EQ43" s="18">
        <v>0</v>
      </c>
      <c r="ER43" s="18">
        <v>0</v>
      </c>
      <c r="ES43" s="317">
        <v>0</v>
      </c>
      <c r="ET43" s="18">
        <v>0</v>
      </c>
      <c r="EU43" s="18">
        <v>0</v>
      </c>
      <c r="EV43" s="317">
        <v>0</v>
      </c>
      <c r="EW43" s="18">
        <v>0</v>
      </c>
      <c r="EX43" s="18">
        <v>0</v>
      </c>
      <c r="EY43" s="317">
        <v>0</v>
      </c>
      <c r="EZ43" s="18">
        <v>0</v>
      </c>
      <c r="FA43" s="18">
        <v>0</v>
      </c>
      <c r="FB43" s="317">
        <v>0</v>
      </c>
      <c r="FC43" s="18">
        <v>0</v>
      </c>
      <c r="FD43" s="18">
        <v>0</v>
      </c>
      <c r="FE43" s="317">
        <v>0</v>
      </c>
      <c r="FF43" s="18">
        <v>0</v>
      </c>
      <c r="FG43" s="18">
        <v>0</v>
      </c>
      <c r="FH43" s="317">
        <v>0</v>
      </c>
      <c r="FI43" s="18">
        <v>0</v>
      </c>
      <c r="FJ43" s="18">
        <v>0</v>
      </c>
      <c r="FK43" s="317">
        <v>0</v>
      </c>
      <c r="FL43" s="18">
        <v>0</v>
      </c>
      <c r="FM43" s="18">
        <v>0</v>
      </c>
      <c r="FN43" s="317">
        <v>0</v>
      </c>
      <c r="FO43" s="640"/>
      <c r="FP43" s="531"/>
      <c r="FQ43" s="531"/>
      <c r="FR43" s="531"/>
      <c r="FS43" s="531"/>
      <c r="FT43" s="531"/>
      <c r="FU43" s="640"/>
      <c r="FV43" s="531"/>
      <c r="FW43" s="531"/>
      <c r="FX43" s="531"/>
      <c r="FY43" s="531"/>
      <c r="FZ43" s="531"/>
    </row>
    <row r="44" spans="1:182" ht="12.75">
      <c r="A44" s="40">
        <v>43875</v>
      </c>
      <c r="B44" s="14">
        <f t="shared" ref="B44:D44" si="39">SUM(I44,AM44)</f>
        <v>1</v>
      </c>
      <c r="C44" s="15">
        <f t="shared" si="39"/>
        <v>0</v>
      </c>
      <c r="D44" s="15">
        <f t="shared" si="39"/>
        <v>0</v>
      </c>
      <c r="E44" s="350">
        <f t="shared" si="1"/>
        <v>1</v>
      </c>
      <c r="F44" s="15">
        <v>0</v>
      </c>
      <c r="G44" s="15">
        <v>0</v>
      </c>
      <c r="H44" s="17">
        <v>0</v>
      </c>
      <c r="I44" s="15">
        <v>0</v>
      </c>
      <c r="J44" s="15">
        <v>0</v>
      </c>
      <c r="K44" s="17">
        <v>0</v>
      </c>
      <c r="L44" s="15">
        <v>0</v>
      </c>
      <c r="M44" s="15">
        <v>0</v>
      </c>
      <c r="N44" s="17">
        <v>0</v>
      </c>
      <c r="O44" s="15">
        <v>0</v>
      </c>
      <c r="P44" s="15">
        <v>0</v>
      </c>
      <c r="Q44" s="17">
        <v>0</v>
      </c>
      <c r="R44" s="15">
        <v>0</v>
      </c>
      <c r="S44" s="15">
        <v>0</v>
      </c>
      <c r="T44" s="17">
        <v>0</v>
      </c>
      <c r="U44" s="15">
        <v>0</v>
      </c>
      <c r="V44" s="15">
        <v>0</v>
      </c>
      <c r="W44" s="17">
        <v>0</v>
      </c>
      <c r="X44" s="15">
        <v>0</v>
      </c>
      <c r="Y44" s="15">
        <v>0</v>
      </c>
      <c r="Z44" s="17">
        <v>0</v>
      </c>
      <c r="AA44" s="15">
        <v>0</v>
      </c>
      <c r="AB44" s="15">
        <v>0</v>
      </c>
      <c r="AC44" s="17">
        <v>0</v>
      </c>
      <c r="AD44" s="15">
        <v>0</v>
      </c>
      <c r="AE44" s="15">
        <v>0</v>
      </c>
      <c r="AF44" s="17">
        <v>0</v>
      </c>
      <c r="AG44" s="15">
        <v>0</v>
      </c>
      <c r="AH44" s="15">
        <v>0</v>
      </c>
      <c r="AI44" s="17">
        <v>0</v>
      </c>
      <c r="AJ44" s="15">
        <v>0</v>
      </c>
      <c r="AK44" s="15">
        <v>0</v>
      </c>
      <c r="AL44" s="17">
        <v>0</v>
      </c>
      <c r="AM44" s="105">
        <v>1</v>
      </c>
      <c r="AN44" s="15">
        <v>0</v>
      </c>
      <c r="AO44" s="17">
        <v>0</v>
      </c>
      <c r="AP44" s="15">
        <v>0</v>
      </c>
      <c r="AQ44" s="15">
        <v>0</v>
      </c>
      <c r="AR44" s="17">
        <v>0</v>
      </c>
      <c r="AS44" s="15">
        <v>0</v>
      </c>
      <c r="AT44" s="15">
        <v>0</v>
      </c>
      <c r="AU44" s="17">
        <v>0</v>
      </c>
      <c r="AV44" s="15">
        <v>0</v>
      </c>
      <c r="AW44" s="15">
        <v>0</v>
      </c>
      <c r="AX44" s="17">
        <v>0</v>
      </c>
      <c r="AY44" s="15">
        <v>0</v>
      </c>
      <c r="AZ44" s="15">
        <v>0</v>
      </c>
      <c r="BA44" s="17">
        <v>0</v>
      </c>
      <c r="BB44" s="15">
        <v>0</v>
      </c>
      <c r="BC44" s="15">
        <v>0</v>
      </c>
      <c r="BD44" s="17">
        <v>0</v>
      </c>
      <c r="BE44" s="15">
        <v>0</v>
      </c>
      <c r="BF44" s="15">
        <v>0</v>
      </c>
      <c r="BG44" s="17">
        <v>0</v>
      </c>
      <c r="BH44" s="15">
        <v>0</v>
      </c>
      <c r="BI44" s="15">
        <v>0</v>
      </c>
      <c r="BJ44" s="17">
        <v>0</v>
      </c>
      <c r="BK44" s="15">
        <v>0</v>
      </c>
      <c r="BL44" s="15">
        <v>0</v>
      </c>
      <c r="BM44" s="17">
        <v>0</v>
      </c>
      <c r="BN44" s="15">
        <v>0</v>
      </c>
      <c r="BO44" s="15">
        <v>0</v>
      </c>
      <c r="BP44" s="17">
        <v>0</v>
      </c>
      <c r="BQ44" s="15">
        <v>0</v>
      </c>
      <c r="BR44" s="15">
        <v>0</v>
      </c>
      <c r="BS44" s="17">
        <v>0</v>
      </c>
      <c r="BT44" s="15">
        <v>0</v>
      </c>
      <c r="BU44" s="15">
        <v>0</v>
      </c>
      <c r="BV44" s="17">
        <v>0</v>
      </c>
      <c r="BW44" s="15">
        <v>0</v>
      </c>
      <c r="BX44" s="15">
        <v>0</v>
      </c>
      <c r="BY44" s="17">
        <v>0</v>
      </c>
      <c r="BZ44" s="15">
        <v>0</v>
      </c>
      <c r="CA44" s="15">
        <v>0</v>
      </c>
      <c r="CB44" s="17">
        <v>0</v>
      </c>
      <c r="CC44" s="15">
        <v>0</v>
      </c>
      <c r="CD44" s="15">
        <v>0</v>
      </c>
      <c r="CE44" s="17">
        <v>0</v>
      </c>
      <c r="CF44" s="15">
        <v>0</v>
      </c>
      <c r="CG44" s="15">
        <v>0</v>
      </c>
      <c r="CH44" s="17">
        <v>0</v>
      </c>
      <c r="CI44" s="15">
        <v>0</v>
      </c>
      <c r="CJ44" s="15">
        <v>0</v>
      </c>
      <c r="CK44" s="17">
        <v>0</v>
      </c>
      <c r="CL44" s="15">
        <v>0</v>
      </c>
      <c r="CM44" s="15">
        <v>0</v>
      </c>
      <c r="CN44" s="17">
        <v>0</v>
      </c>
      <c r="CO44" s="15">
        <v>0</v>
      </c>
      <c r="CP44" s="15">
        <v>0</v>
      </c>
      <c r="CQ44" s="17">
        <v>0</v>
      </c>
      <c r="CR44" s="15">
        <v>0</v>
      </c>
      <c r="CS44" s="15">
        <v>0</v>
      </c>
      <c r="CT44" s="17">
        <v>0</v>
      </c>
      <c r="CU44" s="15">
        <v>0</v>
      </c>
      <c r="CV44" s="15">
        <v>0</v>
      </c>
      <c r="CW44" s="17">
        <v>0</v>
      </c>
      <c r="CX44" s="15">
        <v>0</v>
      </c>
      <c r="CY44" s="15">
        <v>0</v>
      </c>
      <c r="CZ44" s="17">
        <v>0</v>
      </c>
      <c r="DA44" s="15">
        <v>0</v>
      </c>
      <c r="DB44" s="15">
        <v>0</v>
      </c>
      <c r="DC44" s="17">
        <v>0</v>
      </c>
      <c r="DD44" s="15">
        <v>0</v>
      </c>
      <c r="DE44" s="15">
        <v>0</v>
      </c>
      <c r="DF44" s="17">
        <v>0</v>
      </c>
      <c r="DG44" s="15">
        <v>0</v>
      </c>
      <c r="DH44" s="15">
        <v>0</v>
      </c>
      <c r="DI44" s="17">
        <v>0</v>
      </c>
      <c r="DJ44" s="15">
        <v>0</v>
      </c>
      <c r="DK44" s="15">
        <v>0</v>
      </c>
      <c r="DL44" s="17">
        <v>0</v>
      </c>
      <c r="DM44" s="15">
        <v>0</v>
      </c>
      <c r="DN44" s="15">
        <v>0</v>
      </c>
      <c r="DO44" s="17">
        <v>0</v>
      </c>
      <c r="DP44" s="15">
        <v>0</v>
      </c>
      <c r="DQ44" s="15">
        <v>0</v>
      </c>
      <c r="DR44" s="17">
        <v>0</v>
      </c>
      <c r="DS44" s="15">
        <v>0</v>
      </c>
      <c r="DT44" s="15">
        <v>0</v>
      </c>
      <c r="DU44" s="17">
        <v>0</v>
      </c>
      <c r="DV44" s="15">
        <v>0</v>
      </c>
      <c r="DW44" s="15">
        <v>0</v>
      </c>
      <c r="DX44" s="17">
        <v>0</v>
      </c>
      <c r="DY44" s="15">
        <v>0</v>
      </c>
      <c r="DZ44" s="15">
        <v>0</v>
      </c>
      <c r="EA44" s="17">
        <v>0</v>
      </c>
      <c r="EB44" s="15">
        <v>0</v>
      </c>
      <c r="EC44" s="15">
        <v>0</v>
      </c>
      <c r="ED44" s="17">
        <v>0</v>
      </c>
      <c r="EE44" s="15">
        <v>0</v>
      </c>
      <c r="EF44" s="15">
        <v>0</v>
      </c>
      <c r="EG44" s="17">
        <v>0</v>
      </c>
      <c r="EH44" s="15">
        <v>0</v>
      </c>
      <c r="EI44" s="15">
        <v>0</v>
      </c>
      <c r="EJ44" s="17">
        <v>0</v>
      </c>
      <c r="EK44" s="15">
        <v>0</v>
      </c>
      <c r="EL44" s="15">
        <v>0</v>
      </c>
      <c r="EM44" s="17">
        <v>0</v>
      </c>
      <c r="EN44" s="15">
        <v>0</v>
      </c>
      <c r="EO44" s="15">
        <v>0</v>
      </c>
      <c r="EP44" s="17">
        <v>0</v>
      </c>
      <c r="EQ44" s="15">
        <v>0</v>
      </c>
      <c r="ER44" s="15">
        <v>0</v>
      </c>
      <c r="ES44" s="17">
        <v>0</v>
      </c>
      <c r="ET44" s="15">
        <v>0</v>
      </c>
      <c r="EU44" s="15">
        <v>0</v>
      </c>
      <c r="EV44" s="17">
        <v>0</v>
      </c>
      <c r="EW44" s="15">
        <v>0</v>
      </c>
      <c r="EX44" s="15">
        <v>0</v>
      </c>
      <c r="EY44" s="17">
        <v>0</v>
      </c>
      <c r="EZ44" s="15">
        <v>0</v>
      </c>
      <c r="FA44" s="15">
        <v>0</v>
      </c>
      <c r="FB44" s="17">
        <v>0</v>
      </c>
      <c r="FC44" s="15">
        <v>0</v>
      </c>
      <c r="FD44" s="15">
        <v>0</v>
      </c>
      <c r="FE44" s="17">
        <v>0</v>
      </c>
      <c r="FF44" s="15">
        <v>0</v>
      </c>
      <c r="FG44" s="15">
        <v>0</v>
      </c>
      <c r="FH44" s="17">
        <v>0</v>
      </c>
      <c r="FI44" s="15">
        <v>0</v>
      </c>
      <c r="FJ44" s="15">
        <v>0</v>
      </c>
      <c r="FK44" s="17">
        <v>0</v>
      </c>
      <c r="FL44" s="15">
        <v>0</v>
      </c>
      <c r="FM44" s="15">
        <v>0</v>
      </c>
      <c r="FN44" s="17">
        <v>0</v>
      </c>
      <c r="FO44" s="646" t="s">
        <v>828</v>
      </c>
      <c r="FP44" s="531"/>
      <c r="FQ44" s="531"/>
      <c r="FR44" s="531"/>
      <c r="FS44" s="531"/>
      <c r="FT44" s="531"/>
      <c r="FU44" s="637" t="s">
        <v>829</v>
      </c>
      <c r="FV44" s="531"/>
      <c r="FW44" s="531"/>
      <c r="FX44" s="531"/>
      <c r="FY44" s="531"/>
      <c r="FZ44" s="531"/>
    </row>
    <row r="45" spans="1:182" ht="12.75">
      <c r="A45" s="40">
        <v>43876</v>
      </c>
      <c r="B45" s="14">
        <f t="shared" ref="B45:D45" si="40">SUM(I45,AM45)</f>
        <v>1</v>
      </c>
      <c r="C45" s="15">
        <f t="shared" si="40"/>
        <v>0</v>
      </c>
      <c r="D45" s="15">
        <f t="shared" si="40"/>
        <v>0</v>
      </c>
      <c r="E45" s="350">
        <f t="shared" si="1"/>
        <v>1</v>
      </c>
      <c r="F45" s="18">
        <v>0</v>
      </c>
      <c r="G45" s="18">
        <v>0</v>
      </c>
      <c r="H45" s="317">
        <v>0</v>
      </c>
      <c r="I45" s="18">
        <v>0</v>
      </c>
      <c r="J45" s="18">
        <v>0</v>
      </c>
      <c r="K45" s="317">
        <v>0</v>
      </c>
      <c r="L45" s="18">
        <v>0</v>
      </c>
      <c r="M45" s="18">
        <v>0</v>
      </c>
      <c r="N45" s="317">
        <v>0</v>
      </c>
      <c r="O45" s="18">
        <v>0</v>
      </c>
      <c r="P45" s="18">
        <v>0</v>
      </c>
      <c r="Q45" s="317">
        <v>0</v>
      </c>
      <c r="R45" s="18">
        <v>0</v>
      </c>
      <c r="S45" s="18">
        <v>0</v>
      </c>
      <c r="T45" s="317">
        <v>0</v>
      </c>
      <c r="U45" s="18">
        <v>0</v>
      </c>
      <c r="V45" s="18">
        <v>0</v>
      </c>
      <c r="W45" s="317">
        <v>0</v>
      </c>
      <c r="X45" s="18">
        <v>0</v>
      </c>
      <c r="Y45" s="18">
        <v>0</v>
      </c>
      <c r="Z45" s="317">
        <v>0</v>
      </c>
      <c r="AA45" s="18">
        <v>0</v>
      </c>
      <c r="AB45" s="18">
        <v>0</v>
      </c>
      <c r="AC45" s="317">
        <v>0</v>
      </c>
      <c r="AD45" s="18">
        <v>0</v>
      </c>
      <c r="AE45" s="18">
        <v>0</v>
      </c>
      <c r="AF45" s="317">
        <v>0</v>
      </c>
      <c r="AG45" s="18">
        <v>0</v>
      </c>
      <c r="AH45" s="18">
        <v>0</v>
      </c>
      <c r="AI45" s="317">
        <v>0</v>
      </c>
      <c r="AJ45" s="18">
        <v>0</v>
      </c>
      <c r="AK45" s="18">
        <v>0</v>
      </c>
      <c r="AL45" s="317">
        <v>0</v>
      </c>
      <c r="AM45" s="105">
        <v>1</v>
      </c>
      <c r="AN45" s="18">
        <v>0</v>
      </c>
      <c r="AO45" s="317">
        <v>0</v>
      </c>
      <c r="AP45" s="18">
        <v>0</v>
      </c>
      <c r="AQ45" s="18">
        <v>0</v>
      </c>
      <c r="AR45" s="317">
        <v>0</v>
      </c>
      <c r="AS45" s="18">
        <v>0</v>
      </c>
      <c r="AT45" s="18">
        <v>0</v>
      </c>
      <c r="AU45" s="317">
        <v>0</v>
      </c>
      <c r="AV45" s="18">
        <v>0</v>
      </c>
      <c r="AW45" s="18">
        <v>0</v>
      </c>
      <c r="AX45" s="317">
        <v>0</v>
      </c>
      <c r="AY45" s="18">
        <v>0</v>
      </c>
      <c r="AZ45" s="18">
        <v>0</v>
      </c>
      <c r="BA45" s="317">
        <v>0</v>
      </c>
      <c r="BB45" s="18">
        <v>0</v>
      </c>
      <c r="BC45" s="18">
        <v>0</v>
      </c>
      <c r="BD45" s="317">
        <v>0</v>
      </c>
      <c r="BE45" s="18">
        <v>0</v>
      </c>
      <c r="BF45" s="18">
        <v>0</v>
      </c>
      <c r="BG45" s="317">
        <v>0</v>
      </c>
      <c r="BH45" s="18">
        <v>0</v>
      </c>
      <c r="BI45" s="18">
        <v>0</v>
      </c>
      <c r="BJ45" s="317">
        <v>0</v>
      </c>
      <c r="BK45" s="18">
        <v>0</v>
      </c>
      <c r="BL45" s="18">
        <v>0</v>
      </c>
      <c r="BM45" s="317">
        <v>0</v>
      </c>
      <c r="BN45" s="18">
        <v>0</v>
      </c>
      <c r="BO45" s="18">
        <v>0</v>
      </c>
      <c r="BP45" s="317">
        <v>0</v>
      </c>
      <c r="BQ45" s="18">
        <v>0</v>
      </c>
      <c r="BR45" s="18">
        <v>0</v>
      </c>
      <c r="BS45" s="317">
        <v>0</v>
      </c>
      <c r="BT45" s="18">
        <v>0</v>
      </c>
      <c r="BU45" s="18">
        <v>0</v>
      </c>
      <c r="BV45" s="317">
        <v>0</v>
      </c>
      <c r="BW45" s="18">
        <v>0</v>
      </c>
      <c r="BX45" s="18">
        <v>0</v>
      </c>
      <c r="BY45" s="317">
        <v>0</v>
      </c>
      <c r="BZ45" s="18">
        <v>0</v>
      </c>
      <c r="CA45" s="18">
        <v>0</v>
      </c>
      <c r="CB45" s="317">
        <v>0</v>
      </c>
      <c r="CC45" s="18">
        <v>0</v>
      </c>
      <c r="CD45" s="18">
        <v>0</v>
      </c>
      <c r="CE45" s="317">
        <v>0</v>
      </c>
      <c r="CF45" s="18">
        <v>0</v>
      </c>
      <c r="CG45" s="18">
        <v>0</v>
      </c>
      <c r="CH45" s="317">
        <v>0</v>
      </c>
      <c r="CI45" s="18">
        <v>0</v>
      </c>
      <c r="CJ45" s="18">
        <v>0</v>
      </c>
      <c r="CK45" s="317">
        <v>0</v>
      </c>
      <c r="CL45" s="18">
        <v>0</v>
      </c>
      <c r="CM45" s="18">
        <v>0</v>
      </c>
      <c r="CN45" s="317">
        <v>0</v>
      </c>
      <c r="CO45" s="18">
        <v>0</v>
      </c>
      <c r="CP45" s="18">
        <v>0</v>
      </c>
      <c r="CQ45" s="317">
        <v>0</v>
      </c>
      <c r="CR45" s="18">
        <v>0</v>
      </c>
      <c r="CS45" s="18">
        <v>0</v>
      </c>
      <c r="CT45" s="317">
        <v>0</v>
      </c>
      <c r="CU45" s="18">
        <v>0</v>
      </c>
      <c r="CV45" s="18">
        <v>0</v>
      </c>
      <c r="CW45" s="317">
        <v>0</v>
      </c>
      <c r="CX45" s="18">
        <v>0</v>
      </c>
      <c r="CY45" s="18">
        <v>0</v>
      </c>
      <c r="CZ45" s="317">
        <v>0</v>
      </c>
      <c r="DA45" s="18">
        <v>0</v>
      </c>
      <c r="DB45" s="18">
        <v>0</v>
      </c>
      <c r="DC45" s="317">
        <v>0</v>
      </c>
      <c r="DD45" s="18">
        <v>0</v>
      </c>
      <c r="DE45" s="18">
        <v>0</v>
      </c>
      <c r="DF45" s="317">
        <v>0</v>
      </c>
      <c r="DG45" s="18">
        <v>0</v>
      </c>
      <c r="DH45" s="18">
        <v>0</v>
      </c>
      <c r="DI45" s="317">
        <v>0</v>
      </c>
      <c r="DJ45" s="18">
        <v>0</v>
      </c>
      <c r="DK45" s="18">
        <v>0</v>
      </c>
      <c r="DL45" s="317">
        <v>0</v>
      </c>
      <c r="DM45" s="18">
        <v>0</v>
      </c>
      <c r="DN45" s="18">
        <v>0</v>
      </c>
      <c r="DO45" s="317">
        <v>0</v>
      </c>
      <c r="DP45" s="18">
        <v>0</v>
      </c>
      <c r="DQ45" s="18">
        <v>0</v>
      </c>
      <c r="DR45" s="317">
        <v>0</v>
      </c>
      <c r="DS45" s="18">
        <v>0</v>
      </c>
      <c r="DT45" s="18">
        <v>0</v>
      </c>
      <c r="DU45" s="317">
        <v>0</v>
      </c>
      <c r="DV45" s="18">
        <v>0</v>
      </c>
      <c r="DW45" s="18">
        <v>0</v>
      </c>
      <c r="DX45" s="317">
        <v>0</v>
      </c>
      <c r="DY45" s="18">
        <v>0</v>
      </c>
      <c r="DZ45" s="18">
        <v>0</v>
      </c>
      <c r="EA45" s="317">
        <v>0</v>
      </c>
      <c r="EB45" s="18">
        <v>0</v>
      </c>
      <c r="EC45" s="18">
        <v>0</v>
      </c>
      <c r="ED45" s="317">
        <v>0</v>
      </c>
      <c r="EE45" s="18">
        <v>0</v>
      </c>
      <c r="EF45" s="18">
        <v>0</v>
      </c>
      <c r="EG45" s="317">
        <v>0</v>
      </c>
      <c r="EH45" s="18">
        <v>0</v>
      </c>
      <c r="EI45" s="18">
        <v>0</v>
      </c>
      <c r="EJ45" s="317">
        <v>0</v>
      </c>
      <c r="EK45" s="18">
        <v>0</v>
      </c>
      <c r="EL45" s="18">
        <v>0</v>
      </c>
      <c r="EM45" s="317">
        <v>0</v>
      </c>
      <c r="EN45" s="18">
        <v>0</v>
      </c>
      <c r="EO45" s="18">
        <v>0</v>
      </c>
      <c r="EP45" s="317">
        <v>0</v>
      </c>
      <c r="EQ45" s="18">
        <v>0</v>
      </c>
      <c r="ER45" s="18">
        <v>0</v>
      </c>
      <c r="ES45" s="317">
        <v>0</v>
      </c>
      <c r="ET45" s="18">
        <v>0</v>
      </c>
      <c r="EU45" s="18">
        <v>0</v>
      </c>
      <c r="EV45" s="317">
        <v>0</v>
      </c>
      <c r="EW45" s="18">
        <v>0</v>
      </c>
      <c r="EX45" s="18">
        <v>0</v>
      </c>
      <c r="EY45" s="317">
        <v>0</v>
      </c>
      <c r="EZ45" s="18">
        <v>0</v>
      </c>
      <c r="FA45" s="18">
        <v>0</v>
      </c>
      <c r="FB45" s="317">
        <v>0</v>
      </c>
      <c r="FC45" s="18">
        <v>0</v>
      </c>
      <c r="FD45" s="18">
        <v>0</v>
      </c>
      <c r="FE45" s="317">
        <v>0</v>
      </c>
      <c r="FF45" s="18">
        <v>0</v>
      </c>
      <c r="FG45" s="18">
        <v>0</v>
      </c>
      <c r="FH45" s="317">
        <v>0</v>
      </c>
      <c r="FI45" s="18">
        <v>0</v>
      </c>
      <c r="FJ45" s="18">
        <v>0</v>
      </c>
      <c r="FK45" s="317">
        <v>0</v>
      </c>
      <c r="FL45" s="18">
        <v>0</v>
      </c>
      <c r="FM45" s="18">
        <v>0</v>
      </c>
      <c r="FN45" s="317">
        <v>0</v>
      </c>
      <c r="FO45" s="640"/>
      <c r="FP45" s="531"/>
      <c r="FQ45" s="531"/>
      <c r="FR45" s="531"/>
      <c r="FS45" s="531"/>
      <c r="FT45" s="531"/>
      <c r="FU45" s="640"/>
      <c r="FV45" s="531"/>
      <c r="FW45" s="531"/>
      <c r="FX45" s="531"/>
      <c r="FY45" s="531"/>
      <c r="FZ45" s="531"/>
    </row>
    <row r="46" spans="1:182" ht="12.75">
      <c r="A46" s="40">
        <v>43877</v>
      </c>
      <c r="B46" s="14">
        <f t="shared" ref="B46:D46" si="41">SUM(I46,AM46)</f>
        <v>1</v>
      </c>
      <c r="C46" s="15">
        <f t="shared" si="41"/>
        <v>0</v>
      </c>
      <c r="D46" s="15">
        <f t="shared" si="41"/>
        <v>0</v>
      </c>
      <c r="E46" s="350">
        <f t="shared" si="1"/>
        <v>1</v>
      </c>
      <c r="F46" s="15">
        <v>0</v>
      </c>
      <c r="G46" s="15">
        <v>0</v>
      </c>
      <c r="H46" s="17">
        <v>0</v>
      </c>
      <c r="I46" s="15">
        <v>0</v>
      </c>
      <c r="J46" s="15">
        <v>0</v>
      </c>
      <c r="K46" s="17">
        <v>0</v>
      </c>
      <c r="L46" s="15">
        <v>0</v>
      </c>
      <c r="M46" s="15">
        <v>0</v>
      </c>
      <c r="N46" s="17">
        <v>0</v>
      </c>
      <c r="O46" s="15">
        <v>0</v>
      </c>
      <c r="P46" s="15">
        <v>0</v>
      </c>
      <c r="Q46" s="17">
        <v>0</v>
      </c>
      <c r="R46" s="15">
        <v>0</v>
      </c>
      <c r="S46" s="15">
        <v>0</v>
      </c>
      <c r="T46" s="17">
        <v>0</v>
      </c>
      <c r="U46" s="15">
        <v>0</v>
      </c>
      <c r="V46" s="15">
        <v>0</v>
      </c>
      <c r="W46" s="17">
        <v>0</v>
      </c>
      <c r="X46" s="15">
        <v>0</v>
      </c>
      <c r="Y46" s="15">
        <v>0</v>
      </c>
      <c r="Z46" s="17">
        <v>0</v>
      </c>
      <c r="AA46" s="15">
        <v>0</v>
      </c>
      <c r="AB46" s="15">
        <v>0</v>
      </c>
      <c r="AC46" s="17">
        <v>0</v>
      </c>
      <c r="AD46" s="15">
        <v>0</v>
      </c>
      <c r="AE46" s="15">
        <v>0</v>
      </c>
      <c r="AF46" s="17">
        <v>0</v>
      </c>
      <c r="AG46" s="15">
        <v>0</v>
      </c>
      <c r="AH46" s="15">
        <v>0</v>
      </c>
      <c r="AI46" s="17">
        <v>0</v>
      </c>
      <c r="AJ46" s="15">
        <v>0</v>
      </c>
      <c r="AK46" s="15">
        <v>0</v>
      </c>
      <c r="AL46" s="17">
        <v>0</v>
      </c>
      <c r="AM46" s="105">
        <v>1</v>
      </c>
      <c r="AN46" s="15">
        <v>0</v>
      </c>
      <c r="AO46" s="17">
        <v>0</v>
      </c>
      <c r="AP46" s="15">
        <v>0</v>
      </c>
      <c r="AQ46" s="15">
        <v>0</v>
      </c>
      <c r="AR46" s="17">
        <v>0</v>
      </c>
      <c r="AS46" s="15">
        <v>0</v>
      </c>
      <c r="AT46" s="15">
        <v>0</v>
      </c>
      <c r="AU46" s="17">
        <v>0</v>
      </c>
      <c r="AV46" s="15">
        <v>0</v>
      </c>
      <c r="AW46" s="15">
        <v>0</v>
      </c>
      <c r="AX46" s="17">
        <v>0</v>
      </c>
      <c r="AY46" s="15">
        <v>0</v>
      </c>
      <c r="AZ46" s="15">
        <v>0</v>
      </c>
      <c r="BA46" s="17">
        <v>0</v>
      </c>
      <c r="BB46" s="15">
        <v>0</v>
      </c>
      <c r="BC46" s="15">
        <v>0</v>
      </c>
      <c r="BD46" s="17">
        <v>0</v>
      </c>
      <c r="BE46" s="15">
        <v>0</v>
      </c>
      <c r="BF46" s="15">
        <v>0</v>
      </c>
      <c r="BG46" s="17">
        <v>0</v>
      </c>
      <c r="BH46" s="15">
        <v>0</v>
      </c>
      <c r="BI46" s="15">
        <v>0</v>
      </c>
      <c r="BJ46" s="17">
        <v>0</v>
      </c>
      <c r="BK46" s="15">
        <v>0</v>
      </c>
      <c r="BL46" s="15">
        <v>0</v>
      </c>
      <c r="BM46" s="17">
        <v>0</v>
      </c>
      <c r="BN46" s="15">
        <v>0</v>
      </c>
      <c r="BO46" s="15">
        <v>0</v>
      </c>
      <c r="BP46" s="17">
        <v>0</v>
      </c>
      <c r="BQ46" s="15">
        <v>0</v>
      </c>
      <c r="BR46" s="15">
        <v>0</v>
      </c>
      <c r="BS46" s="17">
        <v>0</v>
      </c>
      <c r="BT46" s="15">
        <v>0</v>
      </c>
      <c r="BU46" s="15">
        <v>0</v>
      </c>
      <c r="BV46" s="17">
        <v>0</v>
      </c>
      <c r="BW46" s="15">
        <v>0</v>
      </c>
      <c r="BX46" s="15">
        <v>0</v>
      </c>
      <c r="BY46" s="17">
        <v>0</v>
      </c>
      <c r="BZ46" s="15">
        <v>0</v>
      </c>
      <c r="CA46" s="15">
        <v>0</v>
      </c>
      <c r="CB46" s="17">
        <v>0</v>
      </c>
      <c r="CC46" s="15">
        <v>0</v>
      </c>
      <c r="CD46" s="15">
        <v>0</v>
      </c>
      <c r="CE46" s="17">
        <v>0</v>
      </c>
      <c r="CF46" s="15">
        <v>0</v>
      </c>
      <c r="CG46" s="15">
        <v>0</v>
      </c>
      <c r="CH46" s="17">
        <v>0</v>
      </c>
      <c r="CI46" s="15">
        <v>0</v>
      </c>
      <c r="CJ46" s="15">
        <v>0</v>
      </c>
      <c r="CK46" s="17">
        <v>0</v>
      </c>
      <c r="CL46" s="15">
        <v>0</v>
      </c>
      <c r="CM46" s="15">
        <v>0</v>
      </c>
      <c r="CN46" s="17">
        <v>0</v>
      </c>
      <c r="CO46" s="15">
        <v>0</v>
      </c>
      <c r="CP46" s="15">
        <v>0</v>
      </c>
      <c r="CQ46" s="17">
        <v>0</v>
      </c>
      <c r="CR46" s="15">
        <v>0</v>
      </c>
      <c r="CS46" s="15">
        <v>0</v>
      </c>
      <c r="CT46" s="17">
        <v>0</v>
      </c>
      <c r="CU46" s="15">
        <v>0</v>
      </c>
      <c r="CV46" s="15">
        <v>0</v>
      </c>
      <c r="CW46" s="17">
        <v>0</v>
      </c>
      <c r="CX46" s="15">
        <v>0</v>
      </c>
      <c r="CY46" s="15">
        <v>0</v>
      </c>
      <c r="CZ46" s="17">
        <v>0</v>
      </c>
      <c r="DA46" s="15">
        <v>0</v>
      </c>
      <c r="DB46" s="15">
        <v>0</v>
      </c>
      <c r="DC46" s="17">
        <v>0</v>
      </c>
      <c r="DD46" s="15">
        <v>0</v>
      </c>
      <c r="DE46" s="15">
        <v>0</v>
      </c>
      <c r="DF46" s="17">
        <v>0</v>
      </c>
      <c r="DG46" s="15">
        <v>0</v>
      </c>
      <c r="DH46" s="15">
        <v>0</v>
      </c>
      <c r="DI46" s="17">
        <v>0</v>
      </c>
      <c r="DJ46" s="15">
        <v>0</v>
      </c>
      <c r="DK46" s="15">
        <v>0</v>
      </c>
      <c r="DL46" s="17">
        <v>0</v>
      </c>
      <c r="DM46" s="15">
        <v>0</v>
      </c>
      <c r="DN46" s="15">
        <v>0</v>
      </c>
      <c r="DO46" s="17">
        <v>0</v>
      </c>
      <c r="DP46" s="15">
        <v>0</v>
      </c>
      <c r="DQ46" s="15">
        <v>0</v>
      </c>
      <c r="DR46" s="17">
        <v>0</v>
      </c>
      <c r="DS46" s="15">
        <v>0</v>
      </c>
      <c r="DT46" s="15">
        <v>0</v>
      </c>
      <c r="DU46" s="17">
        <v>0</v>
      </c>
      <c r="DV46" s="15">
        <v>0</v>
      </c>
      <c r="DW46" s="15">
        <v>0</v>
      </c>
      <c r="DX46" s="17">
        <v>0</v>
      </c>
      <c r="DY46" s="15">
        <v>0</v>
      </c>
      <c r="DZ46" s="15">
        <v>0</v>
      </c>
      <c r="EA46" s="17">
        <v>0</v>
      </c>
      <c r="EB46" s="15">
        <v>0</v>
      </c>
      <c r="EC46" s="15">
        <v>0</v>
      </c>
      <c r="ED46" s="17">
        <v>0</v>
      </c>
      <c r="EE46" s="15">
        <v>0</v>
      </c>
      <c r="EF46" s="15">
        <v>0</v>
      </c>
      <c r="EG46" s="17">
        <v>0</v>
      </c>
      <c r="EH46" s="15">
        <v>0</v>
      </c>
      <c r="EI46" s="15">
        <v>0</v>
      </c>
      <c r="EJ46" s="17">
        <v>0</v>
      </c>
      <c r="EK46" s="15">
        <v>0</v>
      </c>
      <c r="EL46" s="15">
        <v>0</v>
      </c>
      <c r="EM46" s="17">
        <v>0</v>
      </c>
      <c r="EN46" s="15">
        <v>0</v>
      </c>
      <c r="EO46" s="15">
        <v>0</v>
      </c>
      <c r="EP46" s="17">
        <v>0</v>
      </c>
      <c r="EQ46" s="15">
        <v>0</v>
      </c>
      <c r="ER46" s="15">
        <v>0</v>
      </c>
      <c r="ES46" s="17">
        <v>0</v>
      </c>
      <c r="ET46" s="15">
        <v>0</v>
      </c>
      <c r="EU46" s="15">
        <v>0</v>
      </c>
      <c r="EV46" s="17">
        <v>0</v>
      </c>
      <c r="EW46" s="15">
        <v>0</v>
      </c>
      <c r="EX46" s="15">
        <v>0</v>
      </c>
      <c r="EY46" s="17">
        <v>0</v>
      </c>
      <c r="EZ46" s="15">
        <v>0</v>
      </c>
      <c r="FA46" s="15">
        <v>0</v>
      </c>
      <c r="FB46" s="17">
        <v>0</v>
      </c>
      <c r="FC46" s="15">
        <v>0</v>
      </c>
      <c r="FD46" s="15">
        <v>0</v>
      </c>
      <c r="FE46" s="17">
        <v>0</v>
      </c>
      <c r="FF46" s="15">
        <v>0</v>
      </c>
      <c r="FG46" s="15">
        <v>0</v>
      </c>
      <c r="FH46" s="17">
        <v>0</v>
      </c>
      <c r="FI46" s="15">
        <v>0</v>
      </c>
      <c r="FJ46" s="15">
        <v>0</v>
      </c>
      <c r="FK46" s="17">
        <v>0</v>
      </c>
      <c r="FL46" s="15">
        <v>0</v>
      </c>
      <c r="FM46" s="15">
        <v>0</v>
      </c>
      <c r="FN46" s="17">
        <v>0</v>
      </c>
      <c r="FO46" s="640"/>
      <c r="FP46" s="531"/>
      <c r="FQ46" s="531"/>
      <c r="FR46" s="531"/>
      <c r="FS46" s="531"/>
      <c r="FT46" s="531"/>
      <c r="FU46" s="640"/>
      <c r="FV46" s="531"/>
      <c r="FW46" s="531"/>
      <c r="FX46" s="531"/>
      <c r="FY46" s="531"/>
      <c r="FZ46" s="531"/>
    </row>
    <row r="47" spans="1:182" ht="12.75">
      <c r="A47" s="40">
        <v>43878</v>
      </c>
      <c r="B47" s="14">
        <f t="shared" ref="B47:D47" si="42">SUM(I47,AM47)</f>
        <v>1</v>
      </c>
      <c r="C47" s="15">
        <f t="shared" si="42"/>
        <v>0</v>
      </c>
      <c r="D47" s="15">
        <f t="shared" si="42"/>
        <v>0</v>
      </c>
      <c r="E47" s="350">
        <f t="shared" si="1"/>
        <v>1</v>
      </c>
      <c r="F47" s="18">
        <v>0</v>
      </c>
      <c r="G47" s="18">
        <v>0</v>
      </c>
      <c r="H47" s="317">
        <v>0</v>
      </c>
      <c r="I47" s="18">
        <v>0</v>
      </c>
      <c r="J47" s="18">
        <v>0</v>
      </c>
      <c r="K47" s="317">
        <v>0</v>
      </c>
      <c r="L47" s="18">
        <v>0</v>
      </c>
      <c r="M47" s="18">
        <v>0</v>
      </c>
      <c r="N47" s="317">
        <v>0</v>
      </c>
      <c r="O47" s="18">
        <v>0</v>
      </c>
      <c r="P47" s="18">
        <v>0</v>
      </c>
      <c r="Q47" s="317">
        <v>0</v>
      </c>
      <c r="R47" s="18">
        <v>0</v>
      </c>
      <c r="S47" s="18">
        <v>0</v>
      </c>
      <c r="T47" s="317">
        <v>0</v>
      </c>
      <c r="U47" s="18">
        <v>0</v>
      </c>
      <c r="V47" s="18">
        <v>0</v>
      </c>
      <c r="W47" s="317">
        <v>0</v>
      </c>
      <c r="X47" s="18">
        <v>0</v>
      </c>
      <c r="Y47" s="18">
        <v>0</v>
      </c>
      <c r="Z47" s="317">
        <v>0</v>
      </c>
      <c r="AA47" s="18">
        <v>0</v>
      </c>
      <c r="AB47" s="18">
        <v>0</v>
      </c>
      <c r="AC47" s="317">
        <v>0</v>
      </c>
      <c r="AD47" s="18">
        <v>0</v>
      </c>
      <c r="AE47" s="18">
        <v>0</v>
      </c>
      <c r="AF47" s="317">
        <v>0</v>
      </c>
      <c r="AG47" s="18">
        <v>0</v>
      </c>
      <c r="AH47" s="18">
        <v>0</v>
      </c>
      <c r="AI47" s="317">
        <v>0</v>
      </c>
      <c r="AJ47" s="18">
        <v>0</v>
      </c>
      <c r="AK47" s="18">
        <v>0</v>
      </c>
      <c r="AL47" s="317">
        <v>0</v>
      </c>
      <c r="AM47" s="105">
        <v>1</v>
      </c>
      <c r="AN47" s="18">
        <v>0</v>
      </c>
      <c r="AO47" s="317">
        <v>0</v>
      </c>
      <c r="AP47" s="18">
        <v>0</v>
      </c>
      <c r="AQ47" s="18">
        <v>0</v>
      </c>
      <c r="AR47" s="317">
        <v>0</v>
      </c>
      <c r="AS47" s="18">
        <v>0</v>
      </c>
      <c r="AT47" s="18">
        <v>0</v>
      </c>
      <c r="AU47" s="317">
        <v>0</v>
      </c>
      <c r="AV47" s="18">
        <v>0</v>
      </c>
      <c r="AW47" s="18">
        <v>0</v>
      </c>
      <c r="AX47" s="317">
        <v>0</v>
      </c>
      <c r="AY47" s="18">
        <v>0</v>
      </c>
      <c r="AZ47" s="18">
        <v>0</v>
      </c>
      <c r="BA47" s="317">
        <v>0</v>
      </c>
      <c r="BB47" s="18">
        <v>0</v>
      </c>
      <c r="BC47" s="18">
        <v>0</v>
      </c>
      <c r="BD47" s="317">
        <v>0</v>
      </c>
      <c r="BE47" s="18">
        <v>0</v>
      </c>
      <c r="BF47" s="18">
        <v>0</v>
      </c>
      <c r="BG47" s="317">
        <v>0</v>
      </c>
      <c r="BH47" s="18">
        <v>0</v>
      </c>
      <c r="BI47" s="18">
        <v>0</v>
      </c>
      <c r="BJ47" s="317">
        <v>0</v>
      </c>
      <c r="BK47" s="18">
        <v>0</v>
      </c>
      <c r="BL47" s="18">
        <v>0</v>
      </c>
      <c r="BM47" s="317">
        <v>0</v>
      </c>
      <c r="BN47" s="18">
        <v>0</v>
      </c>
      <c r="BO47" s="18">
        <v>0</v>
      </c>
      <c r="BP47" s="317">
        <v>0</v>
      </c>
      <c r="BQ47" s="18">
        <v>0</v>
      </c>
      <c r="BR47" s="18">
        <v>0</v>
      </c>
      <c r="BS47" s="317">
        <v>0</v>
      </c>
      <c r="BT47" s="18">
        <v>0</v>
      </c>
      <c r="BU47" s="18">
        <v>0</v>
      </c>
      <c r="BV47" s="317">
        <v>0</v>
      </c>
      <c r="BW47" s="18">
        <v>0</v>
      </c>
      <c r="BX47" s="18">
        <v>0</v>
      </c>
      <c r="BY47" s="317">
        <v>0</v>
      </c>
      <c r="BZ47" s="18">
        <v>0</v>
      </c>
      <c r="CA47" s="18">
        <v>0</v>
      </c>
      <c r="CB47" s="317">
        <v>0</v>
      </c>
      <c r="CC47" s="18">
        <v>0</v>
      </c>
      <c r="CD47" s="18">
        <v>0</v>
      </c>
      <c r="CE47" s="317">
        <v>0</v>
      </c>
      <c r="CF47" s="18">
        <v>0</v>
      </c>
      <c r="CG47" s="18">
        <v>0</v>
      </c>
      <c r="CH47" s="317">
        <v>0</v>
      </c>
      <c r="CI47" s="18">
        <v>0</v>
      </c>
      <c r="CJ47" s="18">
        <v>0</v>
      </c>
      <c r="CK47" s="317">
        <v>0</v>
      </c>
      <c r="CL47" s="18">
        <v>0</v>
      </c>
      <c r="CM47" s="18">
        <v>0</v>
      </c>
      <c r="CN47" s="317">
        <v>0</v>
      </c>
      <c r="CO47" s="18">
        <v>0</v>
      </c>
      <c r="CP47" s="18">
        <v>0</v>
      </c>
      <c r="CQ47" s="317">
        <v>0</v>
      </c>
      <c r="CR47" s="18">
        <v>0</v>
      </c>
      <c r="CS47" s="18">
        <v>0</v>
      </c>
      <c r="CT47" s="317">
        <v>0</v>
      </c>
      <c r="CU47" s="18">
        <v>0</v>
      </c>
      <c r="CV47" s="18">
        <v>0</v>
      </c>
      <c r="CW47" s="317">
        <v>0</v>
      </c>
      <c r="CX47" s="18">
        <v>0</v>
      </c>
      <c r="CY47" s="18">
        <v>0</v>
      </c>
      <c r="CZ47" s="317">
        <v>0</v>
      </c>
      <c r="DA47" s="18">
        <v>0</v>
      </c>
      <c r="DB47" s="18">
        <v>0</v>
      </c>
      <c r="DC47" s="317">
        <v>0</v>
      </c>
      <c r="DD47" s="18">
        <v>0</v>
      </c>
      <c r="DE47" s="18">
        <v>0</v>
      </c>
      <c r="DF47" s="317">
        <v>0</v>
      </c>
      <c r="DG47" s="18">
        <v>0</v>
      </c>
      <c r="DH47" s="18">
        <v>0</v>
      </c>
      <c r="DI47" s="317">
        <v>0</v>
      </c>
      <c r="DJ47" s="18">
        <v>0</v>
      </c>
      <c r="DK47" s="18">
        <v>0</v>
      </c>
      <c r="DL47" s="317">
        <v>0</v>
      </c>
      <c r="DM47" s="18">
        <v>0</v>
      </c>
      <c r="DN47" s="18">
        <v>0</v>
      </c>
      <c r="DO47" s="317">
        <v>0</v>
      </c>
      <c r="DP47" s="18">
        <v>0</v>
      </c>
      <c r="DQ47" s="18">
        <v>0</v>
      </c>
      <c r="DR47" s="317">
        <v>0</v>
      </c>
      <c r="DS47" s="18">
        <v>0</v>
      </c>
      <c r="DT47" s="18">
        <v>0</v>
      </c>
      <c r="DU47" s="317">
        <v>0</v>
      </c>
      <c r="DV47" s="18">
        <v>0</v>
      </c>
      <c r="DW47" s="18">
        <v>0</v>
      </c>
      <c r="DX47" s="317">
        <v>0</v>
      </c>
      <c r="DY47" s="18">
        <v>0</v>
      </c>
      <c r="DZ47" s="18">
        <v>0</v>
      </c>
      <c r="EA47" s="317">
        <v>0</v>
      </c>
      <c r="EB47" s="18">
        <v>0</v>
      </c>
      <c r="EC47" s="18">
        <v>0</v>
      </c>
      <c r="ED47" s="317">
        <v>0</v>
      </c>
      <c r="EE47" s="18">
        <v>0</v>
      </c>
      <c r="EF47" s="18">
        <v>0</v>
      </c>
      <c r="EG47" s="317">
        <v>0</v>
      </c>
      <c r="EH47" s="18">
        <v>0</v>
      </c>
      <c r="EI47" s="18">
        <v>0</v>
      </c>
      <c r="EJ47" s="317">
        <v>0</v>
      </c>
      <c r="EK47" s="18">
        <v>0</v>
      </c>
      <c r="EL47" s="18">
        <v>0</v>
      </c>
      <c r="EM47" s="317">
        <v>0</v>
      </c>
      <c r="EN47" s="18">
        <v>0</v>
      </c>
      <c r="EO47" s="18">
        <v>0</v>
      </c>
      <c r="EP47" s="317">
        <v>0</v>
      </c>
      <c r="EQ47" s="18">
        <v>0</v>
      </c>
      <c r="ER47" s="18">
        <v>0</v>
      </c>
      <c r="ES47" s="317">
        <v>0</v>
      </c>
      <c r="ET47" s="18">
        <v>0</v>
      </c>
      <c r="EU47" s="18">
        <v>0</v>
      </c>
      <c r="EV47" s="317">
        <v>0</v>
      </c>
      <c r="EW47" s="18">
        <v>0</v>
      </c>
      <c r="EX47" s="18">
        <v>0</v>
      </c>
      <c r="EY47" s="317">
        <v>0</v>
      </c>
      <c r="EZ47" s="18">
        <v>0</v>
      </c>
      <c r="FA47" s="18">
        <v>0</v>
      </c>
      <c r="FB47" s="317">
        <v>0</v>
      </c>
      <c r="FC47" s="18">
        <v>0</v>
      </c>
      <c r="FD47" s="18">
        <v>0</v>
      </c>
      <c r="FE47" s="317">
        <v>0</v>
      </c>
      <c r="FF47" s="18">
        <v>0</v>
      </c>
      <c r="FG47" s="18">
        <v>0</v>
      </c>
      <c r="FH47" s="317">
        <v>0</v>
      </c>
      <c r="FI47" s="18">
        <v>0</v>
      </c>
      <c r="FJ47" s="18">
        <v>0</v>
      </c>
      <c r="FK47" s="317">
        <v>0</v>
      </c>
      <c r="FL47" s="18">
        <v>0</v>
      </c>
      <c r="FM47" s="18">
        <v>0</v>
      </c>
      <c r="FN47" s="317">
        <v>0</v>
      </c>
      <c r="FO47" s="640"/>
      <c r="FP47" s="531"/>
      <c r="FQ47" s="531"/>
      <c r="FR47" s="531"/>
      <c r="FS47" s="531"/>
      <c r="FT47" s="531"/>
      <c r="FU47" s="640"/>
      <c r="FV47" s="531"/>
      <c r="FW47" s="531"/>
      <c r="FX47" s="531"/>
      <c r="FY47" s="531"/>
      <c r="FZ47" s="531"/>
    </row>
    <row r="48" spans="1:182" ht="12.75">
      <c r="A48" s="40">
        <v>43879</v>
      </c>
      <c r="B48" s="14">
        <f t="shared" ref="B48:D48" si="43">SUM(I48,AM48)</f>
        <v>1</v>
      </c>
      <c r="C48" s="15">
        <f t="shared" si="43"/>
        <v>0</v>
      </c>
      <c r="D48" s="15">
        <f t="shared" si="43"/>
        <v>0</v>
      </c>
      <c r="E48" s="350">
        <f t="shared" si="1"/>
        <v>1</v>
      </c>
      <c r="F48" s="15">
        <v>0</v>
      </c>
      <c r="G48" s="15">
        <v>0</v>
      </c>
      <c r="H48" s="17">
        <v>0</v>
      </c>
      <c r="I48" s="15">
        <v>0</v>
      </c>
      <c r="J48" s="15">
        <v>0</v>
      </c>
      <c r="K48" s="17">
        <v>0</v>
      </c>
      <c r="L48" s="15">
        <v>0</v>
      </c>
      <c r="M48" s="15">
        <v>0</v>
      </c>
      <c r="N48" s="17">
        <v>0</v>
      </c>
      <c r="O48" s="15">
        <v>0</v>
      </c>
      <c r="P48" s="15">
        <v>0</v>
      </c>
      <c r="Q48" s="17">
        <v>0</v>
      </c>
      <c r="R48" s="15">
        <v>0</v>
      </c>
      <c r="S48" s="15">
        <v>0</v>
      </c>
      <c r="T48" s="17">
        <v>0</v>
      </c>
      <c r="U48" s="15">
        <v>0</v>
      </c>
      <c r="V48" s="15">
        <v>0</v>
      </c>
      <c r="W48" s="17">
        <v>0</v>
      </c>
      <c r="X48" s="15">
        <v>0</v>
      </c>
      <c r="Y48" s="15">
        <v>0</v>
      </c>
      <c r="Z48" s="17">
        <v>0</v>
      </c>
      <c r="AA48" s="15">
        <v>0</v>
      </c>
      <c r="AB48" s="15">
        <v>0</v>
      </c>
      <c r="AC48" s="17">
        <v>0</v>
      </c>
      <c r="AD48" s="15">
        <v>0</v>
      </c>
      <c r="AE48" s="15">
        <v>0</v>
      </c>
      <c r="AF48" s="17">
        <v>0</v>
      </c>
      <c r="AG48" s="15">
        <v>0</v>
      </c>
      <c r="AH48" s="15">
        <v>0</v>
      </c>
      <c r="AI48" s="17">
        <v>0</v>
      </c>
      <c r="AJ48" s="15">
        <v>0</v>
      </c>
      <c r="AK48" s="15">
        <v>0</v>
      </c>
      <c r="AL48" s="17">
        <v>0</v>
      </c>
      <c r="AM48" s="105">
        <v>1</v>
      </c>
      <c r="AN48" s="15">
        <v>0</v>
      </c>
      <c r="AO48" s="17">
        <v>0</v>
      </c>
      <c r="AP48" s="15">
        <v>0</v>
      </c>
      <c r="AQ48" s="15">
        <v>0</v>
      </c>
      <c r="AR48" s="17">
        <v>0</v>
      </c>
      <c r="AS48" s="15">
        <v>0</v>
      </c>
      <c r="AT48" s="15">
        <v>0</v>
      </c>
      <c r="AU48" s="17">
        <v>0</v>
      </c>
      <c r="AV48" s="15">
        <v>0</v>
      </c>
      <c r="AW48" s="15">
        <v>0</v>
      </c>
      <c r="AX48" s="17">
        <v>0</v>
      </c>
      <c r="AY48" s="15">
        <v>0</v>
      </c>
      <c r="AZ48" s="15">
        <v>0</v>
      </c>
      <c r="BA48" s="17">
        <v>0</v>
      </c>
      <c r="BB48" s="15">
        <v>0</v>
      </c>
      <c r="BC48" s="15">
        <v>0</v>
      </c>
      <c r="BD48" s="17">
        <v>0</v>
      </c>
      <c r="BE48" s="15">
        <v>0</v>
      </c>
      <c r="BF48" s="15">
        <v>0</v>
      </c>
      <c r="BG48" s="17">
        <v>0</v>
      </c>
      <c r="BH48" s="15">
        <v>0</v>
      </c>
      <c r="BI48" s="15">
        <v>0</v>
      </c>
      <c r="BJ48" s="17">
        <v>0</v>
      </c>
      <c r="BK48" s="15">
        <v>0</v>
      </c>
      <c r="BL48" s="15">
        <v>0</v>
      </c>
      <c r="BM48" s="17">
        <v>0</v>
      </c>
      <c r="BN48" s="15">
        <v>0</v>
      </c>
      <c r="BO48" s="15">
        <v>0</v>
      </c>
      <c r="BP48" s="17">
        <v>0</v>
      </c>
      <c r="BQ48" s="15">
        <v>0</v>
      </c>
      <c r="BR48" s="15">
        <v>0</v>
      </c>
      <c r="BS48" s="17">
        <v>0</v>
      </c>
      <c r="BT48" s="15">
        <v>0</v>
      </c>
      <c r="BU48" s="15">
        <v>0</v>
      </c>
      <c r="BV48" s="17">
        <v>0</v>
      </c>
      <c r="BW48" s="15">
        <v>0</v>
      </c>
      <c r="BX48" s="15">
        <v>0</v>
      </c>
      <c r="BY48" s="17">
        <v>0</v>
      </c>
      <c r="BZ48" s="15">
        <v>0</v>
      </c>
      <c r="CA48" s="15">
        <v>0</v>
      </c>
      <c r="CB48" s="17">
        <v>0</v>
      </c>
      <c r="CC48" s="15">
        <v>0</v>
      </c>
      <c r="CD48" s="15">
        <v>0</v>
      </c>
      <c r="CE48" s="17">
        <v>0</v>
      </c>
      <c r="CF48" s="15">
        <v>0</v>
      </c>
      <c r="CG48" s="15">
        <v>0</v>
      </c>
      <c r="CH48" s="17">
        <v>0</v>
      </c>
      <c r="CI48" s="15">
        <v>0</v>
      </c>
      <c r="CJ48" s="15">
        <v>0</v>
      </c>
      <c r="CK48" s="17">
        <v>0</v>
      </c>
      <c r="CL48" s="15">
        <v>0</v>
      </c>
      <c r="CM48" s="15">
        <v>0</v>
      </c>
      <c r="CN48" s="17">
        <v>0</v>
      </c>
      <c r="CO48" s="15">
        <v>0</v>
      </c>
      <c r="CP48" s="15">
        <v>0</v>
      </c>
      <c r="CQ48" s="17">
        <v>0</v>
      </c>
      <c r="CR48" s="15">
        <v>0</v>
      </c>
      <c r="CS48" s="15">
        <v>0</v>
      </c>
      <c r="CT48" s="17">
        <v>0</v>
      </c>
      <c r="CU48" s="15">
        <v>0</v>
      </c>
      <c r="CV48" s="15">
        <v>0</v>
      </c>
      <c r="CW48" s="17">
        <v>0</v>
      </c>
      <c r="CX48" s="15">
        <v>0</v>
      </c>
      <c r="CY48" s="15">
        <v>0</v>
      </c>
      <c r="CZ48" s="17">
        <v>0</v>
      </c>
      <c r="DA48" s="15">
        <v>0</v>
      </c>
      <c r="DB48" s="15">
        <v>0</v>
      </c>
      <c r="DC48" s="17">
        <v>0</v>
      </c>
      <c r="DD48" s="15">
        <v>0</v>
      </c>
      <c r="DE48" s="15">
        <v>0</v>
      </c>
      <c r="DF48" s="17">
        <v>0</v>
      </c>
      <c r="DG48" s="15">
        <v>0</v>
      </c>
      <c r="DH48" s="15">
        <v>0</v>
      </c>
      <c r="DI48" s="17">
        <v>0</v>
      </c>
      <c r="DJ48" s="15">
        <v>0</v>
      </c>
      <c r="DK48" s="15">
        <v>0</v>
      </c>
      <c r="DL48" s="17">
        <v>0</v>
      </c>
      <c r="DM48" s="15">
        <v>0</v>
      </c>
      <c r="DN48" s="15">
        <v>0</v>
      </c>
      <c r="DO48" s="17">
        <v>0</v>
      </c>
      <c r="DP48" s="15">
        <v>0</v>
      </c>
      <c r="DQ48" s="15">
        <v>0</v>
      </c>
      <c r="DR48" s="17">
        <v>0</v>
      </c>
      <c r="DS48" s="15">
        <v>0</v>
      </c>
      <c r="DT48" s="15">
        <v>0</v>
      </c>
      <c r="DU48" s="17">
        <v>0</v>
      </c>
      <c r="DV48" s="15">
        <v>0</v>
      </c>
      <c r="DW48" s="15">
        <v>0</v>
      </c>
      <c r="DX48" s="17">
        <v>0</v>
      </c>
      <c r="DY48" s="15">
        <v>0</v>
      </c>
      <c r="DZ48" s="15">
        <v>0</v>
      </c>
      <c r="EA48" s="17">
        <v>0</v>
      </c>
      <c r="EB48" s="15">
        <v>0</v>
      </c>
      <c r="EC48" s="15">
        <v>0</v>
      </c>
      <c r="ED48" s="17">
        <v>0</v>
      </c>
      <c r="EE48" s="15">
        <v>0</v>
      </c>
      <c r="EF48" s="15">
        <v>0</v>
      </c>
      <c r="EG48" s="17">
        <v>0</v>
      </c>
      <c r="EH48" s="15">
        <v>0</v>
      </c>
      <c r="EI48" s="15">
        <v>0</v>
      </c>
      <c r="EJ48" s="17">
        <v>0</v>
      </c>
      <c r="EK48" s="15">
        <v>0</v>
      </c>
      <c r="EL48" s="15">
        <v>0</v>
      </c>
      <c r="EM48" s="17">
        <v>0</v>
      </c>
      <c r="EN48" s="15">
        <v>0</v>
      </c>
      <c r="EO48" s="15">
        <v>0</v>
      </c>
      <c r="EP48" s="17">
        <v>0</v>
      </c>
      <c r="EQ48" s="15">
        <v>0</v>
      </c>
      <c r="ER48" s="15">
        <v>0</v>
      </c>
      <c r="ES48" s="17">
        <v>0</v>
      </c>
      <c r="ET48" s="15">
        <v>0</v>
      </c>
      <c r="EU48" s="15">
        <v>0</v>
      </c>
      <c r="EV48" s="17">
        <v>0</v>
      </c>
      <c r="EW48" s="15">
        <v>0</v>
      </c>
      <c r="EX48" s="15">
        <v>0</v>
      </c>
      <c r="EY48" s="17">
        <v>0</v>
      </c>
      <c r="EZ48" s="15">
        <v>0</v>
      </c>
      <c r="FA48" s="15">
        <v>0</v>
      </c>
      <c r="FB48" s="17">
        <v>0</v>
      </c>
      <c r="FC48" s="15">
        <v>0</v>
      </c>
      <c r="FD48" s="15">
        <v>0</v>
      </c>
      <c r="FE48" s="17">
        <v>0</v>
      </c>
      <c r="FF48" s="15">
        <v>0</v>
      </c>
      <c r="FG48" s="15">
        <v>0</v>
      </c>
      <c r="FH48" s="17">
        <v>0</v>
      </c>
      <c r="FI48" s="15">
        <v>0</v>
      </c>
      <c r="FJ48" s="15">
        <v>0</v>
      </c>
      <c r="FK48" s="17">
        <v>0</v>
      </c>
      <c r="FL48" s="15">
        <v>0</v>
      </c>
      <c r="FM48" s="15">
        <v>0</v>
      </c>
      <c r="FN48" s="17">
        <v>0</v>
      </c>
      <c r="FO48" s="640"/>
      <c r="FP48" s="531"/>
      <c r="FQ48" s="531"/>
      <c r="FR48" s="531"/>
      <c r="FS48" s="531"/>
      <c r="FT48" s="531"/>
      <c r="FU48" s="640"/>
      <c r="FV48" s="531"/>
      <c r="FW48" s="531"/>
      <c r="FX48" s="531"/>
      <c r="FY48" s="531"/>
      <c r="FZ48" s="531"/>
    </row>
    <row r="49" spans="1:182" ht="12.75">
      <c r="A49" s="40">
        <v>43880</v>
      </c>
      <c r="B49" s="14">
        <f t="shared" ref="B49:D49" si="44">SUM(I49,AM49)</f>
        <v>1</v>
      </c>
      <c r="C49" s="15">
        <f t="shared" si="44"/>
        <v>0</v>
      </c>
      <c r="D49" s="15">
        <f t="shared" si="44"/>
        <v>0</v>
      </c>
      <c r="E49" s="350">
        <f t="shared" si="1"/>
        <v>1</v>
      </c>
      <c r="F49" s="18">
        <v>0</v>
      </c>
      <c r="G49" s="18">
        <v>0</v>
      </c>
      <c r="H49" s="317">
        <v>0</v>
      </c>
      <c r="I49" s="18">
        <v>0</v>
      </c>
      <c r="J49" s="18">
        <v>0</v>
      </c>
      <c r="K49" s="317">
        <v>0</v>
      </c>
      <c r="L49" s="18">
        <v>0</v>
      </c>
      <c r="M49" s="18">
        <v>0</v>
      </c>
      <c r="N49" s="317">
        <v>0</v>
      </c>
      <c r="O49" s="18">
        <v>0</v>
      </c>
      <c r="P49" s="18">
        <v>0</v>
      </c>
      <c r="Q49" s="317">
        <v>0</v>
      </c>
      <c r="R49" s="18">
        <v>0</v>
      </c>
      <c r="S49" s="18">
        <v>0</v>
      </c>
      <c r="T49" s="317">
        <v>0</v>
      </c>
      <c r="U49" s="18">
        <v>0</v>
      </c>
      <c r="V49" s="18">
        <v>0</v>
      </c>
      <c r="W49" s="317">
        <v>0</v>
      </c>
      <c r="X49" s="18">
        <v>0</v>
      </c>
      <c r="Y49" s="18">
        <v>0</v>
      </c>
      <c r="Z49" s="317">
        <v>0</v>
      </c>
      <c r="AA49" s="18">
        <v>0</v>
      </c>
      <c r="AB49" s="18">
        <v>0</v>
      </c>
      <c r="AC49" s="317">
        <v>0</v>
      </c>
      <c r="AD49" s="18">
        <v>0</v>
      </c>
      <c r="AE49" s="18">
        <v>0</v>
      </c>
      <c r="AF49" s="317">
        <v>0</v>
      </c>
      <c r="AG49" s="18">
        <v>0</v>
      </c>
      <c r="AH49" s="18">
        <v>0</v>
      </c>
      <c r="AI49" s="317">
        <v>0</v>
      </c>
      <c r="AJ49" s="18">
        <v>0</v>
      </c>
      <c r="AK49" s="18">
        <v>0</v>
      </c>
      <c r="AL49" s="317">
        <v>0</v>
      </c>
      <c r="AM49" s="105">
        <v>1</v>
      </c>
      <c r="AN49" s="18">
        <v>0</v>
      </c>
      <c r="AO49" s="317">
        <v>0</v>
      </c>
      <c r="AP49" s="18">
        <v>0</v>
      </c>
      <c r="AQ49" s="18">
        <v>0</v>
      </c>
      <c r="AR49" s="317">
        <v>0</v>
      </c>
      <c r="AS49" s="18">
        <v>0</v>
      </c>
      <c r="AT49" s="18">
        <v>0</v>
      </c>
      <c r="AU49" s="317">
        <v>0</v>
      </c>
      <c r="AV49" s="18">
        <v>0</v>
      </c>
      <c r="AW49" s="18">
        <v>0</v>
      </c>
      <c r="AX49" s="317">
        <v>0</v>
      </c>
      <c r="AY49" s="18">
        <v>0</v>
      </c>
      <c r="AZ49" s="18">
        <v>0</v>
      </c>
      <c r="BA49" s="317">
        <v>0</v>
      </c>
      <c r="BB49" s="18">
        <v>0</v>
      </c>
      <c r="BC49" s="18">
        <v>0</v>
      </c>
      <c r="BD49" s="317">
        <v>0</v>
      </c>
      <c r="BE49" s="18">
        <v>0</v>
      </c>
      <c r="BF49" s="18">
        <v>0</v>
      </c>
      <c r="BG49" s="317">
        <v>0</v>
      </c>
      <c r="BH49" s="18">
        <v>0</v>
      </c>
      <c r="BI49" s="18">
        <v>0</v>
      </c>
      <c r="BJ49" s="317">
        <v>0</v>
      </c>
      <c r="BK49" s="18">
        <v>0</v>
      </c>
      <c r="BL49" s="18">
        <v>0</v>
      </c>
      <c r="BM49" s="317">
        <v>0</v>
      </c>
      <c r="BN49" s="18">
        <v>0</v>
      </c>
      <c r="BO49" s="18">
        <v>0</v>
      </c>
      <c r="BP49" s="317">
        <v>0</v>
      </c>
      <c r="BQ49" s="18">
        <v>0</v>
      </c>
      <c r="BR49" s="18">
        <v>0</v>
      </c>
      <c r="BS49" s="317">
        <v>0</v>
      </c>
      <c r="BT49" s="18">
        <v>0</v>
      </c>
      <c r="BU49" s="18">
        <v>0</v>
      </c>
      <c r="BV49" s="317">
        <v>0</v>
      </c>
      <c r="BW49" s="18">
        <v>0</v>
      </c>
      <c r="BX49" s="18">
        <v>0</v>
      </c>
      <c r="BY49" s="317">
        <v>0</v>
      </c>
      <c r="BZ49" s="18">
        <v>0</v>
      </c>
      <c r="CA49" s="18">
        <v>0</v>
      </c>
      <c r="CB49" s="317">
        <v>0</v>
      </c>
      <c r="CC49" s="18">
        <v>0</v>
      </c>
      <c r="CD49" s="18">
        <v>0</v>
      </c>
      <c r="CE49" s="317">
        <v>0</v>
      </c>
      <c r="CF49" s="18">
        <v>0</v>
      </c>
      <c r="CG49" s="18">
        <v>0</v>
      </c>
      <c r="CH49" s="317">
        <v>0</v>
      </c>
      <c r="CI49" s="18">
        <v>0</v>
      </c>
      <c r="CJ49" s="18">
        <v>0</v>
      </c>
      <c r="CK49" s="317">
        <v>0</v>
      </c>
      <c r="CL49" s="18">
        <v>0</v>
      </c>
      <c r="CM49" s="18">
        <v>0</v>
      </c>
      <c r="CN49" s="317">
        <v>0</v>
      </c>
      <c r="CO49" s="18">
        <v>0</v>
      </c>
      <c r="CP49" s="18">
        <v>0</v>
      </c>
      <c r="CQ49" s="317">
        <v>0</v>
      </c>
      <c r="CR49" s="18">
        <v>0</v>
      </c>
      <c r="CS49" s="18">
        <v>0</v>
      </c>
      <c r="CT49" s="317">
        <v>0</v>
      </c>
      <c r="CU49" s="18">
        <v>0</v>
      </c>
      <c r="CV49" s="18">
        <v>0</v>
      </c>
      <c r="CW49" s="317">
        <v>0</v>
      </c>
      <c r="CX49" s="18">
        <v>0</v>
      </c>
      <c r="CY49" s="18">
        <v>0</v>
      </c>
      <c r="CZ49" s="317">
        <v>0</v>
      </c>
      <c r="DA49" s="18">
        <v>0</v>
      </c>
      <c r="DB49" s="18">
        <v>0</v>
      </c>
      <c r="DC49" s="317">
        <v>0</v>
      </c>
      <c r="DD49" s="18">
        <v>0</v>
      </c>
      <c r="DE49" s="18">
        <v>0</v>
      </c>
      <c r="DF49" s="317">
        <v>0</v>
      </c>
      <c r="DG49" s="18">
        <v>0</v>
      </c>
      <c r="DH49" s="18">
        <v>0</v>
      </c>
      <c r="DI49" s="317">
        <v>0</v>
      </c>
      <c r="DJ49" s="18">
        <v>0</v>
      </c>
      <c r="DK49" s="18">
        <v>0</v>
      </c>
      <c r="DL49" s="317">
        <v>0</v>
      </c>
      <c r="DM49" s="18">
        <v>0</v>
      </c>
      <c r="DN49" s="18">
        <v>0</v>
      </c>
      <c r="DO49" s="317">
        <v>0</v>
      </c>
      <c r="DP49" s="18">
        <v>0</v>
      </c>
      <c r="DQ49" s="18">
        <v>0</v>
      </c>
      <c r="DR49" s="317">
        <v>0</v>
      </c>
      <c r="DS49" s="18">
        <v>0</v>
      </c>
      <c r="DT49" s="18">
        <v>0</v>
      </c>
      <c r="DU49" s="317">
        <v>0</v>
      </c>
      <c r="DV49" s="18">
        <v>0</v>
      </c>
      <c r="DW49" s="18">
        <v>0</v>
      </c>
      <c r="DX49" s="317">
        <v>0</v>
      </c>
      <c r="DY49" s="18">
        <v>0</v>
      </c>
      <c r="DZ49" s="18">
        <v>0</v>
      </c>
      <c r="EA49" s="317">
        <v>0</v>
      </c>
      <c r="EB49" s="18">
        <v>0</v>
      </c>
      <c r="EC49" s="18">
        <v>0</v>
      </c>
      <c r="ED49" s="317">
        <v>0</v>
      </c>
      <c r="EE49" s="18">
        <v>0</v>
      </c>
      <c r="EF49" s="18">
        <v>0</v>
      </c>
      <c r="EG49" s="317">
        <v>0</v>
      </c>
      <c r="EH49" s="18">
        <v>0</v>
      </c>
      <c r="EI49" s="18">
        <v>0</v>
      </c>
      <c r="EJ49" s="317">
        <v>0</v>
      </c>
      <c r="EK49" s="18">
        <v>0</v>
      </c>
      <c r="EL49" s="18">
        <v>0</v>
      </c>
      <c r="EM49" s="317">
        <v>0</v>
      </c>
      <c r="EN49" s="18">
        <v>0</v>
      </c>
      <c r="EO49" s="18">
        <v>0</v>
      </c>
      <c r="EP49" s="317">
        <v>0</v>
      </c>
      <c r="EQ49" s="18">
        <v>0</v>
      </c>
      <c r="ER49" s="18">
        <v>0</v>
      </c>
      <c r="ES49" s="317">
        <v>0</v>
      </c>
      <c r="ET49" s="18">
        <v>0</v>
      </c>
      <c r="EU49" s="18">
        <v>0</v>
      </c>
      <c r="EV49" s="317">
        <v>0</v>
      </c>
      <c r="EW49" s="18">
        <v>0</v>
      </c>
      <c r="EX49" s="18">
        <v>0</v>
      </c>
      <c r="EY49" s="317">
        <v>0</v>
      </c>
      <c r="EZ49" s="18">
        <v>0</v>
      </c>
      <c r="FA49" s="18">
        <v>0</v>
      </c>
      <c r="FB49" s="317">
        <v>0</v>
      </c>
      <c r="FC49" s="18">
        <v>0</v>
      </c>
      <c r="FD49" s="18">
        <v>0</v>
      </c>
      <c r="FE49" s="317">
        <v>0</v>
      </c>
      <c r="FF49" s="18">
        <v>0</v>
      </c>
      <c r="FG49" s="18">
        <v>0</v>
      </c>
      <c r="FH49" s="317">
        <v>0</v>
      </c>
      <c r="FI49" s="18">
        <v>0</v>
      </c>
      <c r="FJ49" s="18">
        <v>0</v>
      </c>
      <c r="FK49" s="317">
        <v>0</v>
      </c>
      <c r="FL49" s="18">
        <v>0</v>
      </c>
      <c r="FM49" s="18">
        <v>0</v>
      </c>
      <c r="FN49" s="317">
        <v>0</v>
      </c>
      <c r="FO49" s="640"/>
      <c r="FP49" s="531"/>
      <c r="FQ49" s="531"/>
      <c r="FR49" s="531"/>
      <c r="FS49" s="531"/>
      <c r="FT49" s="531"/>
      <c r="FU49" s="640"/>
      <c r="FV49" s="531"/>
      <c r="FW49" s="531"/>
      <c r="FX49" s="531"/>
      <c r="FY49" s="531"/>
      <c r="FZ49" s="531"/>
    </row>
    <row r="50" spans="1:182" ht="12.75">
      <c r="A50" s="40">
        <v>43881</v>
      </c>
      <c r="B50" s="14">
        <f t="shared" ref="B50:D50" si="45">SUM(I50,AM50)</f>
        <v>1</v>
      </c>
      <c r="C50" s="15">
        <f t="shared" si="45"/>
        <v>0</v>
      </c>
      <c r="D50" s="15">
        <f t="shared" si="45"/>
        <v>0</v>
      </c>
      <c r="E50" s="350">
        <f t="shared" si="1"/>
        <v>1</v>
      </c>
      <c r="F50" s="15">
        <v>0</v>
      </c>
      <c r="G50" s="15">
        <v>0</v>
      </c>
      <c r="H50" s="17">
        <v>0</v>
      </c>
      <c r="I50" s="15">
        <v>0</v>
      </c>
      <c r="J50" s="15">
        <v>0</v>
      </c>
      <c r="K50" s="17">
        <v>0</v>
      </c>
      <c r="L50" s="15">
        <v>0</v>
      </c>
      <c r="M50" s="15">
        <v>0</v>
      </c>
      <c r="N50" s="17">
        <v>0</v>
      </c>
      <c r="O50" s="15">
        <v>0</v>
      </c>
      <c r="P50" s="15">
        <v>0</v>
      </c>
      <c r="Q50" s="17">
        <v>0</v>
      </c>
      <c r="R50" s="15">
        <v>0</v>
      </c>
      <c r="S50" s="15">
        <v>0</v>
      </c>
      <c r="T50" s="17">
        <v>0</v>
      </c>
      <c r="U50" s="15">
        <v>0</v>
      </c>
      <c r="V50" s="15">
        <v>0</v>
      </c>
      <c r="W50" s="17">
        <v>0</v>
      </c>
      <c r="X50" s="15">
        <v>0</v>
      </c>
      <c r="Y50" s="15">
        <v>0</v>
      </c>
      <c r="Z50" s="17">
        <v>0</v>
      </c>
      <c r="AA50" s="15">
        <v>0</v>
      </c>
      <c r="AB50" s="15">
        <v>0</v>
      </c>
      <c r="AC50" s="17">
        <v>0</v>
      </c>
      <c r="AD50" s="15">
        <v>0</v>
      </c>
      <c r="AE50" s="15">
        <v>0</v>
      </c>
      <c r="AF50" s="17">
        <v>0</v>
      </c>
      <c r="AG50" s="15">
        <v>0</v>
      </c>
      <c r="AH50" s="15">
        <v>0</v>
      </c>
      <c r="AI50" s="17">
        <v>0</v>
      </c>
      <c r="AJ50" s="15">
        <v>0</v>
      </c>
      <c r="AK50" s="15">
        <v>0</v>
      </c>
      <c r="AL50" s="17">
        <v>0</v>
      </c>
      <c r="AM50" s="105">
        <v>1</v>
      </c>
      <c r="AN50" s="15">
        <v>0</v>
      </c>
      <c r="AO50" s="17">
        <v>0</v>
      </c>
      <c r="AP50" s="15">
        <v>0</v>
      </c>
      <c r="AQ50" s="15">
        <v>0</v>
      </c>
      <c r="AR50" s="17">
        <v>0</v>
      </c>
      <c r="AS50" s="15">
        <v>0</v>
      </c>
      <c r="AT50" s="15">
        <v>0</v>
      </c>
      <c r="AU50" s="17">
        <v>0</v>
      </c>
      <c r="AV50" s="15">
        <v>0</v>
      </c>
      <c r="AW50" s="15">
        <v>0</v>
      </c>
      <c r="AX50" s="17">
        <v>0</v>
      </c>
      <c r="AY50" s="15">
        <v>0</v>
      </c>
      <c r="AZ50" s="15">
        <v>0</v>
      </c>
      <c r="BA50" s="17">
        <v>0</v>
      </c>
      <c r="BB50" s="15">
        <v>0</v>
      </c>
      <c r="BC50" s="15">
        <v>0</v>
      </c>
      <c r="BD50" s="17">
        <v>0</v>
      </c>
      <c r="BE50" s="15">
        <v>0</v>
      </c>
      <c r="BF50" s="15">
        <v>0</v>
      </c>
      <c r="BG50" s="17">
        <v>0</v>
      </c>
      <c r="BH50" s="15">
        <v>0</v>
      </c>
      <c r="BI50" s="15">
        <v>0</v>
      </c>
      <c r="BJ50" s="17">
        <v>0</v>
      </c>
      <c r="BK50" s="15">
        <v>0</v>
      </c>
      <c r="BL50" s="15">
        <v>0</v>
      </c>
      <c r="BM50" s="17">
        <v>0</v>
      </c>
      <c r="BN50" s="15">
        <v>0</v>
      </c>
      <c r="BO50" s="15">
        <v>0</v>
      </c>
      <c r="BP50" s="17">
        <v>0</v>
      </c>
      <c r="BQ50" s="15">
        <v>0</v>
      </c>
      <c r="BR50" s="15">
        <v>0</v>
      </c>
      <c r="BS50" s="17">
        <v>0</v>
      </c>
      <c r="BT50" s="15">
        <v>0</v>
      </c>
      <c r="BU50" s="15">
        <v>0</v>
      </c>
      <c r="BV50" s="17">
        <v>0</v>
      </c>
      <c r="BW50" s="15">
        <v>0</v>
      </c>
      <c r="BX50" s="15">
        <v>0</v>
      </c>
      <c r="BY50" s="17">
        <v>0</v>
      </c>
      <c r="BZ50" s="15">
        <v>0</v>
      </c>
      <c r="CA50" s="15">
        <v>0</v>
      </c>
      <c r="CB50" s="17">
        <v>0</v>
      </c>
      <c r="CC50" s="15">
        <v>0</v>
      </c>
      <c r="CD50" s="15">
        <v>0</v>
      </c>
      <c r="CE50" s="17">
        <v>0</v>
      </c>
      <c r="CF50" s="15">
        <v>0</v>
      </c>
      <c r="CG50" s="15">
        <v>0</v>
      </c>
      <c r="CH50" s="17">
        <v>0</v>
      </c>
      <c r="CI50" s="15">
        <v>0</v>
      </c>
      <c r="CJ50" s="15">
        <v>0</v>
      </c>
      <c r="CK50" s="17">
        <v>0</v>
      </c>
      <c r="CL50" s="15">
        <v>0</v>
      </c>
      <c r="CM50" s="15">
        <v>0</v>
      </c>
      <c r="CN50" s="17">
        <v>0</v>
      </c>
      <c r="CO50" s="15">
        <v>0</v>
      </c>
      <c r="CP50" s="15">
        <v>0</v>
      </c>
      <c r="CQ50" s="17">
        <v>0</v>
      </c>
      <c r="CR50" s="15">
        <v>0</v>
      </c>
      <c r="CS50" s="15">
        <v>0</v>
      </c>
      <c r="CT50" s="17">
        <v>0</v>
      </c>
      <c r="CU50" s="15">
        <v>0</v>
      </c>
      <c r="CV50" s="15">
        <v>0</v>
      </c>
      <c r="CW50" s="17">
        <v>0</v>
      </c>
      <c r="CX50" s="15">
        <v>0</v>
      </c>
      <c r="CY50" s="15">
        <v>0</v>
      </c>
      <c r="CZ50" s="17">
        <v>0</v>
      </c>
      <c r="DA50" s="15">
        <v>0</v>
      </c>
      <c r="DB50" s="15">
        <v>0</v>
      </c>
      <c r="DC50" s="17">
        <v>0</v>
      </c>
      <c r="DD50" s="15">
        <v>0</v>
      </c>
      <c r="DE50" s="15">
        <v>0</v>
      </c>
      <c r="DF50" s="17">
        <v>0</v>
      </c>
      <c r="DG50" s="15">
        <v>0</v>
      </c>
      <c r="DH50" s="15">
        <v>0</v>
      </c>
      <c r="DI50" s="17">
        <v>0</v>
      </c>
      <c r="DJ50" s="15">
        <v>0</v>
      </c>
      <c r="DK50" s="15">
        <v>0</v>
      </c>
      <c r="DL50" s="17">
        <v>0</v>
      </c>
      <c r="DM50" s="15">
        <v>0</v>
      </c>
      <c r="DN50" s="15">
        <v>0</v>
      </c>
      <c r="DO50" s="17">
        <v>0</v>
      </c>
      <c r="DP50" s="15">
        <v>0</v>
      </c>
      <c r="DQ50" s="15">
        <v>0</v>
      </c>
      <c r="DR50" s="17">
        <v>0</v>
      </c>
      <c r="DS50" s="15">
        <v>0</v>
      </c>
      <c r="DT50" s="15">
        <v>0</v>
      </c>
      <c r="DU50" s="17">
        <v>0</v>
      </c>
      <c r="DV50" s="15">
        <v>0</v>
      </c>
      <c r="DW50" s="15">
        <v>0</v>
      </c>
      <c r="DX50" s="17">
        <v>0</v>
      </c>
      <c r="DY50" s="15">
        <v>0</v>
      </c>
      <c r="DZ50" s="15">
        <v>0</v>
      </c>
      <c r="EA50" s="17">
        <v>0</v>
      </c>
      <c r="EB50" s="15">
        <v>0</v>
      </c>
      <c r="EC50" s="15">
        <v>0</v>
      </c>
      <c r="ED50" s="17">
        <v>0</v>
      </c>
      <c r="EE50" s="15">
        <v>0</v>
      </c>
      <c r="EF50" s="15">
        <v>0</v>
      </c>
      <c r="EG50" s="17">
        <v>0</v>
      </c>
      <c r="EH50" s="15">
        <v>0</v>
      </c>
      <c r="EI50" s="15">
        <v>0</v>
      </c>
      <c r="EJ50" s="17">
        <v>0</v>
      </c>
      <c r="EK50" s="15">
        <v>0</v>
      </c>
      <c r="EL50" s="15">
        <v>0</v>
      </c>
      <c r="EM50" s="17">
        <v>0</v>
      </c>
      <c r="EN50" s="15">
        <v>0</v>
      </c>
      <c r="EO50" s="15">
        <v>0</v>
      </c>
      <c r="EP50" s="17">
        <v>0</v>
      </c>
      <c r="EQ50" s="15">
        <v>0</v>
      </c>
      <c r="ER50" s="15">
        <v>0</v>
      </c>
      <c r="ES50" s="17">
        <v>0</v>
      </c>
      <c r="ET50" s="15">
        <v>0</v>
      </c>
      <c r="EU50" s="15">
        <v>0</v>
      </c>
      <c r="EV50" s="17">
        <v>0</v>
      </c>
      <c r="EW50" s="15">
        <v>0</v>
      </c>
      <c r="EX50" s="15">
        <v>0</v>
      </c>
      <c r="EY50" s="17">
        <v>0</v>
      </c>
      <c r="EZ50" s="15">
        <v>0</v>
      </c>
      <c r="FA50" s="15">
        <v>0</v>
      </c>
      <c r="FB50" s="17">
        <v>0</v>
      </c>
      <c r="FC50" s="15">
        <v>0</v>
      </c>
      <c r="FD50" s="15">
        <v>0</v>
      </c>
      <c r="FE50" s="17">
        <v>0</v>
      </c>
      <c r="FF50" s="15">
        <v>0</v>
      </c>
      <c r="FG50" s="15">
        <v>0</v>
      </c>
      <c r="FH50" s="17">
        <v>0</v>
      </c>
      <c r="FI50" s="15">
        <v>0</v>
      </c>
      <c r="FJ50" s="15">
        <v>0</v>
      </c>
      <c r="FK50" s="17">
        <v>0</v>
      </c>
      <c r="FL50" s="15">
        <v>0</v>
      </c>
      <c r="FM50" s="15">
        <v>0</v>
      </c>
      <c r="FN50" s="17">
        <v>0</v>
      </c>
      <c r="FO50" s="640"/>
      <c r="FP50" s="531"/>
      <c r="FQ50" s="531"/>
      <c r="FR50" s="531"/>
      <c r="FS50" s="531"/>
      <c r="FT50" s="531"/>
      <c r="FU50" s="640"/>
      <c r="FV50" s="531"/>
      <c r="FW50" s="531"/>
      <c r="FX50" s="531"/>
      <c r="FY50" s="531"/>
      <c r="FZ50" s="531"/>
    </row>
    <row r="51" spans="1:182" ht="12.75">
      <c r="A51" s="40">
        <v>43882</v>
      </c>
      <c r="B51" s="14">
        <f t="shared" ref="B51:D51" si="46">SUM(I51,AM51)</f>
        <v>1</v>
      </c>
      <c r="C51" s="15">
        <f t="shared" si="46"/>
        <v>0</v>
      </c>
      <c r="D51" s="15">
        <f t="shared" si="46"/>
        <v>0</v>
      </c>
      <c r="E51" s="350">
        <f t="shared" si="1"/>
        <v>1</v>
      </c>
      <c r="F51" s="18">
        <v>0</v>
      </c>
      <c r="G51" s="18">
        <v>0</v>
      </c>
      <c r="H51" s="317">
        <v>0</v>
      </c>
      <c r="I51" s="18">
        <v>0</v>
      </c>
      <c r="J51" s="18">
        <v>0</v>
      </c>
      <c r="K51" s="317">
        <v>0</v>
      </c>
      <c r="L51" s="18">
        <v>0</v>
      </c>
      <c r="M51" s="18">
        <v>0</v>
      </c>
      <c r="N51" s="317">
        <v>0</v>
      </c>
      <c r="O51" s="18">
        <v>0</v>
      </c>
      <c r="P51" s="18">
        <v>0</v>
      </c>
      <c r="Q51" s="317">
        <v>0</v>
      </c>
      <c r="R51" s="18">
        <v>0</v>
      </c>
      <c r="S51" s="18">
        <v>0</v>
      </c>
      <c r="T51" s="317">
        <v>0</v>
      </c>
      <c r="U51" s="18">
        <v>0</v>
      </c>
      <c r="V51" s="18">
        <v>0</v>
      </c>
      <c r="W51" s="317">
        <v>0</v>
      </c>
      <c r="X51" s="18">
        <v>0</v>
      </c>
      <c r="Y51" s="18">
        <v>0</v>
      </c>
      <c r="Z51" s="317">
        <v>0</v>
      </c>
      <c r="AA51" s="18">
        <v>0</v>
      </c>
      <c r="AB51" s="18">
        <v>0</v>
      </c>
      <c r="AC51" s="317">
        <v>0</v>
      </c>
      <c r="AD51" s="18">
        <v>0</v>
      </c>
      <c r="AE51" s="18">
        <v>0</v>
      </c>
      <c r="AF51" s="317">
        <v>0</v>
      </c>
      <c r="AG51" s="18">
        <v>0</v>
      </c>
      <c r="AH51" s="18">
        <v>0</v>
      </c>
      <c r="AI51" s="317">
        <v>0</v>
      </c>
      <c r="AJ51" s="18">
        <v>0</v>
      </c>
      <c r="AK51" s="18">
        <v>0</v>
      </c>
      <c r="AL51" s="317">
        <v>0</v>
      </c>
      <c r="AM51" s="105">
        <v>1</v>
      </c>
      <c r="AN51" s="18">
        <v>0</v>
      </c>
      <c r="AO51" s="317">
        <v>0</v>
      </c>
      <c r="AP51" s="18">
        <v>0</v>
      </c>
      <c r="AQ51" s="18">
        <v>0</v>
      </c>
      <c r="AR51" s="317">
        <v>0</v>
      </c>
      <c r="AS51" s="18">
        <v>0</v>
      </c>
      <c r="AT51" s="18">
        <v>0</v>
      </c>
      <c r="AU51" s="317">
        <v>0</v>
      </c>
      <c r="AV51" s="18">
        <v>0</v>
      </c>
      <c r="AW51" s="18">
        <v>0</v>
      </c>
      <c r="AX51" s="317">
        <v>0</v>
      </c>
      <c r="AY51" s="18">
        <v>0</v>
      </c>
      <c r="AZ51" s="18">
        <v>0</v>
      </c>
      <c r="BA51" s="317">
        <v>0</v>
      </c>
      <c r="BB51" s="18">
        <v>0</v>
      </c>
      <c r="BC51" s="18">
        <v>0</v>
      </c>
      <c r="BD51" s="317">
        <v>0</v>
      </c>
      <c r="BE51" s="18">
        <v>0</v>
      </c>
      <c r="BF51" s="18">
        <v>0</v>
      </c>
      <c r="BG51" s="317">
        <v>0</v>
      </c>
      <c r="BH51" s="18">
        <v>0</v>
      </c>
      <c r="BI51" s="18">
        <v>0</v>
      </c>
      <c r="BJ51" s="317">
        <v>0</v>
      </c>
      <c r="BK51" s="18">
        <v>0</v>
      </c>
      <c r="BL51" s="18">
        <v>0</v>
      </c>
      <c r="BM51" s="317">
        <v>0</v>
      </c>
      <c r="BN51" s="18">
        <v>0</v>
      </c>
      <c r="BO51" s="18">
        <v>0</v>
      </c>
      <c r="BP51" s="317">
        <v>0</v>
      </c>
      <c r="BQ51" s="18">
        <v>0</v>
      </c>
      <c r="BR51" s="18">
        <v>0</v>
      </c>
      <c r="BS51" s="317">
        <v>0</v>
      </c>
      <c r="BT51" s="18">
        <v>0</v>
      </c>
      <c r="BU51" s="18">
        <v>0</v>
      </c>
      <c r="BV51" s="317">
        <v>0</v>
      </c>
      <c r="BW51" s="18">
        <v>0</v>
      </c>
      <c r="BX51" s="18">
        <v>0</v>
      </c>
      <c r="BY51" s="317">
        <v>0</v>
      </c>
      <c r="BZ51" s="18">
        <v>0</v>
      </c>
      <c r="CA51" s="18">
        <v>0</v>
      </c>
      <c r="CB51" s="317">
        <v>0</v>
      </c>
      <c r="CC51" s="18">
        <v>0</v>
      </c>
      <c r="CD51" s="18">
        <v>0</v>
      </c>
      <c r="CE51" s="317">
        <v>0</v>
      </c>
      <c r="CF51" s="18">
        <v>0</v>
      </c>
      <c r="CG51" s="18">
        <v>0</v>
      </c>
      <c r="CH51" s="317">
        <v>0</v>
      </c>
      <c r="CI51" s="18">
        <v>0</v>
      </c>
      <c r="CJ51" s="18">
        <v>0</v>
      </c>
      <c r="CK51" s="317">
        <v>0</v>
      </c>
      <c r="CL51" s="18">
        <v>0</v>
      </c>
      <c r="CM51" s="18">
        <v>0</v>
      </c>
      <c r="CN51" s="317">
        <v>0</v>
      </c>
      <c r="CO51" s="18">
        <v>0</v>
      </c>
      <c r="CP51" s="18">
        <v>0</v>
      </c>
      <c r="CQ51" s="317">
        <v>0</v>
      </c>
      <c r="CR51" s="18">
        <v>0</v>
      </c>
      <c r="CS51" s="18">
        <v>0</v>
      </c>
      <c r="CT51" s="317">
        <v>0</v>
      </c>
      <c r="CU51" s="18">
        <v>0</v>
      </c>
      <c r="CV51" s="18">
        <v>0</v>
      </c>
      <c r="CW51" s="317">
        <v>0</v>
      </c>
      <c r="CX51" s="18">
        <v>0</v>
      </c>
      <c r="CY51" s="18">
        <v>0</v>
      </c>
      <c r="CZ51" s="317">
        <v>0</v>
      </c>
      <c r="DA51" s="18">
        <v>0</v>
      </c>
      <c r="DB51" s="18">
        <v>0</v>
      </c>
      <c r="DC51" s="317">
        <v>0</v>
      </c>
      <c r="DD51" s="18">
        <v>0</v>
      </c>
      <c r="DE51" s="18">
        <v>0</v>
      </c>
      <c r="DF51" s="317">
        <v>0</v>
      </c>
      <c r="DG51" s="18">
        <v>0</v>
      </c>
      <c r="DH51" s="18">
        <v>0</v>
      </c>
      <c r="DI51" s="317">
        <v>0</v>
      </c>
      <c r="DJ51" s="18">
        <v>0</v>
      </c>
      <c r="DK51" s="18">
        <v>0</v>
      </c>
      <c r="DL51" s="317">
        <v>0</v>
      </c>
      <c r="DM51" s="18">
        <v>0</v>
      </c>
      <c r="DN51" s="18">
        <v>0</v>
      </c>
      <c r="DO51" s="317">
        <v>0</v>
      </c>
      <c r="DP51" s="18">
        <v>0</v>
      </c>
      <c r="DQ51" s="18">
        <v>0</v>
      </c>
      <c r="DR51" s="317">
        <v>0</v>
      </c>
      <c r="DS51" s="18">
        <v>0</v>
      </c>
      <c r="DT51" s="18">
        <v>0</v>
      </c>
      <c r="DU51" s="317">
        <v>0</v>
      </c>
      <c r="DV51" s="18">
        <v>0</v>
      </c>
      <c r="DW51" s="18">
        <v>0</v>
      </c>
      <c r="DX51" s="317">
        <v>0</v>
      </c>
      <c r="DY51" s="18">
        <v>0</v>
      </c>
      <c r="DZ51" s="18">
        <v>0</v>
      </c>
      <c r="EA51" s="317">
        <v>0</v>
      </c>
      <c r="EB51" s="18">
        <v>0</v>
      </c>
      <c r="EC51" s="18">
        <v>0</v>
      </c>
      <c r="ED51" s="317">
        <v>0</v>
      </c>
      <c r="EE51" s="18">
        <v>0</v>
      </c>
      <c r="EF51" s="18">
        <v>0</v>
      </c>
      <c r="EG51" s="317">
        <v>0</v>
      </c>
      <c r="EH51" s="18">
        <v>0</v>
      </c>
      <c r="EI51" s="18">
        <v>0</v>
      </c>
      <c r="EJ51" s="317">
        <v>0</v>
      </c>
      <c r="EK51" s="18">
        <v>0</v>
      </c>
      <c r="EL51" s="18">
        <v>0</v>
      </c>
      <c r="EM51" s="317">
        <v>0</v>
      </c>
      <c r="EN51" s="18">
        <v>0</v>
      </c>
      <c r="EO51" s="18">
        <v>0</v>
      </c>
      <c r="EP51" s="317">
        <v>0</v>
      </c>
      <c r="EQ51" s="18">
        <v>0</v>
      </c>
      <c r="ER51" s="18">
        <v>0</v>
      </c>
      <c r="ES51" s="317">
        <v>0</v>
      </c>
      <c r="ET51" s="18">
        <v>0</v>
      </c>
      <c r="EU51" s="18">
        <v>0</v>
      </c>
      <c r="EV51" s="317">
        <v>0</v>
      </c>
      <c r="EW51" s="18">
        <v>0</v>
      </c>
      <c r="EX51" s="18">
        <v>0</v>
      </c>
      <c r="EY51" s="317">
        <v>0</v>
      </c>
      <c r="EZ51" s="18">
        <v>0</v>
      </c>
      <c r="FA51" s="18">
        <v>0</v>
      </c>
      <c r="FB51" s="317">
        <v>0</v>
      </c>
      <c r="FC51" s="18">
        <v>0</v>
      </c>
      <c r="FD51" s="18">
        <v>0</v>
      </c>
      <c r="FE51" s="317">
        <v>0</v>
      </c>
      <c r="FF51" s="18">
        <v>0</v>
      </c>
      <c r="FG51" s="18">
        <v>0</v>
      </c>
      <c r="FH51" s="317">
        <v>0</v>
      </c>
      <c r="FI51" s="18">
        <v>0</v>
      </c>
      <c r="FJ51" s="18">
        <v>0</v>
      </c>
      <c r="FK51" s="317">
        <v>0</v>
      </c>
      <c r="FL51" s="18">
        <v>0</v>
      </c>
      <c r="FM51" s="18">
        <v>0</v>
      </c>
      <c r="FN51" s="317">
        <v>0</v>
      </c>
      <c r="FO51" s="640"/>
      <c r="FP51" s="531"/>
      <c r="FQ51" s="531"/>
      <c r="FR51" s="531"/>
      <c r="FS51" s="531"/>
      <c r="FT51" s="531"/>
      <c r="FU51" s="640"/>
      <c r="FV51" s="531"/>
      <c r="FW51" s="531"/>
      <c r="FX51" s="531"/>
      <c r="FY51" s="531"/>
      <c r="FZ51" s="531"/>
    </row>
    <row r="52" spans="1:182" ht="12.75">
      <c r="A52" s="40">
        <v>43883</v>
      </c>
      <c r="B52" s="14">
        <f t="shared" ref="B52:D52" si="47">SUM(I52,AM52)</f>
        <v>1</v>
      </c>
      <c r="C52" s="15">
        <f t="shared" si="47"/>
        <v>0</v>
      </c>
      <c r="D52" s="15">
        <f t="shared" si="47"/>
        <v>0</v>
      </c>
      <c r="E52" s="350">
        <f t="shared" si="1"/>
        <v>1</v>
      </c>
      <c r="F52" s="15">
        <v>0</v>
      </c>
      <c r="G52" s="15">
        <v>0</v>
      </c>
      <c r="H52" s="17">
        <v>0</v>
      </c>
      <c r="I52" s="15">
        <v>0</v>
      </c>
      <c r="J52" s="15">
        <v>0</v>
      </c>
      <c r="K52" s="17">
        <v>0</v>
      </c>
      <c r="L52" s="15">
        <v>0</v>
      </c>
      <c r="M52" s="15">
        <v>0</v>
      </c>
      <c r="N52" s="17">
        <v>0</v>
      </c>
      <c r="O52" s="15">
        <v>0</v>
      </c>
      <c r="P52" s="15">
        <v>0</v>
      </c>
      <c r="Q52" s="17">
        <v>0</v>
      </c>
      <c r="R52" s="15">
        <v>0</v>
      </c>
      <c r="S52" s="15">
        <v>0</v>
      </c>
      <c r="T52" s="17">
        <v>0</v>
      </c>
      <c r="U52" s="15">
        <v>0</v>
      </c>
      <c r="V52" s="15">
        <v>0</v>
      </c>
      <c r="W52" s="17">
        <v>0</v>
      </c>
      <c r="X52" s="15">
        <v>0</v>
      </c>
      <c r="Y52" s="15">
        <v>0</v>
      </c>
      <c r="Z52" s="17">
        <v>0</v>
      </c>
      <c r="AA52" s="15">
        <v>0</v>
      </c>
      <c r="AB52" s="15">
        <v>0</v>
      </c>
      <c r="AC52" s="17">
        <v>0</v>
      </c>
      <c r="AD52" s="15">
        <v>0</v>
      </c>
      <c r="AE52" s="15">
        <v>0</v>
      </c>
      <c r="AF52" s="17">
        <v>0</v>
      </c>
      <c r="AG52" s="15">
        <v>0</v>
      </c>
      <c r="AH52" s="15">
        <v>0</v>
      </c>
      <c r="AI52" s="17">
        <v>0</v>
      </c>
      <c r="AJ52" s="15">
        <v>0</v>
      </c>
      <c r="AK52" s="15">
        <v>0</v>
      </c>
      <c r="AL52" s="17">
        <v>0</v>
      </c>
      <c r="AM52" s="105">
        <v>1</v>
      </c>
      <c r="AN52" s="15">
        <v>0</v>
      </c>
      <c r="AO52" s="17">
        <v>0</v>
      </c>
      <c r="AP52" s="15">
        <v>0</v>
      </c>
      <c r="AQ52" s="15">
        <v>0</v>
      </c>
      <c r="AR52" s="17">
        <v>0</v>
      </c>
      <c r="AS52" s="15">
        <v>0</v>
      </c>
      <c r="AT52" s="15">
        <v>0</v>
      </c>
      <c r="AU52" s="17">
        <v>0</v>
      </c>
      <c r="AV52" s="15">
        <v>0</v>
      </c>
      <c r="AW52" s="15">
        <v>0</v>
      </c>
      <c r="AX52" s="17">
        <v>0</v>
      </c>
      <c r="AY52" s="15">
        <v>0</v>
      </c>
      <c r="AZ52" s="15">
        <v>0</v>
      </c>
      <c r="BA52" s="17">
        <v>0</v>
      </c>
      <c r="BB52" s="15">
        <v>0</v>
      </c>
      <c r="BC52" s="15">
        <v>0</v>
      </c>
      <c r="BD52" s="17">
        <v>0</v>
      </c>
      <c r="BE52" s="15">
        <v>0</v>
      </c>
      <c r="BF52" s="15">
        <v>0</v>
      </c>
      <c r="BG52" s="17">
        <v>0</v>
      </c>
      <c r="BH52" s="15">
        <v>0</v>
      </c>
      <c r="BI52" s="15">
        <v>0</v>
      </c>
      <c r="BJ52" s="17">
        <v>0</v>
      </c>
      <c r="BK52" s="15">
        <v>0</v>
      </c>
      <c r="BL52" s="15">
        <v>0</v>
      </c>
      <c r="BM52" s="17">
        <v>0</v>
      </c>
      <c r="BN52" s="15">
        <v>0</v>
      </c>
      <c r="BO52" s="15">
        <v>0</v>
      </c>
      <c r="BP52" s="17">
        <v>0</v>
      </c>
      <c r="BQ52" s="15">
        <v>0</v>
      </c>
      <c r="BR52" s="15">
        <v>0</v>
      </c>
      <c r="BS52" s="17">
        <v>0</v>
      </c>
      <c r="BT52" s="15">
        <v>0</v>
      </c>
      <c r="BU52" s="15">
        <v>0</v>
      </c>
      <c r="BV52" s="17">
        <v>0</v>
      </c>
      <c r="BW52" s="15">
        <v>0</v>
      </c>
      <c r="BX52" s="15">
        <v>0</v>
      </c>
      <c r="BY52" s="17">
        <v>0</v>
      </c>
      <c r="BZ52" s="15">
        <v>0</v>
      </c>
      <c r="CA52" s="15">
        <v>0</v>
      </c>
      <c r="CB52" s="17">
        <v>0</v>
      </c>
      <c r="CC52" s="15">
        <v>0</v>
      </c>
      <c r="CD52" s="15">
        <v>0</v>
      </c>
      <c r="CE52" s="17">
        <v>0</v>
      </c>
      <c r="CF52" s="15">
        <v>0</v>
      </c>
      <c r="CG52" s="15">
        <v>0</v>
      </c>
      <c r="CH52" s="17">
        <v>0</v>
      </c>
      <c r="CI52" s="15">
        <v>0</v>
      </c>
      <c r="CJ52" s="15">
        <v>0</v>
      </c>
      <c r="CK52" s="17">
        <v>0</v>
      </c>
      <c r="CL52" s="15">
        <v>0</v>
      </c>
      <c r="CM52" s="15">
        <v>0</v>
      </c>
      <c r="CN52" s="17">
        <v>0</v>
      </c>
      <c r="CO52" s="15">
        <v>0</v>
      </c>
      <c r="CP52" s="15">
        <v>0</v>
      </c>
      <c r="CQ52" s="17">
        <v>0</v>
      </c>
      <c r="CR52" s="15">
        <v>0</v>
      </c>
      <c r="CS52" s="15">
        <v>0</v>
      </c>
      <c r="CT52" s="17">
        <v>0</v>
      </c>
      <c r="CU52" s="15">
        <v>0</v>
      </c>
      <c r="CV52" s="15">
        <v>0</v>
      </c>
      <c r="CW52" s="17">
        <v>0</v>
      </c>
      <c r="CX52" s="15">
        <v>0</v>
      </c>
      <c r="CY52" s="15">
        <v>0</v>
      </c>
      <c r="CZ52" s="17">
        <v>0</v>
      </c>
      <c r="DA52" s="15">
        <v>0</v>
      </c>
      <c r="DB52" s="15">
        <v>0</v>
      </c>
      <c r="DC52" s="17">
        <v>0</v>
      </c>
      <c r="DD52" s="15">
        <v>0</v>
      </c>
      <c r="DE52" s="15">
        <v>0</v>
      </c>
      <c r="DF52" s="17">
        <v>0</v>
      </c>
      <c r="DG52" s="15">
        <v>0</v>
      </c>
      <c r="DH52" s="15">
        <v>0</v>
      </c>
      <c r="DI52" s="17">
        <v>0</v>
      </c>
      <c r="DJ52" s="15">
        <v>0</v>
      </c>
      <c r="DK52" s="15">
        <v>0</v>
      </c>
      <c r="DL52" s="17">
        <v>0</v>
      </c>
      <c r="DM52" s="15">
        <v>0</v>
      </c>
      <c r="DN52" s="15">
        <v>0</v>
      </c>
      <c r="DO52" s="17">
        <v>0</v>
      </c>
      <c r="DP52" s="15">
        <v>0</v>
      </c>
      <c r="DQ52" s="15">
        <v>0</v>
      </c>
      <c r="DR52" s="17">
        <v>0</v>
      </c>
      <c r="DS52" s="15">
        <v>0</v>
      </c>
      <c r="DT52" s="15">
        <v>0</v>
      </c>
      <c r="DU52" s="17">
        <v>0</v>
      </c>
      <c r="DV52" s="15">
        <v>0</v>
      </c>
      <c r="DW52" s="15">
        <v>0</v>
      </c>
      <c r="DX52" s="17">
        <v>0</v>
      </c>
      <c r="DY52" s="15">
        <v>0</v>
      </c>
      <c r="DZ52" s="15">
        <v>0</v>
      </c>
      <c r="EA52" s="17">
        <v>0</v>
      </c>
      <c r="EB52" s="15">
        <v>0</v>
      </c>
      <c r="EC52" s="15">
        <v>0</v>
      </c>
      <c r="ED52" s="17">
        <v>0</v>
      </c>
      <c r="EE52" s="15">
        <v>0</v>
      </c>
      <c r="EF52" s="15">
        <v>0</v>
      </c>
      <c r="EG52" s="17">
        <v>0</v>
      </c>
      <c r="EH52" s="15">
        <v>0</v>
      </c>
      <c r="EI52" s="15">
        <v>0</v>
      </c>
      <c r="EJ52" s="17">
        <v>0</v>
      </c>
      <c r="EK52" s="15">
        <v>0</v>
      </c>
      <c r="EL52" s="15">
        <v>0</v>
      </c>
      <c r="EM52" s="17">
        <v>0</v>
      </c>
      <c r="EN52" s="15">
        <v>0</v>
      </c>
      <c r="EO52" s="15">
        <v>0</v>
      </c>
      <c r="EP52" s="17">
        <v>0</v>
      </c>
      <c r="EQ52" s="15">
        <v>0</v>
      </c>
      <c r="ER52" s="15">
        <v>0</v>
      </c>
      <c r="ES52" s="17">
        <v>0</v>
      </c>
      <c r="ET52" s="15">
        <v>0</v>
      </c>
      <c r="EU52" s="15">
        <v>0</v>
      </c>
      <c r="EV52" s="17">
        <v>0</v>
      </c>
      <c r="EW52" s="15">
        <v>0</v>
      </c>
      <c r="EX52" s="15">
        <v>0</v>
      </c>
      <c r="EY52" s="17">
        <v>0</v>
      </c>
      <c r="EZ52" s="15">
        <v>0</v>
      </c>
      <c r="FA52" s="15">
        <v>0</v>
      </c>
      <c r="FB52" s="17">
        <v>0</v>
      </c>
      <c r="FC52" s="15">
        <v>0</v>
      </c>
      <c r="FD52" s="15">
        <v>0</v>
      </c>
      <c r="FE52" s="17">
        <v>0</v>
      </c>
      <c r="FF52" s="15">
        <v>0</v>
      </c>
      <c r="FG52" s="15">
        <v>0</v>
      </c>
      <c r="FH52" s="17">
        <v>0</v>
      </c>
      <c r="FI52" s="15">
        <v>0</v>
      </c>
      <c r="FJ52" s="15">
        <v>0</v>
      </c>
      <c r="FK52" s="17">
        <v>0</v>
      </c>
      <c r="FL52" s="15">
        <v>0</v>
      </c>
      <c r="FM52" s="15">
        <v>0</v>
      </c>
      <c r="FN52" s="17">
        <v>0</v>
      </c>
      <c r="FO52" s="640"/>
      <c r="FP52" s="531"/>
      <c r="FQ52" s="531"/>
      <c r="FR52" s="531"/>
      <c r="FS52" s="531"/>
      <c r="FT52" s="531"/>
      <c r="FU52" s="640"/>
      <c r="FV52" s="531"/>
      <c r="FW52" s="531"/>
      <c r="FX52" s="531"/>
      <c r="FY52" s="531"/>
      <c r="FZ52" s="531"/>
    </row>
    <row r="53" spans="1:182" ht="12.75">
      <c r="A53" s="93">
        <v>43884</v>
      </c>
      <c r="B53" s="14">
        <f t="shared" ref="B53:D53" si="48">SUM(I53,AM53)</f>
        <v>1</v>
      </c>
      <c r="C53" s="15">
        <f t="shared" si="48"/>
        <v>0</v>
      </c>
      <c r="D53" s="15">
        <f t="shared" si="48"/>
        <v>0</v>
      </c>
      <c r="E53" s="350">
        <f t="shared" si="1"/>
        <v>1</v>
      </c>
      <c r="F53" s="18">
        <v>0</v>
      </c>
      <c r="G53" s="18">
        <v>0</v>
      </c>
      <c r="H53" s="317">
        <v>0</v>
      </c>
      <c r="I53" s="18">
        <v>0</v>
      </c>
      <c r="J53" s="18">
        <v>0</v>
      </c>
      <c r="K53" s="317">
        <v>0</v>
      </c>
      <c r="L53" s="18">
        <v>0</v>
      </c>
      <c r="M53" s="18">
        <v>0</v>
      </c>
      <c r="N53" s="317">
        <v>0</v>
      </c>
      <c r="O53" s="18">
        <v>0</v>
      </c>
      <c r="P53" s="18">
        <v>0</v>
      </c>
      <c r="Q53" s="317">
        <v>0</v>
      </c>
      <c r="R53" s="18">
        <v>0</v>
      </c>
      <c r="S53" s="18">
        <v>0</v>
      </c>
      <c r="T53" s="317">
        <v>0</v>
      </c>
      <c r="U53" s="18">
        <v>0</v>
      </c>
      <c r="V53" s="18">
        <v>0</v>
      </c>
      <c r="W53" s="317">
        <v>0</v>
      </c>
      <c r="X53" s="18">
        <v>0</v>
      </c>
      <c r="Y53" s="18">
        <v>0</v>
      </c>
      <c r="Z53" s="317">
        <v>0</v>
      </c>
      <c r="AA53" s="18">
        <v>0</v>
      </c>
      <c r="AB53" s="18">
        <v>0</v>
      </c>
      <c r="AC53" s="317">
        <v>0</v>
      </c>
      <c r="AD53" s="18">
        <v>0</v>
      </c>
      <c r="AE53" s="18">
        <v>0</v>
      </c>
      <c r="AF53" s="317">
        <v>0</v>
      </c>
      <c r="AG53" s="18">
        <v>0</v>
      </c>
      <c r="AH53" s="18">
        <v>0</v>
      </c>
      <c r="AI53" s="317">
        <v>0</v>
      </c>
      <c r="AJ53" s="18">
        <v>0</v>
      </c>
      <c r="AK53" s="18">
        <v>0</v>
      </c>
      <c r="AL53" s="317">
        <v>0</v>
      </c>
      <c r="AM53" s="105">
        <v>1</v>
      </c>
      <c r="AN53" s="18">
        <v>0</v>
      </c>
      <c r="AO53" s="317">
        <v>0</v>
      </c>
      <c r="AP53" s="18">
        <v>0</v>
      </c>
      <c r="AQ53" s="18">
        <v>0</v>
      </c>
      <c r="AR53" s="317">
        <v>0</v>
      </c>
      <c r="AS53" s="18">
        <v>0</v>
      </c>
      <c r="AT53" s="18">
        <v>0</v>
      </c>
      <c r="AU53" s="317">
        <v>0</v>
      </c>
      <c r="AV53" s="18">
        <v>0</v>
      </c>
      <c r="AW53" s="18">
        <v>0</v>
      </c>
      <c r="AX53" s="317">
        <v>0</v>
      </c>
      <c r="AY53" s="18">
        <v>0</v>
      </c>
      <c r="AZ53" s="18">
        <v>0</v>
      </c>
      <c r="BA53" s="317">
        <v>0</v>
      </c>
      <c r="BB53" s="18">
        <v>0</v>
      </c>
      <c r="BC53" s="18">
        <v>0</v>
      </c>
      <c r="BD53" s="317">
        <v>0</v>
      </c>
      <c r="BE53" s="18">
        <v>0</v>
      </c>
      <c r="BF53" s="18">
        <v>0</v>
      </c>
      <c r="BG53" s="317">
        <v>0</v>
      </c>
      <c r="BH53" s="18">
        <v>0</v>
      </c>
      <c r="BI53" s="18">
        <v>0</v>
      </c>
      <c r="BJ53" s="317">
        <v>0</v>
      </c>
      <c r="BK53" s="18">
        <v>0</v>
      </c>
      <c r="BL53" s="18">
        <v>0</v>
      </c>
      <c r="BM53" s="317">
        <v>0</v>
      </c>
      <c r="BN53" s="18">
        <v>0</v>
      </c>
      <c r="BO53" s="18">
        <v>0</v>
      </c>
      <c r="BP53" s="317">
        <v>0</v>
      </c>
      <c r="BQ53" s="18">
        <v>0</v>
      </c>
      <c r="BR53" s="18">
        <v>0</v>
      </c>
      <c r="BS53" s="317">
        <v>0</v>
      </c>
      <c r="BT53" s="18">
        <v>0</v>
      </c>
      <c r="BU53" s="18">
        <v>0</v>
      </c>
      <c r="BV53" s="317">
        <v>0</v>
      </c>
      <c r="BW53" s="18">
        <v>0</v>
      </c>
      <c r="BX53" s="18">
        <v>0</v>
      </c>
      <c r="BY53" s="317">
        <v>0</v>
      </c>
      <c r="BZ53" s="18">
        <v>0</v>
      </c>
      <c r="CA53" s="18">
        <v>0</v>
      </c>
      <c r="CB53" s="317">
        <v>0</v>
      </c>
      <c r="CC53" s="18">
        <v>0</v>
      </c>
      <c r="CD53" s="18">
        <v>0</v>
      </c>
      <c r="CE53" s="317">
        <v>0</v>
      </c>
      <c r="CF53" s="18">
        <v>0</v>
      </c>
      <c r="CG53" s="18">
        <v>0</v>
      </c>
      <c r="CH53" s="317">
        <v>0</v>
      </c>
      <c r="CI53" s="18">
        <v>0</v>
      </c>
      <c r="CJ53" s="18">
        <v>0</v>
      </c>
      <c r="CK53" s="317">
        <v>0</v>
      </c>
      <c r="CL53" s="18">
        <v>0</v>
      </c>
      <c r="CM53" s="18">
        <v>0</v>
      </c>
      <c r="CN53" s="317">
        <v>0</v>
      </c>
      <c r="CO53" s="18">
        <v>0</v>
      </c>
      <c r="CP53" s="18">
        <v>0</v>
      </c>
      <c r="CQ53" s="317">
        <v>0</v>
      </c>
      <c r="CR53" s="18">
        <v>0</v>
      </c>
      <c r="CS53" s="18">
        <v>0</v>
      </c>
      <c r="CT53" s="317">
        <v>0</v>
      </c>
      <c r="CU53" s="18">
        <v>0</v>
      </c>
      <c r="CV53" s="18">
        <v>0</v>
      </c>
      <c r="CW53" s="317">
        <v>0</v>
      </c>
      <c r="CX53" s="18">
        <v>0</v>
      </c>
      <c r="CY53" s="18">
        <v>0</v>
      </c>
      <c r="CZ53" s="317">
        <v>0</v>
      </c>
      <c r="DA53" s="18">
        <v>0</v>
      </c>
      <c r="DB53" s="18">
        <v>0</v>
      </c>
      <c r="DC53" s="317">
        <v>0</v>
      </c>
      <c r="DD53" s="18">
        <v>0</v>
      </c>
      <c r="DE53" s="18">
        <v>0</v>
      </c>
      <c r="DF53" s="317">
        <v>0</v>
      </c>
      <c r="DG53" s="18">
        <v>0</v>
      </c>
      <c r="DH53" s="18">
        <v>0</v>
      </c>
      <c r="DI53" s="317">
        <v>0</v>
      </c>
      <c r="DJ53" s="18">
        <v>0</v>
      </c>
      <c r="DK53" s="18">
        <v>0</v>
      </c>
      <c r="DL53" s="317">
        <v>0</v>
      </c>
      <c r="DM53" s="18">
        <v>0</v>
      </c>
      <c r="DN53" s="18">
        <v>0</v>
      </c>
      <c r="DO53" s="317">
        <v>0</v>
      </c>
      <c r="DP53" s="18">
        <v>0</v>
      </c>
      <c r="DQ53" s="18">
        <v>0</v>
      </c>
      <c r="DR53" s="317">
        <v>0</v>
      </c>
      <c r="DS53" s="18">
        <v>0</v>
      </c>
      <c r="DT53" s="18">
        <v>0</v>
      </c>
      <c r="DU53" s="317">
        <v>0</v>
      </c>
      <c r="DV53" s="18">
        <v>0</v>
      </c>
      <c r="DW53" s="18">
        <v>0</v>
      </c>
      <c r="DX53" s="317">
        <v>0</v>
      </c>
      <c r="DY53" s="18">
        <v>0</v>
      </c>
      <c r="DZ53" s="18">
        <v>0</v>
      </c>
      <c r="EA53" s="317">
        <v>0</v>
      </c>
      <c r="EB53" s="18">
        <v>0</v>
      </c>
      <c r="EC53" s="18">
        <v>0</v>
      </c>
      <c r="ED53" s="317">
        <v>0</v>
      </c>
      <c r="EE53" s="18">
        <v>0</v>
      </c>
      <c r="EF53" s="18">
        <v>0</v>
      </c>
      <c r="EG53" s="317">
        <v>0</v>
      </c>
      <c r="EH53" s="18">
        <v>0</v>
      </c>
      <c r="EI53" s="18">
        <v>0</v>
      </c>
      <c r="EJ53" s="317">
        <v>0</v>
      </c>
      <c r="EK53" s="18">
        <v>0</v>
      </c>
      <c r="EL53" s="18">
        <v>0</v>
      </c>
      <c r="EM53" s="317">
        <v>0</v>
      </c>
      <c r="EN53" s="18">
        <v>0</v>
      </c>
      <c r="EO53" s="18">
        <v>0</v>
      </c>
      <c r="EP53" s="317">
        <v>0</v>
      </c>
      <c r="EQ53" s="18">
        <v>0</v>
      </c>
      <c r="ER53" s="18">
        <v>0</v>
      </c>
      <c r="ES53" s="317">
        <v>0</v>
      </c>
      <c r="ET53" s="18">
        <v>0</v>
      </c>
      <c r="EU53" s="18">
        <v>0</v>
      </c>
      <c r="EV53" s="317">
        <v>0</v>
      </c>
      <c r="EW53" s="18">
        <v>0</v>
      </c>
      <c r="EX53" s="18">
        <v>0</v>
      </c>
      <c r="EY53" s="317">
        <v>0</v>
      </c>
      <c r="EZ53" s="18">
        <v>0</v>
      </c>
      <c r="FA53" s="18">
        <v>0</v>
      </c>
      <c r="FB53" s="317">
        <v>0</v>
      </c>
      <c r="FC53" s="18">
        <v>0</v>
      </c>
      <c r="FD53" s="18">
        <v>0</v>
      </c>
      <c r="FE53" s="317">
        <v>0</v>
      </c>
      <c r="FF53" s="18">
        <v>0</v>
      </c>
      <c r="FG53" s="18">
        <v>0</v>
      </c>
      <c r="FH53" s="317">
        <v>0</v>
      </c>
      <c r="FI53" s="18">
        <v>0</v>
      </c>
      <c r="FJ53" s="18">
        <v>0</v>
      </c>
      <c r="FK53" s="317">
        <v>0</v>
      </c>
      <c r="FL53" s="18">
        <v>0</v>
      </c>
      <c r="FM53" s="18">
        <v>0</v>
      </c>
      <c r="FN53" s="317">
        <v>0</v>
      </c>
      <c r="FO53" s="640"/>
      <c r="FP53" s="531"/>
      <c r="FQ53" s="531"/>
      <c r="FR53" s="531"/>
      <c r="FS53" s="531"/>
      <c r="FT53" s="531"/>
      <c r="FU53" s="640"/>
      <c r="FV53" s="531"/>
      <c r="FW53" s="531"/>
      <c r="FX53" s="531"/>
      <c r="FY53" s="531"/>
      <c r="FZ53" s="531"/>
    </row>
    <row r="54" spans="1:182" ht="12.75">
      <c r="A54" s="93">
        <v>43885</v>
      </c>
      <c r="B54" s="14">
        <f t="shared" ref="B54:D54" si="49">SUM(I54,AM54)</f>
        <v>1</v>
      </c>
      <c r="C54" s="15">
        <f t="shared" si="49"/>
        <v>0</v>
      </c>
      <c r="D54" s="15">
        <f t="shared" si="49"/>
        <v>0</v>
      </c>
      <c r="E54" s="350">
        <f t="shared" si="1"/>
        <v>1</v>
      </c>
      <c r="F54" s="15">
        <v>0</v>
      </c>
      <c r="G54" s="15">
        <v>0</v>
      </c>
      <c r="H54" s="17">
        <v>0</v>
      </c>
      <c r="I54" s="15">
        <v>0</v>
      </c>
      <c r="J54" s="15">
        <v>0</v>
      </c>
      <c r="K54" s="17">
        <v>0</v>
      </c>
      <c r="L54" s="15">
        <v>0</v>
      </c>
      <c r="M54" s="15">
        <v>0</v>
      </c>
      <c r="N54" s="17">
        <v>0</v>
      </c>
      <c r="O54" s="15">
        <v>0</v>
      </c>
      <c r="P54" s="15">
        <v>0</v>
      </c>
      <c r="Q54" s="17">
        <v>0</v>
      </c>
      <c r="R54" s="15">
        <v>0</v>
      </c>
      <c r="S54" s="15">
        <v>0</v>
      </c>
      <c r="T54" s="17">
        <v>0</v>
      </c>
      <c r="U54" s="15">
        <v>0</v>
      </c>
      <c r="V54" s="15">
        <v>0</v>
      </c>
      <c r="W54" s="17">
        <v>0</v>
      </c>
      <c r="X54" s="15">
        <v>0</v>
      </c>
      <c r="Y54" s="15">
        <v>0</v>
      </c>
      <c r="Z54" s="17">
        <v>0</v>
      </c>
      <c r="AA54" s="15">
        <v>0</v>
      </c>
      <c r="AB54" s="15">
        <v>0</v>
      </c>
      <c r="AC54" s="17">
        <v>0</v>
      </c>
      <c r="AD54" s="15">
        <v>0</v>
      </c>
      <c r="AE54" s="15">
        <v>0</v>
      </c>
      <c r="AF54" s="17">
        <v>0</v>
      </c>
      <c r="AG54" s="15">
        <v>0</v>
      </c>
      <c r="AH54" s="15">
        <v>0</v>
      </c>
      <c r="AI54" s="17">
        <v>0</v>
      </c>
      <c r="AJ54" s="15">
        <v>0</v>
      </c>
      <c r="AK54" s="15">
        <v>0</v>
      </c>
      <c r="AL54" s="17">
        <v>0</v>
      </c>
      <c r="AM54" s="105">
        <v>1</v>
      </c>
      <c r="AN54" s="15">
        <v>0</v>
      </c>
      <c r="AO54" s="17">
        <v>0</v>
      </c>
      <c r="AP54" s="15">
        <v>0</v>
      </c>
      <c r="AQ54" s="15">
        <v>0</v>
      </c>
      <c r="AR54" s="17">
        <v>0</v>
      </c>
      <c r="AS54" s="15">
        <v>0</v>
      </c>
      <c r="AT54" s="15">
        <v>0</v>
      </c>
      <c r="AU54" s="17">
        <v>0</v>
      </c>
      <c r="AV54" s="15">
        <v>0</v>
      </c>
      <c r="AW54" s="15">
        <v>0</v>
      </c>
      <c r="AX54" s="17">
        <v>0</v>
      </c>
      <c r="AY54" s="15">
        <v>0</v>
      </c>
      <c r="AZ54" s="15">
        <v>0</v>
      </c>
      <c r="BA54" s="17">
        <v>0</v>
      </c>
      <c r="BB54" s="15">
        <v>0</v>
      </c>
      <c r="BC54" s="15">
        <v>0</v>
      </c>
      <c r="BD54" s="17">
        <v>0</v>
      </c>
      <c r="BE54" s="15">
        <v>0</v>
      </c>
      <c r="BF54" s="15">
        <v>0</v>
      </c>
      <c r="BG54" s="17">
        <v>0</v>
      </c>
      <c r="BH54" s="15">
        <v>0</v>
      </c>
      <c r="BI54" s="15">
        <v>0</v>
      </c>
      <c r="BJ54" s="17">
        <v>0</v>
      </c>
      <c r="BK54" s="15">
        <v>0</v>
      </c>
      <c r="BL54" s="15">
        <v>0</v>
      </c>
      <c r="BM54" s="17">
        <v>0</v>
      </c>
      <c r="BN54" s="15">
        <v>0</v>
      </c>
      <c r="BO54" s="15">
        <v>0</v>
      </c>
      <c r="BP54" s="17">
        <v>0</v>
      </c>
      <c r="BQ54" s="15">
        <v>0</v>
      </c>
      <c r="BR54" s="15">
        <v>0</v>
      </c>
      <c r="BS54" s="17">
        <v>0</v>
      </c>
      <c r="BT54" s="15">
        <v>0</v>
      </c>
      <c r="BU54" s="15">
        <v>0</v>
      </c>
      <c r="BV54" s="17">
        <v>0</v>
      </c>
      <c r="BW54" s="15">
        <v>0</v>
      </c>
      <c r="BX54" s="15">
        <v>0</v>
      </c>
      <c r="BY54" s="17">
        <v>0</v>
      </c>
      <c r="BZ54" s="15">
        <v>0</v>
      </c>
      <c r="CA54" s="15">
        <v>0</v>
      </c>
      <c r="CB54" s="17">
        <v>0</v>
      </c>
      <c r="CC54" s="15">
        <v>0</v>
      </c>
      <c r="CD54" s="15">
        <v>0</v>
      </c>
      <c r="CE54" s="17">
        <v>0</v>
      </c>
      <c r="CF54" s="15">
        <v>0</v>
      </c>
      <c r="CG54" s="15">
        <v>0</v>
      </c>
      <c r="CH54" s="17">
        <v>0</v>
      </c>
      <c r="CI54" s="15">
        <v>0</v>
      </c>
      <c r="CJ54" s="15">
        <v>0</v>
      </c>
      <c r="CK54" s="17">
        <v>0</v>
      </c>
      <c r="CL54" s="15">
        <v>0</v>
      </c>
      <c r="CM54" s="15">
        <v>0</v>
      </c>
      <c r="CN54" s="17">
        <v>0</v>
      </c>
      <c r="CO54" s="15">
        <v>0</v>
      </c>
      <c r="CP54" s="15">
        <v>0</v>
      </c>
      <c r="CQ54" s="17">
        <v>0</v>
      </c>
      <c r="CR54" s="15">
        <v>0</v>
      </c>
      <c r="CS54" s="15">
        <v>0</v>
      </c>
      <c r="CT54" s="17">
        <v>0</v>
      </c>
      <c r="CU54" s="15">
        <v>0</v>
      </c>
      <c r="CV54" s="15">
        <v>0</v>
      </c>
      <c r="CW54" s="17">
        <v>0</v>
      </c>
      <c r="CX54" s="15">
        <v>0</v>
      </c>
      <c r="CY54" s="15">
        <v>0</v>
      </c>
      <c r="CZ54" s="17">
        <v>0</v>
      </c>
      <c r="DA54" s="15">
        <v>0</v>
      </c>
      <c r="DB54" s="15">
        <v>0</v>
      </c>
      <c r="DC54" s="17">
        <v>0</v>
      </c>
      <c r="DD54" s="15">
        <v>0</v>
      </c>
      <c r="DE54" s="15">
        <v>0</v>
      </c>
      <c r="DF54" s="17">
        <v>0</v>
      </c>
      <c r="DG54" s="15">
        <v>0</v>
      </c>
      <c r="DH54" s="15">
        <v>0</v>
      </c>
      <c r="DI54" s="17">
        <v>0</v>
      </c>
      <c r="DJ54" s="15">
        <v>0</v>
      </c>
      <c r="DK54" s="15">
        <v>0</v>
      </c>
      <c r="DL54" s="17">
        <v>0</v>
      </c>
      <c r="DM54" s="15">
        <v>0</v>
      </c>
      <c r="DN54" s="15">
        <v>0</v>
      </c>
      <c r="DO54" s="17">
        <v>0</v>
      </c>
      <c r="DP54" s="15">
        <v>0</v>
      </c>
      <c r="DQ54" s="15">
        <v>0</v>
      </c>
      <c r="DR54" s="17">
        <v>0</v>
      </c>
      <c r="DS54" s="15">
        <v>0</v>
      </c>
      <c r="DT54" s="15">
        <v>0</v>
      </c>
      <c r="DU54" s="17">
        <v>0</v>
      </c>
      <c r="DV54" s="15">
        <v>0</v>
      </c>
      <c r="DW54" s="15">
        <v>0</v>
      </c>
      <c r="DX54" s="17">
        <v>0</v>
      </c>
      <c r="DY54" s="15">
        <v>0</v>
      </c>
      <c r="DZ54" s="15">
        <v>0</v>
      </c>
      <c r="EA54" s="17">
        <v>0</v>
      </c>
      <c r="EB54" s="15">
        <v>0</v>
      </c>
      <c r="EC54" s="15">
        <v>0</v>
      </c>
      <c r="ED54" s="17">
        <v>0</v>
      </c>
      <c r="EE54" s="15">
        <v>0</v>
      </c>
      <c r="EF54" s="15">
        <v>0</v>
      </c>
      <c r="EG54" s="17">
        <v>0</v>
      </c>
      <c r="EH54" s="15">
        <v>0</v>
      </c>
      <c r="EI54" s="15">
        <v>0</v>
      </c>
      <c r="EJ54" s="17">
        <v>0</v>
      </c>
      <c r="EK54" s="15">
        <v>0</v>
      </c>
      <c r="EL54" s="15">
        <v>0</v>
      </c>
      <c r="EM54" s="17">
        <v>0</v>
      </c>
      <c r="EN54" s="15">
        <v>0</v>
      </c>
      <c r="EO54" s="15">
        <v>0</v>
      </c>
      <c r="EP54" s="17">
        <v>0</v>
      </c>
      <c r="EQ54" s="15">
        <v>0</v>
      </c>
      <c r="ER54" s="15">
        <v>0</v>
      </c>
      <c r="ES54" s="17">
        <v>0</v>
      </c>
      <c r="ET54" s="15">
        <v>0</v>
      </c>
      <c r="EU54" s="15">
        <v>0</v>
      </c>
      <c r="EV54" s="17">
        <v>0</v>
      </c>
      <c r="EW54" s="15">
        <v>0</v>
      </c>
      <c r="EX54" s="15">
        <v>0</v>
      </c>
      <c r="EY54" s="17">
        <v>0</v>
      </c>
      <c r="EZ54" s="15">
        <v>0</v>
      </c>
      <c r="FA54" s="15">
        <v>0</v>
      </c>
      <c r="FB54" s="17">
        <v>0</v>
      </c>
      <c r="FC54" s="15">
        <v>0</v>
      </c>
      <c r="FD54" s="15">
        <v>0</v>
      </c>
      <c r="FE54" s="17">
        <v>0</v>
      </c>
      <c r="FF54" s="15">
        <v>0</v>
      </c>
      <c r="FG54" s="15">
        <v>0</v>
      </c>
      <c r="FH54" s="17">
        <v>0</v>
      </c>
      <c r="FI54" s="15">
        <v>0</v>
      </c>
      <c r="FJ54" s="15">
        <v>0</v>
      </c>
      <c r="FK54" s="17">
        <v>0</v>
      </c>
      <c r="FL54" s="15">
        <v>0</v>
      </c>
      <c r="FM54" s="15">
        <v>0</v>
      </c>
      <c r="FN54" s="17">
        <v>0</v>
      </c>
      <c r="FO54" s="640"/>
      <c r="FP54" s="531"/>
      <c r="FQ54" s="531"/>
      <c r="FR54" s="531"/>
      <c r="FS54" s="531"/>
      <c r="FT54" s="531"/>
      <c r="FU54" s="640"/>
      <c r="FV54" s="531"/>
      <c r="FW54" s="531"/>
      <c r="FX54" s="531"/>
      <c r="FY54" s="531"/>
      <c r="FZ54" s="531"/>
    </row>
    <row r="55" spans="1:182" ht="12.75">
      <c r="A55" s="93">
        <v>43886</v>
      </c>
      <c r="B55" s="14">
        <f t="shared" ref="B55:D55" si="50">SUM(I55,AM55)</f>
        <v>2</v>
      </c>
      <c r="C55" s="15">
        <f t="shared" si="50"/>
        <v>0</v>
      </c>
      <c r="D55" s="15">
        <f t="shared" si="50"/>
        <v>0</v>
      </c>
      <c r="E55" s="350">
        <f t="shared" si="1"/>
        <v>2</v>
      </c>
      <c r="F55" s="18">
        <v>0</v>
      </c>
      <c r="G55" s="18">
        <v>0</v>
      </c>
      <c r="H55" s="317">
        <v>0</v>
      </c>
      <c r="I55" s="105">
        <v>1</v>
      </c>
      <c r="J55" s="18">
        <v>0</v>
      </c>
      <c r="K55" s="317">
        <v>0</v>
      </c>
      <c r="L55" s="18">
        <v>0</v>
      </c>
      <c r="M55" s="18">
        <v>0</v>
      </c>
      <c r="N55" s="317">
        <v>0</v>
      </c>
      <c r="O55" s="18">
        <v>0</v>
      </c>
      <c r="P55" s="18">
        <v>0</v>
      </c>
      <c r="Q55" s="317">
        <v>0</v>
      </c>
      <c r="R55" s="18">
        <v>0</v>
      </c>
      <c r="S55" s="18">
        <v>0</v>
      </c>
      <c r="T55" s="317">
        <v>0</v>
      </c>
      <c r="U55" s="18">
        <v>0</v>
      </c>
      <c r="V55" s="18">
        <v>0</v>
      </c>
      <c r="W55" s="317">
        <v>0</v>
      </c>
      <c r="X55" s="18">
        <v>0</v>
      </c>
      <c r="Y55" s="18">
        <v>0</v>
      </c>
      <c r="Z55" s="317">
        <v>0</v>
      </c>
      <c r="AA55" s="18">
        <v>0</v>
      </c>
      <c r="AB55" s="18">
        <v>0</v>
      </c>
      <c r="AC55" s="317">
        <v>0</v>
      </c>
      <c r="AD55" s="18">
        <v>0</v>
      </c>
      <c r="AE55" s="18">
        <v>0</v>
      </c>
      <c r="AF55" s="317">
        <v>0</v>
      </c>
      <c r="AG55" s="18">
        <v>0</v>
      </c>
      <c r="AH55" s="18">
        <v>0</v>
      </c>
      <c r="AI55" s="317">
        <v>0</v>
      </c>
      <c r="AJ55" s="18">
        <v>0</v>
      </c>
      <c r="AK55" s="18">
        <v>0</v>
      </c>
      <c r="AL55" s="317">
        <v>0</v>
      </c>
      <c r="AM55" s="105">
        <v>1</v>
      </c>
      <c r="AN55" s="18">
        <v>0</v>
      </c>
      <c r="AO55" s="317">
        <v>0</v>
      </c>
      <c r="AP55" s="18">
        <v>0</v>
      </c>
      <c r="AQ55" s="18">
        <v>0</v>
      </c>
      <c r="AR55" s="317">
        <v>0</v>
      </c>
      <c r="AS55" s="18">
        <v>0</v>
      </c>
      <c r="AT55" s="18">
        <v>0</v>
      </c>
      <c r="AU55" s="317">
        <v>0</v>
      </c>
      <c r="AV55" s="18">
        <v>0</v>
      </c>
      <c r="AW55" s="18">
        <v>0</v>
      </c>
      <c r="AX55" s="317">
        <v>0</v>
      </c>
      <c r="AY55" s="18">
        <v>0</v>
      </c>
      <c r="AZ55" s="18">
        <v>0</v>
      </c>
      <c r="BA55" s="317">
        <v>0</v>
      </c>
      <c r="BB55" s="18">
        <v>0</v>
      </c>
      <c r="BC55" s="18">
        <v>0</v>
      </c>
      <c r="BD55" s="317">
        <v>0</v>
      </c>
      <c r="BE55" s="18">
        <v>0</v>
      </c>
      <c r="BF55" s="18">
        <v>0</v>
      </c>
      <c r="BG55" s="317">
        <v>0</v>
      </c>
      <c r="BH55" s="18">
        <v>0</v>
      </c>
      <c r="BI55" s="18">
        <v>0</v>
      </c>
      <c r="BJ55" s="317">
        <v>0</v>
      </c>
      <c r="BK55" s="18">
        <v>0</v>
      </c>
      <c r="BL55" s="18">
        <v>0</v>
      </c>
      <c r="BM55" s="317">
        <v>0</v>
      </c>
      <c r="BN55" s="18">
        <v>0</v>
      </c>
      <c r="BO55" s="18">
        <v>0</v>
      </c>
      <c r="BP55" s="317">
        <v>0</v>
      </c>
      <c r="BQ55" s="18">
        <v>0</v>
      </c>
      <c r="BR55" s="18">
        <v>0</v>
      </c>
      <c r="BS55" s="317">
        <v>0</v>
      </c>
      <c r="BT55" s="18">
        <v>0</v>
      </c>
      <c r="BU55" s="18">
        <v>0</v>
      </c>
      <c r="BV55" s="317">
        <v>0</v>
      </c>
      <c r="BW55" s="18">
        <v>0</v>
      </c>
      <c r="BX55" s="18">
        <v>0</v>
      </c>
      <c r="BY55" s="317">
        <v>0</v>
      </c>
      <c r="BZ55" s="18">
        <v>0</v>
      </c>
      <c r="CA55" s="18">
        <v>0</v>
      </c>
      <c r="CB55" s="317">
        <v>0</v>
      </c>
      <c r="CC55" s="18">
        <v>0</v>
      </c>
      <c r="CD55" s="18">
        <v>0</v>
      </c>
      <c r="CE55" s="317">
        <v>0</v>
      </c>
      <c r="CF55" s="18">
        <v>0</v>
      </c>
      <c r="CG55" s="18">
        <v>0</v>
      </c>
      <c r="CH55" s="317">
        <v>0</v>
      </c>
      <c r="CI55" s="18">
        <v>0</v>
      </c>
      <c r="CJ55" s="18">
        <v>0</v>
      </c>
      <c r="CK55" s="317">
        <v>0</v>
      </c>
      <c r="CL55" s="18">
        <v>0</v>
      </c>
      <c r="CM55" s="18">
        <v>0</v>
      </c>
      <c r="CN55" s="317">
        <v>0</v>
      </c>
      <c r="CO55" s="18">
        <v>0</v>
      </c>
      <c r="CP55" s="18">
        <v>0</v>
      </c>
      <c r="CQ55" s="317">
        <v>0</v>
      </c>
      <c r="CR55" s="18">
        <v>0</v>
      </c>
      <c r="CS55" s="18">
        <v>0</v>
      </c>
      <c r="CT55" s="317">
        <v>0</v>
      </c>
      <c r="CU55" s="18">
        <v>0</v>
      </c>
      <c r="CV55" s="18">
        <v>0</v>
      </c>
      <c r="CW55" s="317">
        <v>0</v>
      </c>
      <c r="CX55" s="18">
        <v>0</v>
      </c>
      <c r="CY55" s="18">
        <v>0</v>
      </c>
      <c r="CZ55" s="317">
        <v>0</v>
      </c>
      <c r="DA55" s="18">
        <v>0</v>
      </c>
      <c r="DB55" s="18">
        <v>0</v>
      </c>
      <c r="DC55" s="317">
        <v>0</v>
      </c>
      <c r="DD55" s="18">
        <v>0</v>
      </c>
      <c r="DE55" s="18">
        <v>0</v>
      </c>
      <c r="DF55" s="317">
        <v>0</v>
      </c>
      <c r="DG55" s="18">
        <v>0</v>
      </c>
      <c r="DH55" s="18">
        <v>0</v>
      </c>
      <c r="DI55" s="317">
        <v>0</v>
      </c>
      <c r="DJ55" s="18">
        <v>0</v>
      </c>
      <c r="DK55" s="18">
        <v>0</v>
      </c>
      <c r="DL55" s="317">
        <v>0</v>
      </c>
      <c r="DM55" s="18">
        <v>0</v>
      </c>
      <c r="DN55" s="18">
        <v>0</v>
      </c>
      <c r="DO55" s="317">
        <v>0</v>
      </c>
      <c r="DP55" s="18">
        <v>0</v>
      </c>
      <c r="DQ55" s="18">
        <v>0</v>
      </c>
      <c r="DR55" s="317">
        <v>0</v>
      </c>
      <c r="DS55" s="18">
        <v>0</v>
      </c>
      <c r="DT55" s="18">
        <v>0</v>
      </c>
      <c r="DU55" s="317">
        <v>0</v>
      </c>
      <c r="DV55" s="18">
        <v>0</v>
      </c>
      <c r="DW55" s="18">
        <v>0</v>
      </c>
      <c r="DX55" s="317">
        <v>0</v>
      </c>
      <c r="DY55" s="18">
        <v>0</v>
      </c>
      <c r="DZ55" s="18">
        <v>0</v>
      </c>
      <c r="EA55" s="317">
        <v>0</v>
      </c>
      <c r="EB55" s="18">
        <v>0</v>
      </c>
      <c r="EC55" s="18">
        <v>0</v>
      </c>
      <c r="ED55" s="317">
        <v>0</v>
      </c>
      <c r="EE55" s="18">
        <v>0</v>
      </c>
      <c r="EF55" s="18">
        <v>0</v>
      </c>
      <c r="EG55" s="317">
        <v>0</v>
      </c>
      <c r="EH55" s="18">
        <v>0</v>
      </c>
      <c r="EI55" s="18">
        <v>0</v>
      </c>
      <c r="EJ55" s="317">
        <v>0</v>
      </c>
      <c r="EK55" s="18">
        <v>0</v>
      </c>
      <c r="EL55" s="18">
        <v>0</v>
      </c>
      <c r="EM55" s="317">
        <v>0</v>
      </c>
      <c r="EN55" s="18">
        <v>0</v>
      </c>
      <c r="EO55" s="18">
        <v>0</v>
      </c>
      <c r="EP55" s="317">
        <v>0</v>
      </c>
      <c r="EQ55" s="18">
        <v>0</v>
      </c>
      <c r="ER55" s="18">
        <v>0</v>
      </c>
      <c r="ES55" s="317">
        <v>0</v>
      </c>
      <c r="ET55" s="18">
        <v>0</v>
      </c>
      <c r="EU55" s="18">
        <v>0</v>
      </c>
      <c r="EV55" s="317">
        <v>0</v>
      </c>
      <c r="EW55" s="18">
        <v>0</v>
      </c>
      <c r="EX55" s="18">
        <v>0</v>
      </c>
      <c r="EY55" s="317">
        <v>0</v>
      </c>
      <c r="EZ55" s="18">
        <v>0</v>
      </c>
      <c r="FA55" s="18">
        <v>0</v>
      </c>
      <c r="FB55" s="317">
        <v>0</v>
      </c>
      <c r="FC55" s="18">
        <v>0</v>
      </c>
      <c r="FD55" s="18">
        <v>0</v>
      </c>
      <c r="FE55" s="317">
        <v>0</v>
      </c>
      <c r="FF55" s="18">
        <v>0</v>
      </c>
      <c r="FG55" s="18">
        <v>0</v>
      </c>
      <c r="FH55" s="317">
        <v>0</v>
      </c>
      <c r="FI55" s="18">
        <v>0</v>
      </c>
      <c r="FJ55" s="18">
        <v>0</v>
      </c>
      <c r="FK55" s="317">
        <v>0</v>
      </c>
      <c r="FL55" s="18">
        <v>0</v>
      </c>
      <c r="FM55" s="18">
        <v>0</v>
      </c>
      <c r="FN55" s="317">
        <v>0</v>
      </c>
      <c r="FO55" s="646" t="s">
        <v>834</v>
      </c>
      <c r="FP55" s="531"/>
      <c r="FQ55" s="531"/>
      <c r="FR55" s="531"/>
      <c r="FS55" s="531"/>
      <c r="FT55" s="531"/>
      <c r="FU55" s="637" t="s">
        <v>835</v>
      </c>
      <c r="FV55" s="531"/>
      <c r="FW55" s="531"/>
      <c r="FX55" s="531"/>
      <c r="FY55" s="531"/>
      <c r="FZ55" s="531"/>
    </row>
    <row r="56" spans="1:182" ht="12.75">
      <c r="A56" s="93">
        <v>43887</v>
      </c>
      <c r="B56" s="14">
        <f t="shared" ref="B56:D56" si="51">SUM(I56,AM56)</f>
        <v>2</v>
      </c>
      <c r="C56" s="15">
        <f t="shared" si="51"/>
        <v>0</v>
      </c>
      <c r="D56" s="15">
        <f t="shared" si="51"/>
        <v>0</v>
      </c>
      <c r="E56" s="350">
        <f t="shared" si="1"/>
        <v>2</v>
      </c>
      <c r="F56" s="15">
        <v>0</v>
      </c>
      <c r="G56" s="15">
        <v>0</v>
      </c>
      <c r="H56" s="17">
        <v>0</v>
      </c>
      <c r="I56" s="105">
        <v>1</v>
      </c>
      <c r="J56" s="15">
        <v>0</v>
      </c>
      <c r="K56" s="17">
        <v>0</v>
      </c>
      <c r="L56" s="15">
        <v>0</v>
      </c>
      <c r="M56" s="15">
        <v>0</v>
      </c>
      <c r="N56" s="17">
        <v>0</v>
      </c>
      <c r="O56" s="15">
        <v>0</v>
      </c>
      <c r="P56" s="15">
        <v>0</v>
      </c>
      <c r="Q56" s="17">
        <v>0</v>
      </c>
      <c r="R56" s="15">
        <v>0</v>
      </c>
      <c r="S56" s="15">
        <v>0</v>
      </c>
      <c r="T56" s="17">
        <v>0</v>
      </c>
      <c r="U56" s="15">
        <v>0</v>
      </c>
      <c r="V56" s="15">
        <v>0</v>
      </c>
      <c r="W56" s="17">
        <v>0</v>
      </c>
      <c r="X56" s="15">
        <v>0</v>
      </c>
      <c r="Y56" s="15">
        <v>0</v>
      </c>
      <c r="Z56" s="17">
        <v>0</v>
      </c>
      <c r="AA56" s="15">
        <v>0</v>
      </c>
      <c r="AB56" s="15">
        <v>0</v>
      </c>
      <c r="AC56" s="17">
        <v>0</v>
      </c>
      <c r="AD56" s="15">
        <v>0</v>
      </c>
      <c r="AE56" s="15">
        <v>0</v>
      </c>
      <c r="AF56" s="17">
        <v>0</v>
      </c>
      <c r="AG56" s="15">
        <v>0</v>
      </c>
      <c r="AH56" s="15">
        <v>0</v>
      </c>
      <c r="AI56" s="17">
        <v>0</v>
      </c>
      <c r="AJ56" s="15">
        <v>0</v>
      </c>
      <c r="AK56" s="15">
        <v>0</v>
      </c>
      <c r="AL56" s="17">
        <v>0</v>
      </c>
      <c r="AM56" s="105">
        <v>1</v>
      </c>
      <c r="AN56" s="15">
        <v>0</v>
      </c>
      <c r="AO56" s="17">
        <v>0</v>
      </c>
      <c r="AP56" s="15">
        <v>0</v>
      </c>
      <c r="AQ56" s="15">
        <v>0</v>
      </c>
      <c r="AR56" s="17">
        <v>0</v>
      </c>
      <c r="AS56" s="15">
        <v>0</v>
      </c>
      <c r="AT56" s="15">
        <v>0</v>
      </c>
      <c r="AU56" s="17">
        <v>0</v>
      </c>
      <c r="AV56" s="15">
        <v>0</v>
      </c>
      <c r="AW56" s="15">
        <v>0</v>
      </c>
      <c r="AX56" s="17">
        <v>0</v>
      </c>
      <c r="AY56" s="15">
        <v>0</v>
      </c>
      <c r="AZ56" s="15">
        <v>0</v>
      </c>
      <c r="BA56" s="17">
        <v>0</v>
      </c>
      <c r="BB56" s="15">
        <v>0</v>
      </c>
      <c r="BC56" s="15">
        <v>0</v>
      </c>
      <c r="BD56" s="17">
        <v>0</v>
      </c>
      <c r="BE56" s="15">
        <v>0</v>
      </c>
      <c r="BF56" s="15">
        <v>0</v>
      </c>
      <c r="BG56" s="17">
        <v>0</v>
      </c>
      <c r="BH56" s="15">
        <v>0</v>
      </c>
      <c r="BI56" s="15">
        <v>0</v>
      </c>
      <c r="BJ56" s="17">
        <v>0</v>
      </c>
      <c r="BK56" s="15">
        <v>0</v>
      </c>
      <c r="BL56" s="15">
        <v>0</v>
      </c>
      <c r="BM56" s="17">
        <v>0</v>
      </c>
      <c r="BN56" s="15">
        <v>0</v>
      </c>
      <c r="BO56" s="15">
        <v>0</v>
      </c>
      <c r="BP56" s="17">
        <v>0</v>
      </c>
      <c r="BQ56" s="15">
        <v>0</v>
      </c>
      <c r="BR56" s="15">
        <v>0</v>
      </c>
      <c r="BS56" s="17">
        <v>0</v>
      </c>
      <c r="BT56" s="15">
        <v>0</v>
      </c>
      <c r="BU56" s="15">
        <v>0</v>
      </c>
      <c r="BV56" s="17">
        <v>0</v>
      </c>
      <c r="BW56" s="15">
        <v>0</v>
      </c>
      <c r="BX56" s="15">
        <v>0</v>
      </c>
      <c r="BY56" s="17">
        <v>0</v>
      </c>
      <c r="BZ56" s="15">
        <v>0</v>
      </c>
      <c r="CA56" s="15">
        <v>0</v>
      </c>
      <c r="CB56" s="17">
        <v>0</v>
      </c>
      <c r="CC56" s="15">
        <v>0</v>
      </c>
      <c r="CD56" s="15">
        <v>0</v>
      </c>
      <c r="CE56" s="17">
        <v>0</v>
      </c>
      <c r="CF56" s="15">
        <v>0</v>
      </c>
      <c r="CG56" s="15">
        <v>0</v>
      </c>
      <c r="CH56" s="17">
        <v>0</v>
      </c>
      <c r="CI56" s="15">
        <v>0</v>
      </c>
      <c r="CJ56" s="15">
        <v>0</v>
      </c>
      <c r="CK56" s="17">
        <v>0</v>
      </c>
      <c r="CL56" s="15">
        <v>0</v>
      </c>
      <c r="CM56" s="15">
        <v>0</v>
      </c>
      <c r="CN56" s="17">
        <v>0</v>
      </c>
      <c r="CO56" s="15">
        <v>0</v>
      </c>
      <c r="CP56" s="15">
        <v>0</v>
      </c>
      <c r="CQ56" s="17">
        <v>0</v>
      </c>
      <c r="CR56" s="15">
        <v>0</v>
      </c>
      <c r="CS56" s="15">
        <v>0</v>
      </c>
      <c r="CT56" s="17">
        <v>0</v>
      </c>
      <c r="CU56" s="15">
        <v>0</v>
      </c>
      <c r="CV56" s="15">
        <v>0</v>
      </c>
      <c r="CW56" s="17">
        <v>0</v>
      </c>
      <c r="CX56" s="15">
        <v>0</v>
      </c>
      <c r="CY56" s="15">
        <v>0</v>
      </c>
      <c r="CZ56" s="17">
        <v>0</v>
      </c>
      <c r="DA56" s="15">
        <v>0</v>
      </c>
      <c r="DB56" s="15">
        <v>0</v>
      </c>
      <c r="DC56" s="17">
        <v>0</v>
      </c>
      <c r="DD56" s="15">
        <v>0</v>
      </c>
      <c r="DE56" s="15">
        <v>0</v>
      </c>
      <c r="DF56" s="17">
        <v>0</v>
      </c>
      <c r="DG56" s="15">
        <v>0</v>
      </c>
      <c r="DH56" s="15">
        <v>0</v>
      </c>
      <c r="DI56" s="17">
        <v>0</v>
      </c>
      <c r="DJ56" s="15">
        <v>0</v>
      </c>
      <c r="DK56" s="15">
        <v>0</v>
      </c>
      <c r="DL56" s="17">
        <v>0</v>
      </c>
      <c r="DM56" s="15">
        <v>0</v>
      </c>
      <c r="DN56" s="15">
        <v>0</v>
      </c>
      <c r="DO56" s="17">
        <v>0</v>
      </c>
      <c r="DP56" s="15">
        <v>0</v>
      </c>
      <c r="DQ56" s="15">
        <v>0</v>
      </c>
      <c r="DR56" s="17">
        <v>0</v>
      </c>
      <c r="DS56" s="15">
        <v>0</v>
      </c>
      <c r="DT56" s="15">
        <v>0</v>
      </c>
      <c r="DU56" s="17">
        <v>0</v>
      </c>
      <c r="DV56" s="15">
        <v>0</v>
      </c>
      <c r="DW56" s="15">
        <v>0</v>
      </c>
      <c r="DX56" s="17">
        <v>0</v>
      </c>
      <c r="DY56" s="15">
        <v>0</v>
      </c>
      <c r="DZ56" s="15">
        <v>0</v>
      </c>
      <c r="EA56" s="17">
        <v>0</v>
      </c>
      <c r="EB56" s="15">
        <v>0</v>
      </c>
      <c r="EC56" s="15">
        <v>0</v>
      </c>
      <c r="ED56" s="17">
        <v>0</v>
      </c>
      <c r="EE56" s="15">
        <v>0</v>
      </c>
      <c r="EF56" s="15">
        <v>0</v>
      </c>
      <c r="EG56" s="17">
        <v>0</v>
      </c>
      <c r="EH56" s="15">
        <v>0</v>
      </c>
      <c r="EI56" s="15">
        <v>0</v>
      </c>
      <c r="EJ56" s="17">
        <v>0</v>
      </c>
      <c r="EK56" s="15">
        <v>0</v>
      </c>
      <c r="EL56" s="15">
        <v>0</v>
      </c>
      <c r="EM56" s="17">
        <v>0</v>
      </c>
      <c r="EN56" s="15">
        <v>0</v>
      </c>
      <c r="EO56" s="15">
        <v>0</v>
      </c>
      <c r="EP56" s="17">
        <v>0</v>
      </c>
      <c r="EQ56" s="15">
        <v>0</v>
      </c>
      <c r="ER56" s="15">
        <v>0</v>
      </c>
      <c r="ES56" s="17">
        <v>0</v>
      </c>
      <c r="ET56" s="15">
        <v>0</v>
      </c>
      <c r="EU56" s="15">
        <v>0</v>
      </c>
      <c r="EV56" s="17">
        <v>0</v>
      </c>
      <c r="EW56" s="15">
        <v>0</v>
      </c>
      <c r="EX56" s="15">
        <v>0</v>
      </c>
      <c r="EY56" s="17">
        <v>0</v>
      </c>
      <c r="EZ56" s="15">
        <v>0</v>
      </c>
      <c r="FA56" s="15">
        <v>0</v>
      </c>
      <c r="FB56" s="17">
        <v>0</v>
      </c>
      <c r="FC56" s="15">
        <v>0</v>
      </c>
      <c r="FD56" s="15">
        <v>0</v>
      </c>
      <c r="FE56" s="17">
        <v>0</v>
      </c>
      <c r="FF56" s="15">
        <v>0</v>
      </c>
      <c r="FG56" s="15">
        <v>0</v>
      </c>
      <c r="FH56" s="17">
        <v>0</v>
      </c>
      <c r="FI56" s="15">
        <v>0</v>
      </c>
      <c r="FJ56" s="15">
        <v>0</v>
      </c>
      <c r="FK56" s="17">
        <v>0</v>
      </c>
      <c r="FL56" s="15">
        <v>0</v>
      </c>
      <c r="FM56" s="15">
        <v>0</v>
      </c>
      <c r="FN56" s="17">
        <v>0</v>
      </c>
      <c r="FO56" s="646"/>
      <c r="FP56" s="531"/>
      <c r="FQ56" s="531"/>
      <c r="FR56" s="531"/>
      <c r="FS56" s="531"/>
      <c r="FT56" s="531"/>
      <c r="FU56" s="637"/>
      <c r="FV56" s="531"/>
      <c r="FW56" s="531"/>
      <c r="FX56" s="531"/>
      <c r="FY56" s="531"/>
      <c r="FZ56" s="531"/>
    </row>
    <row r="57" spans="1:182" ht="12.75">
      <c r="A57" s="93">
        <v>43888</v>
      </c>
      <c r="B57" s="14">
        <f t="shared" ref="B57:D57" si="52">SUM(I57,AM57)</f>
        <v>2</v>
      </c>
      <c r="C57" s="15">
        <f t="shared" si="52"/>
        <v>0</v>
      </c>
      <c r="D57" s="15">
        <f t="shared" si="52"/>
        <v>0</v>
      </c>
      <c r="E57" s="350">
        <f t="shared" si="1"/>
        <v>2</v>
      </c>
      <c r="F57" s="18">
        <v>0</v>
      </c>
      <c r="G57" s="18">
        <v>0</v>
      </c>
      <c r="H57" s="317">
        <v>0</v>
      </c>
      <c r="I57" s="105">
        <v>1</v>
      </c>
      <c r="J57" s="18">
        <v>0</v>
      </c>
      <c r="K57" s="317">
        <v>0</v>
      </c>
      <c r="L57" s="18">
        <v>0</v>
      </c>
      <c r="M57" s="18">
        <v>0</v>
      </c>
      <c r="N57" s="317">
        <v>0</v>
      </c>
      <c r="O57" s="18">
        <v>0</v>
      </c>
      <c r="P57" s="18">
        <v>0</v>
      </c>
      <c r="Q57" s="317">
        <v>0</v>
      </c>
      <c r="R57" s="18">
        <v>0</v>
      </c>
      <c r="S57" s="18">
        <v>0</v>
      </c>
      <c r="T57" s="317">
        <v>0</v>
      </c>
      <c r="U57" s="18">
        <v>0</v>
      </c>
      <c r="V57" s="18">
        <v>0</v>
      </c>
      <c r="W57" s="317">
        <v>0</v>
      </c>
      <c r="X57" s="18">
        <v>0</v>
      </c>
      <c r="Y57" s="18">
        <v>0</v>
      </c>
      <c r="Z57" s="317">
        <v>0</v>
      </c>
      <c r="AA57" s="18">
        <v>0</v>
      </c>
      <c r="AB57" s="18">
        <v>0</v>
      </c>
      <c r="AC57" s="317">
        <v>0</v>
      </c>
      <c r="AD57" s="18">
        <v>0</v>
      </c>
      <c r="AE57" s="18">
        <v>0</v>
      </c>
      <c r="AF57" s="317">
        <v>0</v>
      </c>
      <c r="AG57" s="18">
        <v>0</v>
      </c>
      <c r="AH57" s="18">
        <v>0</v>
      </c>
      <c r="AI57" s="317">
        <v>0</v>
      </c>
      <c r="AJ57" s="18">
        <v>0</v>
      </c>
      <c r="AK57" s="18">
        <v>0</v>
      </c>
      <c r="AL57" s="317">
        <v>0</v>
      </c>
      <c r="AM57" s="105">
        <v>1</v>
      </c>
      <c r="AN57" s="18">
        <v>0</v>
      </c>
      <c r="AO57" s="317">
        <v>0</v>
      </c>
      <c r="AP57" s="18">
        <v>0</v>
      </c>
      <c r="AQ57" s="18">
        <v>0</v>
      </c>
      <c r="AR57" s="317">
        <v>0</v>
      </c>
      <c r="AS57" s="18">
        <v>0</v>
      </c>
      <c r="AT57" s="18">
        <v>0</v>
      </c>
      <c r="AU57" s="317">
        <v>0</v>
      </c>
      <c r="AV57" s="18">
        <v>0</v>
      </c>
      <c r="AW57" s="18">
        <v>0</v>
      </c>
      <c r="AX57" s="317">
        <v>0</v>
      </c>
      <c r="AY57" s="18">
        <v>0</v>
      </c>
      <c r="AZ57" s="18">
        <v>0</v>
      </c>
      <c r="BA57" s="317">
        <v>0</v>
      </c>
      <c r="BB57" s="18">
        <v>0</v>
      </c>
      <c r="BC57" s="18">
        <v>0</v>
      </c>
      <c r="BD57" s="317">
        <v>0</v>
      </c>
      <c r="BE57" s="18">
        <v>0</v>
      </c>
      <c r="BF57" s="18">
        <v>0</v>
      </c>
      <c r="BG57" s="317">
        <v>0</v>
      </c>
      <c r="BH57" s="18">
        <v>0</v>
      </c>
      <c r="BI57" s="18">
        <v>0</v>
      </c>
      <c r="BJ57" s="317">
        <v>0</v>
      </c>
      <c r="BK57" s="18">
        <v>0</v>
      </c>
      <c r="BL57" s="18">
        <v>0</v>
      </c>
      <c r="BM57" s="317">
        <v>0</v>
      </c>
      <c r="BN57" s="18">
        <v>0</v>
      </c>
      <c r="BO57" s="18">
        <v>0</v>
      </c>
      <c r="BP57" s="317">
        <v>0</v>
      </c>
      <c r="BQ57" s="18">
        <v>0</v>
      </c>
      <c r="BR57" s="18">
        <v>0</v>
      </c>
      <c r="BS57" s="317">
        <v>0</v>
      </c>
      <c r="BT57" s="18">
        <v>0</v>
      </c>
      <c r="BU57" s="18">
        <v>0</v>
      </c>
      <c r="BV57" s="317">
        <v>0</v>
      </c>
      <c r="BW57" s="18">
        <v>0</v>
      </c>
      <c r="BX57" s="18">
        <v>0</v>
      </c>
      <c r="BY57" s="317">
        <v>0</v>
      </c>
      <c r="BZ57" s="18">
        <v>0</v>
      </c>
      <c r="CA57" s="18">
        <v>0</v>
      </c>
      <c r="CB57" s="317">
        <v>0</v>
      </c>
      <c r="CC57" s="18">
        <v>0</v>
      </c>
      <c r="CD57" s="18">
        <v>0</v>
      </c>
      <c r="CE57" s="317">
        <v>0</v>
      </c>
      <c r="CF57" s="18">
        <v>0</v>
      </c>
      <c r="CG57" s="18">
        <v>0</v>
      </c>
      <c r="CH57" s="317">
        <v>0</v>
      </c>
      <c r="CI57" s="18">
        <v>0</v>
      </c>
      <c r="CJ57" s="18">
        <v>0</v>
      </c>
      <c r="CK57" s="317">
        <v>0</v>
      </c>
      <c r="CL57" s="18">
        <v>0</v>
      </c>
      <c r="CM57" s="18">
        <v>0</v>
      </c>
      <c r="CN57" s="317">
        <v>0</v>
      </c>
      <c r="CO57" s="18">
        <v>0</v>
      </c>
      <c r="CP57" s="18">
        <v>0</v>
      </c>
      <c r="CQ57" s="317">
        <v>0</v>
      </c>
      <c r="CR57" s="18">
        <v>0</v>
      </c>
      <c r="CS57" s="18">
        <v>0</v>
      </c>
      <c r="CT57" s="317">
        <v>0</v>
      </c>
      <c r="CU57" s="18">
        <v>0</v>
      </c>
      <c r="CV57" s="18">
        <v>0</v>
      </c>
      <c r="CW57" s="317">
        <v>0</v>
      </c>
      <c r="CX57" s="18">
        <v>0</v>
      </c>
      <c r="CY57" s="18">
        <v>0</v>
      </c>
      <c r="CZ57" s="317">
        <v>0</v>
      </c>
      <c r="DA57" s="18">
        <v>0</v>
      </c>
      <c r="DB57" s="18">
        <v>0</v>
      </c>
      <c r="DC57" s="317">
        <v>0</v>
      </c>
      <c r="DD57" s="18">
        <v>0</v>
      </c>
      <c r="DE57" s="18">
        <v>0</v>
      </c>
      <c r="DF57" s="317">
        <v>0</v>
      </c>
      <c r="DG57" s="105">
        <v>1</v>
      </c>
      <c r="DH57" s="18">
        <v>0</v>
      </c>
      <c r="DI57" s="317">
        <v>0</v>
      </c>
      <c r="DJ57" s="18">
        <v>0</v>
      </c>
      <c r="DK57" s="18">
        <v>0</v>
      </c>
      <c r="DL57" s="317">
        <v>0</v>
      </c>
      <c r="DM57" s="18">
        <v>0</v>
      </c>
      <c r="DN57" s="18">
        <v>0</v>
      </c>
      <c r="DO57" s="317">
        <v>0</v>
      </c>
      <c r="DP57" s="18">
        <v>0</v>
      </c>
      <c r="DQ57" s="18">
        <v>0</v>
      </c>
      <c r="DR57" s="317">
        <v>0</v>
      </c>
      <c r="DS57" s="18">
        <v>0</v>
      </c>
      <c r="DT57" s="18">
        <v>0</v>
      </c>
      <c r="DU57" s="317">
        <v>0</v>
      </c>
      <c r="DV57" s="18">
        <v>0</v>
      </c>
      <c r="DW57" s="18">
        <v>0</v>
      </c>
      <c r="DX57" s="317">
        <v>0</v>
      </c>
      <c r="DY57" s="18">
        <v>0</v>
      </c>
      <c r="DZ57" s="18">
        <v>0</v>
      </c>
      <c r="EA57" s="317">
        <v>0</v>
      </c>
      <c r="EB57" s="18">
        <v>0</v>
      </c>
      <c r="EC57" s="18">
        <v>0</v>
      </c>
      <c r="ED57" s="317">
        <v>0</v>
      </c>
      <c r="EE57" s="18">
        <v>0</v>
      </c>
      <c r="EF57" s="18">
        <v>0</v>
      </c>
      <c r="EG57" s="317">
        <v>0</v>
      </c>
      <c r="EH57" s="18">
        <v>0</v>
      </c>
      <c r="EI57" s="18">
        <v>0</v>
      </c>
      <c r="EJ57" s="317">
        <v>0</v>
      </c>
      <c r="EK57" s="18">
        <v>0</v>
      </c>
      <c r="EL57" s="18">
        <v>0</v>
      </c>
      <c r="EM57" s="317">
        <v>0</v>
      </c>
      <c r="EN57" s="18">
        <v>0</v>
      </c>
      <c r="EO57" s="18">
        <v>0</v>
      </c>
      <c r="EP57" s="317">
        <v>0</v>
      </c>
      <c r="EQ57" s="18">
        <v>0</v>
      </c>
      <c r="ER57" s="18">
        <v>0</v>
      </c>
      <c r="ES57" s="317">
        <v>0</v>
      </c>
      <c r="ET57" s="18">
        <v>0</v>
      </c>
      <c r="EU57" s="18">
        <v>0</v>
      </c>
      <c r="EV57" s="317">
        <v>0</v>
      </c>
      <c r="EW57" s="18">
        <v>0</v>
      </c>
      <c r="EX57" s="18">
        <v>0</v>
      </c>
      <c r="EY57" s="317">
        <v>0</v>
      </c>
      <c r="EZ57" s="18">
        <v>0</v>
      </c>
      <c r="FA57" s="18">
        <v>0</v>
      </c>
      <c r="FB57" s="317">
        <v>0</v>
      </c>
      <c r="FC57" s="18">
        <v>0</v>
      </c>
      <c r="FD57" s="18">
        <v>0</v>
      </c>
      <c r="FE57" s="317">
        <v>0</v>
      </c>
      <c r="FF57" s="18">
        <v>0</v>
      </c>
      <c r="FG57" s="18">
        <v>0</v>
      </c>
      <c r="FH57" s="317">
        <v>0</v>
      </c>
      <c r="FI57" s="18">
        <v>0</v>
      </c>
      <c r="FJ57" s="18">
        <v>0</v>
      </c>
      <c r="FK57" s="317">
        <v>0</v>
      </c>
      <c r="FL57" s="18">
        <v>0</v>
      </c>
      <c r="FM57" s="18">
        <v>0</v>
      </c>
      <c r="FN57" s="317">
        <v>0</v>
      </c>
      <c r="FO57" s="646" t="s">
        <v>836</v>
      </c>
      <c r="FP57" s="531"/>
      <c r="FQ57" s="531"/>
      <c r="FR57" s="531"/>
      <c r="FS57" s="531"/>
      <c r="FT57" s="531"/>
      <c r="FU57" s="637" t="s">
        <v>837</v>
      </c>
      <c r="FV57" s="531"/>
      <c r="FW57" s="531"/>
      <c r="FX57" s="531"/>
      <c r="FY57" s="531"/>
      <c r="FZ57" s="531"/>
    </row>
    <row r="58" spans="1:182" ht="12.75">
      <c r="A58" s="93">
        <v>43889</v>
      </c>
      <c r="B58" s="14">
        <f t="shared" ref="B58:D58" si="53">SUM(I58,AM58,DG58)</f>
        <v>3</v>
      </c>
      <c r="C58" s="15">
        <f t="shared" si="53"/>
        <v>0</v>
      </c>
      <c r="D58" s="15">
        <f t="shared" si="53"/>
        <v>0</v>
      </c>
      <c r="E58" s="350">
        <f t="shared" si="1"/>
        <v>3</v>
      </c>
      <c r="F58" s="18">
        <v>0</v>
      </c>
      <c r="G58" s="18">
        <v>0</v>
      </c>
      <c r="H58" s="317">
        <v>0</v>
      </c>
      <c r="I58" s="105">
        <v>1</v>
      </c>
      <c r="J58" s="18">
        <v>0</v>
      </c>
      <c r="K58" s="317">
        <v>0</v>
      </c>
      <c r="L58" s="18">
        <v>0</v>
      </c>
      <c r="M58" s="18">
        <v>0</v>
      </c>
      <c r="N58" s="317">
        <v>0</v>
      </c>
      <c r="O58" s="18">
        <v>0</v>
      </c>
      <c r="P58" s="18">
        <v>0</v>
      </c>
      <c r="Q58" s="317">
        <v>0</v>
      </c>
      <c r="R58" s="18">
        <v>0</v>
      </c>
      <c r="S58" s="18">
        <v>0</v>
      </c>
      <c r="T58" s="317">
        <v>0</v>
      </c>
      <c r="U58" s="18">
        <v>0</v>
      </c>
      <c r="V58" s="18">
        <v>0</v>
      </c>
      <c r="W58" s="317">
        <v>0</v>
      </c>
      <c r="X58" s="18">
        <v>0</v>
      </c>
      <c r="Y58" s="18">
        <v>0</v>
      </c>
      <c r="Z58" s="317">
        <v>0</v>
      </c>
      <c r="AA58" s="18">
        <v>0</v>
      </c>
      <c r="AB58" s="18">
        <v>0</v>
      </c>
      <c r="AC58" s="317">
        <v>0</v>
      </c>
      <c r="AD58" s="18">
        <v>0</v>
      </c>
      <c r="AE58" s="18">
        <v>0</v>
      </c>
      <c r="AF58" s="317">
        <v>0</v>
      </c>
      <c r="AG58" s="18">
        <v>0</v>
      </c>
      <c r="AH58" s="18">
        <v>0</v>
      </c>
      <c r="AI58" s="317">
        <v>0</v>
      </c>
      <c r="AJ58" s="18">
        <v>0</v>
      </c>
      <c r="AK58" s="18">
        <v>0</v>
      </c>
      <c r="AL58" s="317">
        <v>0</v>
      </c>
      <c r="AM58" s="105">
        <v>1</v>
      </c>
      <c r="AN58" s="18">
        <v>0</v>
      </c>
      <c r="AO58" s="317">
        <v>0</v>
      </c>
      <c r="AP58" s="18">
        <v>0</v>
      </c>
      <c r="AQ58" s="18">
        <v>0</v>
      </c>
      <c r="AR58" s="317">
        <v>0</v>
      </c>
      <c r="AS58" s="18">
        <v>0</v>
      </c>
      <c r="AT58" s="18">
        <v>0</v>
      </c>
      <c r="AU58" s="317">
        <v>0</v>
      </c>
      <c r="AV58" s="18">
        <v>0</v>
      </c>
      <c r="AW58" s="18">
        <v>0</v>
      </c>
      <c r="AX58" s="317">
        <v>0</v>
      </c>
      <c r="AY58" s="18">
        <v>0</v>
      </c>
      <c r="AZ58" s="18">
        <v>0</v>
      </c>
      <c r="BA58" s="317">
        <v>0</v>
      </c>
      <c r="BB58" s="18">
        <v>0</v>
      </c>
      <c r="BC58" s="18">
        <v>0</v>
      </c>
      <c r="BD58" s="317">
        <v>0</v>
      </c>
      <c r="BE58" s="18">
        <v>0</v>
      </c>
      <c r="BF58" s="18">
        <v>0</v>
      </c>
      <c r="BG58" s="317">
        <v>0</v>
      </c>
      <c r="BH58" s="18">
        <v>0</v>
      </c>
      <c r="BI58" s="18">
        <v>0</v>
      </c>
      <c r="BJ58" s="317">
        <v>0</v>
      </c>
      <c r="BK58" s="18">
        <v>0</v>
      </c>
      <c r="BL58" s="18">
        <v>0</v>
      </c>
      <c r="BM58" s="317">
        <v>0</v>
      </c>
      <c r="BN58" s="18">
        <v>0</v>
      </c>
      <c r="BO58" s="18">
        <v>0</v>
      </c>
      <c r="BP58" s="317">
        <v>0</v>
      </c>
      <c r="BQ58" s="18">
        <v>0</v>
      </c>
      <c r="BR58" s="18">
        <v>0</v>
      </c>
      <c r="BS58" s="317">
        <v>0</v>
      </c>
      <c r="BT58" s="18">
        <v>0</v>
      </c>
      <c r="BU58" s="18">
        <v>0</v>
      </c>
      <c r="BV58" s="317">
        <v>0</v>
      </c>
      <c r="BW58" s="18">
        <v>0</v>
      </c>
      <c r="BX58" s="18">
        <v>0</v>
      </c>
      <c r="BY58" s="317">
        <v>0</v>
      </c>
      <c r="BZ58" s="18">
        <v>0</v>
      </c>
      <c r="CA58" s="18">
        <v>0</v>
      </c>
      <c r="CB58" s="317">
        <v>0</v>
      </c>
      <c r="CC58" s="18">
        <v>0</v>
      </c>
      <c r="CD58" s="18">
        <v>0</v>
      </c>
      <c r="CE58" s="317">
        <v>0</v>
      </c>
      <c r="CF58" s="18">
        <v>0</v>
      </c>
      <c r="CG58" s="18">
        <v>0</v>
      </c>
      <c r="CH58" s="317">
        <v>0</v>
      </c>
      <c r="CI58" s="18">
        <v>0</v>
      </c>
      <c r="CJ58" s="18">
        <v>0</v>
      </c>
      <c r="CK58" s="317">
        <v>0</v>
      </c>
      <c r="CL58" s="18">
        <v>0</v>
      </c>
      <c r="CM58" s="18">
        <v>0</v>
      </c>
      <c r="CN58" s="317">
        <v>0</v>
      </c>
      <c r="CO58" s="18">
        <v>0</v>
      </c>
      <c r="CP58" s="18">
        <v>0</v>
      </c>
      <c r="CQ58" s="317">
        <v>0</v>
      </c>
      <c r="CR58" s="18">
        <v>0</v>
      </c>
      <c r="CS58" s="18">
        <v>0</v>
      </c>
      <c r="CT58" s="317">
        <v>0</v>
      </c>
      <c r="CU58" s="18">
        <v>0</v>
      </c>
      <c r="CV58" s="18">
        <v>0</v>
      </c>
      <c r="CW58" s="317">
        <v>0</v>
      </c>
      <c r="CX58" s="18">
        <v>0</v>
      </c>
      <c r="CY58" s="18">
        <v>0</v>
      </c>
      <c r="CZ58" s="317">
        <v>0</v>
      </c>
      <c r="DA58" s="18">
        <v>0</v>
      </c>
      <c r="DB58" s="18">
        <v>0</v>
      </c>
      <c r="DC58" s="317">
        <v>0</v>
      </c>
      <c r="DD58" s="18">
        <v>0</v>
      </c>
      <c r="DE58" s="18">
        <v>0</v>
      </c>
      <c r="DF58" s="317">
        <v>0</v>
      </c>
      <c r="DG58" s="105">
        <v>1</v>
      </c>
      <c r="DH58" s="18">
        <v>0</v>
      </c>
      <c r="DI58" s="317">
        <v>0</v>
      </c>
      <c r="DJ58" s="18">
        <v>0</v>
      </c>
      <c r="DK58" s="18">
        <v>0</v>
      </c>
      <c r="DL58" s="317">
        <v>0</v>
      </c>
      <c r="DM58" s="18">
        <v>0</v>
      </c>
      <c r="DN58" s="18">
        <v>0</v>
      </c>
      <c r="DO58" s="317">
        <v>0</v>
      </c>
      <c r="DP58" s="18">
        <v>0</v>
      </c>
      <c r="DQ58" s="18">
        <v>0</v>
      </c>
      <c r="DR58" s="317">
        <v>0</v>
      </c>
      <c r="DS58" s="18">
        <v>0</v>
      </c>
      <c r="DT58" s="18">
        <v>0</v>
      </c>
      <c r="DU58" s="317">
        <v>0</v>
      </c>
      <c r="DV58" s="18">
        <v>0</v>
      </c>
      <c r="DW58" s="18">
        <v>0</v>
      </c>
      <c r="DX58" s="317">
        <v>0</v>
      </c>
      <c r="DY58" s="18">
        <v>0</v>
      </c>
      <c r="DZ58" s="18">
        <v>0</v>
      </c>
      <c r="EA58" s="317">
        <v>0</v>
      </c>
      <c r="EB58" s="18">
        <v>0</v>
      </c>
      <c r="EC58" s="18">
        <v>0</v>
      </c>
      <c r="ED58" s="317">
        <v>0</v>
      </c>
      <c r="EE58" s="18">
        <v>0</v>
      </c>
      <c r="EF58" s="18">
        <v>0</v>
      </c>
      <c r="EG58" s="317">
        <v>0</v>
      </c>
      <c r="EH58" s="18">
        <v>0</v>
      </c>
      <c r="EI58" s="18">
        <v>0</v>
      </c>
      <c r="EJ58" s="317">
        <v>0</v>
      </c>
      <c r="EK58" s="18">
        <v>0</v>
      </c>
      <c r="EL58" s="18">
        <v>0</v>
      </c>
      <c r="EM58" s="317">
        <v>0</v>
      </c>
      <c r="EN58" s="18">
        <v>0</v>
      </c>
      <c r="EO58" s="18">
        <v>0</v>
      </c>
      <c r="EP58" s="317">
        <v>0</v>
      </c>
      <c r="EQ58" s="18">
        <v>0</v>
      </c>
      <c r="ER58" s="18">
        <v>0</v>
      </c>
      <c r="ES58" s="317">
        <v>0</v>
      </c>
      <c r="ET58" s="18">
        <v>0</v>
      </c>
      <c r="EU58" s="18">
        <v>0</v>
      </c>
      <c r="EV58" s="317">
        <v>0</v>
      </c>
      <c r="EW58" s="18">
        <v>0</v>
      </c>
      <c r="EX58" s="18">
        <v>0</v>
      </c>
      <c r="EY58" s="317">
        <v>0</v>
      </c>
      <c r="EZ58" s="18">
        <v>0</v>
      </c>
      <c r="FA58" s="18">
        <v>0</v>
      </c>
      <c r="FB58" s="317">
        <v>0</v>
      </c>
      <c r="FC58" s="18">
        <v>0</v>
      </c>
      <c r="FD58" s="18">
        <v>0</v>
      </c>
      <c r="FE58" s="317">
        <v>0</v>
      </c>
      <c r="FF58" s="18">
        <v>0</v>
      </c>
      <c r="FG58" s="18">
        <v>0</v>
      </c>
      <c r="FH58" s="317">
        <v>0</v>
      </c>
      <c r="FI58" s="18">
        <v>0</v>
      </c>
      <c r="FJ58" s="18">
        <v>0</v>
      </c>
      <c r="FK58" s="317">
        <v>0</v>
      </c>
      <c r="FL58" s="18">
        <v>0</v>
      </c>
      <c r="FM58" s="18">
        <v>0</v>
      </c>
      <c r="FN58" s="317">
        <v>0</v>
      </c>
      <c r="FO58" s="646"/>
      <c r="FP58" s="531"/>
      <c r="FQ58" s="531"/>
      <c r="FR58" s="531"/>
      <c r="FS58" s="531"/>
      <c r="FT58" s="531"/>
      <c r="FU58" s="637"/>
      <c r="FV58" s="531"/>
      <c r="FW58" s="531"/>
      <c r="FX58" s="531"/>
      <c r="FY58" s="531"/>
      <c r="FZ58" s="531"/>
    </row>
    <row r="59" spans="1:182" ht="12.75">
      <c r="A59" s="81">
        <v>43890</v>
      </c>
      <c r="B59" s="21">
        <f t="shared" ref="B59:D59" si="54">SUM(I59,AM59,DG59)</f>
        <v>3</v>
      </c>
      <c r="C59" s="22">
        <f t="shared" si="54"/>
        <v>0</v>
      </c>
      <c r="D59" s="79">
        <f t="shared" si="54"/>
        <v>1</v>
      </c>
      <c r="E59" s="353">
        <f t="shared" si="1"/>
        <v>2</v>
      </c>
      <c r="F59" s="27">
        <v>0</v>
      </c>
      <c r="G59" s="27">
        <v>0</v>
      </c>
      <c r="H59" s="354">
        <v>0</v>
      </c>
      <c r="I59" s="116">
        <v>1</v>
      </c>
      <c r="J59" s="27">
        <v>0</v>
      </c>
      <c r="K59" s="354">
        <v>0</v>
      </c>
      <c r="L59" s="27">
        <v>0</v>
      </c>
      <c r="M59" s="27">
        <v>0</v>
      </c>
      <c r="N59" s="354">
        <v>0</v>
      </c>
      <c r="O59" s="27">
        <v>0</v>
      </c>
      <c r="P59" s="27">
        <v>0</v>
      </c>
      <c r="Q59" s="354">
        <v>0</v>
      </c>
      <c r="R59" s="27">
        <v>0</v>
      </c>
      <c r="S59" s="27">
        <v>0</v>
      </c>
      <c r="T59" s="354">
        <v>0</v>
      </c>
      <c r="U59" s="27">
        <v>0</v>
      </c>
      <c r="V59" s="27">
        <v>0</v>
      </c>
      <c r="W59" s="354">
        <v>0</v>
      </c>
      <c r="X59" s="27">
        <v>0</v>
      </c>
      <c r="Y59" s="27">
        <v>0</v>
      </c>
      <c r="Z59" s="354">
        <v>0</v>
      </c>
      <c r="AA59" s="27">
        <v>0</v>
      </c>
      <c r="AB59" s="27">
        <v>0</v>
      </c>
      <c r="AC59" s="354">
        <v>0</v>
      </c>
      <c r="AD59" s="27">
        <v>0</v>
      </c>
      <c r="AE59" s="27">
        <v>0</v>
      </c>
      <c r="AF59" s="354">
        <v>0</v>
      </c>
      <c r="AG59" s="27">
        <v>0</v>
      </c>
      <c r="AH59" s="27">
        <v>0</v>
      </c>
      <c r="AI59" s="354">
        <v>0</v>
      </c>
      <c r="AJ59" s="27">
        <v>0</v>
      </c>
      <c r="AK59" s="27">
        <v>0</v>
      </c>
      <c r="AL59" s="354">
        <v>0</v>
      </c>
      <c r="AM59" s="116">
        <v>1</v>
      </c>
      <c r="AN59" s="27">
        <v>0</v>
      </c>
      <c r="AO59" s="162">
        <v>1</v>
      </c>
      <c r="AP59" s="27">
        <v>0</v>
      </c>
      <c r="AQ59" s="27">
        <v>0</v>
      </c>
      <c r="AR59" s="354">
        <v>0</v>
      </c>
      <c r="AS59" s="27">
        <v>0</v>
      </c>
      <c r="AT59" s="27">
        <v>0</v>
      </c>
      <c r="AU59" s="354">
        <v>0</v>
      </c>
      <c r="AV59" s="27">
        <v>0</v>
      </c>
      <c r="AW59" s="27">
        <v>0</v>
      </c>
      <c r="AX59" s="354">
        <v>0</v>
      </c>
      <c r="AY59" s="27">
        <v>0</v>
      </c>
      <c r="AZ59" s="27">
        <v>0</v>
      </c>
      <c r="BA59" s="354">
        <v>0</v>
      </c>
      <c r="BB59" s="27">
        <v>0</v>
      </c>
      <c r="BC59" s="27">
        <v>0</v>
      </c>
      <c r="BD59" s="354">
        <v>0</v>
      </c>
      <c r="BE59" s="27">
        <v>0</v>
      </c>
      <c r="BF59" s="27">
        <v>0</v>
      </c>
      <c r="BG59" s="354">
        <v>0</v>
      </c>
      <c r="BH59" s="27">
        <v>0</v>
      </c>
      <c r="BI59" s="27">
        <v>0</v>
      </c>
      <c r="BJ59" s="354">
        <v>0</v>
      </c>
      <c r="BK59" s="27">
        <v>0</v>
      </c>
      <c r="BL59" s="27">
        <v>0</v>
      </c>
      <c r="BM59" s="354">
        <v>0</v>
      </c>
      <c r="BN59" s="27">
        <v>0</v>
      </c>
      <c r="BO59" s="27">
        <v>0</v>
      </c>
      <c r="BP59" s="354">
        <v>0</v>
      </c>
      <c r="BQ59" s="27">
        <v>0</v>
      </c>
      <c r="BR59" s="27">
        <v>0</v>
      </c>
      <c r="BS59" s="354">
        <v>0</v>
      </c>
      <c r="BT59" s="27">
        <v>0</v>
      </c>
      <c r="BU59" s="27">
        <v>0</v>
      </c>
      <c r="BV59" s="354">
        <v>0</v>
      </c>
      <c r="BW59" s="27">
        <v>0</v>
      </c>
      <c r="BX59" s="27">
        <v>0</v>
      </c>
      <c r="BY59" s="354">
        <v>0</v>
      </c>
      <c r="BZ59" s="27">
        <v>0</v>
      </c>
      <c r="CA59" s="27">
        <v>0</v>
      </c>
      <c r="CB59" s="354">
        <v>0</v>
      </c>
      <c r="CC59" s="27">
        <v>0</v>
      </c>
      <c r="CD59" s="27">
        <v>0</v>
      </c>
      <c r="CE59" s="354">
        <v>0</v>
      </c>
      <c r="CF59" s="27">
        <v>0</v>
      </c>
      <c r="CG59" s="27">
        <v>0</v>
      </c>
      <c r="CH59" s="354">
        <v>0</v>
      </c>
      <c r="CI59" s="27">
        <v>0</v>
      </c>
      <c r="CJ59" s="27">
        <v>0</v>
      </c>
      <c r="CK59" s="354">
        <v>0</v>
      </c>
      <c r="CL59" s="27">
        <v>0</v>
      </c>
      <c r="CM59" s="27">
        <v>0</v>
      </c>
      <c r="CN59" s="354">
        <v>0</v>
      </c>
      <c r="CO59" s="27">
        <v>0</v>
      </c>
      <c r="CP59" s="27">
        <v>0</v>
      </c>
      <c r="CQ59" s="354">
        <v>0</v>
      </c>
      <c r="CR59" s="27">
        <v>0</v>
      </c>
      <c r="CS59" s="27">
        <v>0</v>
      </c>
      <c r="CT59" s="354">
        <v>0</v>
      </c>
      <c r="CU59" s="27">
        <v>0</v>
      </c>
      <c r="CV59" s="27">
        <v>0</v>
      </c>
      <c r="CW59" s="354">
        <v>0</v>
      </c>
      <c r="CX59" s="27">
        <v>0</v>
      </c>
      <c r="CY59" s="27">
        <v>0</v>
      </c>
      <c r="CZ59" s="354">
        <v>0</v>
      </c>
      <c r="DA59" s="27">
        <v>0</v>
      </c>
      <c r="DB59" s="27">
        <v>0</v>
      </c>
      <c r="DC59" s="354">
        <v>0</v>
      </c>
      <c r="DD59" s="27">
        <v>0</v>
      </c>
      <c r="DE59" s="27">
        <v>0</v>
      </c>
      <c r="DF59" s="354">
        <v>0</v>
      </c>
      <c r="DG59" s="116">
        <v>1</v>
      </c>
      <c r="DH59" s="27">
        <v>0</v>
      </c>
      <c r="DI59" s="354">
        <v>0</v>
      </c>
      <c r="DJ59" s="27">
        <v>0</v>
      </c>
      <c r="DK59" s="27">
        <v>0</v>
      </c>
      <c r="DL59" s="354">
        <v>0</v>
      </c>
      <c r="DM59" s="27">
        <v>0</v>
      </c>
      <c r="DN59" s="27">
        <v>0</v>
      </c>
      <c r="DO59" s="354">
        <v>0</v>
      </c>
      <c r="DP59" s="27">
        <v>0</v>
      </c>
      <c r="DQ59" s="27">
        <v>0</v>
      </c>
      <c r="DR59" s="354">
        <v>0</v>
      </c>
      <c r="DS59" s="27">
        <v>0</v>
      </c>
      <c r="DT59" s="27">
        <v>0</v>
      </c>
      <c r="DU59" s="354">
        <v>0</v>
      </c>
      <c r="DV59" s="27">
        <v>0</v>
      </c>
      <c r="DW59" s="27">
        <v>0</v>
      </c>
      <c r="DX59" s="354">
        <v>0</v>
      </c>
      <c r="DY59" s="27">
        <v>0</v>
      </c>
      <c r="DZ59" s="27">
        <v>0</v>
      </c>
      <c r="EA59" s="354">
        <v>0</v>
      </c>
      <c r="EB59" s="27">
        <v>0</v>
      </c>
      <c r="EC59" s="27">
        <v>0</v>
      </c>
      <c r="ED59" s="354">
        <v>0</v>
      </c>
      <c r="EE59" s="27">
        <v>0</v>
      </c>
      <c r="EF59" s="27">
        <v>0</v>
      </c>
      <c r="EG59" s="354">
        <v>0</v>
      </c>
      <c r="EH59" s="27">
        <v>0</v>
      </c>
      <c r="EI59" s="27">
        <v>0</v>
      </c>
      <c r="EJ59" s="354">
        <v>0</v>
      </c>
      <c r="EK59" s="27">
        <v>0</v>
      </c>
      <c r="EL59" s="27">
        <v>0</v>
      </c>
      <c r="EM59" s="354">
        <v>0</v>
      </c>
      <c r="EN59" s="27">
        <v>0</v>
      </c>
      <c r="EO59" s="27">
        <v>0</v>
      </c>
      <c r="EP59" s="354">
        <v>0</v>
      </c>
      <c r="EQ59" s="27">
        <v>0</v>
      </c>
      <c r="ER59" s="27">
        <v>0</v>
      </c>
      <c r="ES59" s="354">
        <v>0</v>
      </c>
      <c r="ET59" s="27">
        <v>0</v>
      </c>
      <c r="EU59" s="27">
        <v>0</v>
      </c>
      <c r="EV59" s="354">
        <v>0</v>
      </c>
      <c r="EW59" s="27">
        <v>0</v>
      </c>
      <c r="EX59" s="27">
        <v>0</v>
      </c>
      <c r="EY59" s="354">
        <v>0</v>
      </c>
      <c r="EZ59" s="27">
        <v>0</v>
      </c>
      <c r="FA59" s="27">
        <v>0</v>
      </c>
      <c r="FB59" s="354">
        <v>0</v>
      </c>
      <c r="FC59" s="27">
        <v>0</v>
      </c>
      <c r="FD59" s="27">
        <v>0</v>
      </c>
      <c r="FE59" s="354">
        <v>0</v>
      </c>
      <c r="FF59" s="27">
        <v>0</v>
      </c>
      <c r="FG59" s="27">
        <v>0</v>
      </c>
      <c r="FH59" s="354">
        <v>0</v>
      </c>
      <c r="FI59" s="27">
        <v>0</v>
      </c>
      <c r="FJ59" s="27">
        <v>0</v>
      </c>
      <c r="FK59" s="354">
        <v>0</v>
      </c>
      <c r="FL59" s="27">
        <v>0</v>
      </c>
      <c r="FM59" s="27">
        <v>0</v>
      </c>
      <c r="FN59" s="354">
        <v>0</v>
      </c>
      <c r="FO59" s="648" t="s">
        <v>839</v>
      </c>
      <c r="FP59" s="639"/>
      <c r="FQ59" s="639"/>
      <c r="FR59" s="639"/>
      <c r="FS59" s="639"/>
      <c r="FT59" s="639"/>
      <c r="FU59" s="638" t="s">
        <v>840</v>
      </c>
      <c r="FV59" s="639"/>
      <c r="FW59" s="639"/>
      <c r="FX59" s="639"/>
      <c r="FY59" s="639"/>
      <c r="FZ59" s="639"/>
    </row>
    <row r="60" spans="1:182" ht="12.75">
      <c r="A60" s="93">
        <v>43891</v>
      </c>
      <c r="B60" s="14">
        <f t="shared" ref="B60:D60" si="55">SUM(I60,AM60,DG60)</f>
        <v>3</v>
      </c>
      <c r="C60" s="15">
        <f t="shared" si="55"/>
        <v>0</v>
      </c>
      <c r="D60" s="73">
        <f t="shared" si="55"/>
        <v>1</v>
      </c>
      <c r="E60" s="350">
        <f t="shared" si="1"/>
        <v>2</v>
      </c>
      <c r="F60" s="18">
        <v>0</v>
      </c>
      <c r="G60" s="18">
        <v>0</v>
      </c>
      <c r="H60" s="317">
        <v>0</v>
      </c>
      <c r="I60" s="105">
        <v>1</v>
      </c>
      <c r="J60" s="18">
        <v>0</v>
      </c>
      <c r="K60" s="317">
        <v>0</v>
      </c>
      <c r="L60" s="18">
        <v>0</v>
      </c>
      <c r="M60" s="18">
        <v>0</v>
      </c>
      <c r="N60" s="317">
        <v>0</v>
      </c>
      <c r="O60" s="18">
        <v>0</v>
      </c>
      <c r="P60" s="18">
        <v>0</v>
      </c>
      <c r="Q60" s="317">
        <v>0</v>
      </c>
      <c r="R60" s="18">
        <v>0</v>
      </c>
      <c r="S60" s="18">
        <v>0</v>
      </c>
      <c r="T60" s="317">
        <v>0</v>
      </c>
      <c r="U60" s="18">
        <v>0</v>
      </c>
      <c r="V60" s="18">
        <v>0</v>
      </c>
      <c r="W60" s="317">
        <v>0</v>
      </c>
      <c r="X60" s="18">
        <v>0</v>
      </c>
      <c r="Y60" s="18">
        <v>0</v>
      </c>
      <c r="Z60" s="317">
        <v>0</v>
      </c>
      <c r="AA60" s="18">
        <v>0</v>
      </c>
      <c r="AB60" s="18">
        <v>0</v>
      </c>
      <c r="AC60" s="317">
        <v>0</v>
      </c>
      <c r="AD60" s="18">
        <v>0</v>
      </c>
      <c r="AE60" s="18">
        <v>0</v>
      </c>
      <c r="AF60" s="317">
        <v>0</v>
      </c>
      <c r="AG60" s="18">
        <v>0</v>
      </c>
      <c r="AH60" s="18">
        <v>0</v>
      </c>
      <c r="AI60" s="317">
        <v>0</v>
      </c>
      <c r="AJ60" s="18">
        <v>0</v>
      </c>
      <c r="AK60" s="18">
        <v>0</v>
      </c>
      <c r="AL60" s="317">
        <v>0</v>
      </c>
      <c r="AM60" s="105">
        <v>1</v>
      </c>
      <c r="AN60" s="18">
        <v>0</v>
      </c>
      <c r="AO60" s="150">
        <v>1</v>
      </c>
      <c r="AP60" s="18">
        <v>0</v>
      </c>
      <c r="AQ60" s="18">
        <v>0</v>
      </c>
      <c r="AR60" s="317">
        <v>0</v>
      </c>
      <c r="AS60" s="18">
        <v>0</v>
      </c>
      <c r="AT60" s="18">
        <v>0</v>
      </c>
      <c r="AU60" s="317">
        <v>0</v>
      </c>
      <c r="AV60" s="18">
        <v>0</v>
      </c>
      <c r="AW60" s="18">
        <v>0</v>
      </c>
      <c r="AX60" s="317">
        <v>0</v>
      </c>
      <c r="AY60" s="18">
        <v>0</v>
      </c>
      <c r="AZ60" s="18">
        <v>0</v>
      </c>
      <c r="BA60" s="317">
        <v>0</v>
      </c>
      <c r="BB60" s="18">
        <v>0</v>
      </c>
      <c r="BC60" s="18">
        <v>0</v>
      </c>
      <c r="BD60" s="317">
        <v>0</v>
      </c>
      <c r="BE60" s="18">
        <v>0</v>
      </c>
      <c r="BF60" s="18">
        <v>0</v>
      </c>
      <c r="BG60" s="317">
        <v>0</v>
      </c>
      <c r="BH60" s="18">
        <v>0</v>
      </c>
      <c r="BI60" s="18">
        <v>0</v>
      </c>
      <c r="BJ60" s="317">
        <v>0</v>
      </c>
      <c r="BK60" s="18">
        <v>0</v>
      </c>
      <c r="BL60" s="18">
        <v>0</v>
      </c>
      <c r="BM60" s="317">
        <v>0</v>
      </c>
      <c r="BN60" s="18">
        <v>0</v>
      </c>
      <c r="BO60" s="18">
        <v>0</v>
      </c>
      <c r="BP60" s="317">
        <v>0</v>
      </c>
      <c r="BQ60" s="18">
        <v>0</v>
      </c>
      <c r="BR60" s="18">
        <v>0</v>
      </c>
      <c r="BS60" s="317">
        <v>0</v>
      </c>
      <c r="BT60" s="18">
        <v>0</v>
      </c>
      <c r="BU60" s="18">
        <v>0</v>
      </c>
      <c r="BV60" s="317">
        <v>0</v>
      </c>
      <c r="BW60" s="18">
        <v>0</v>
      </c>
      <c r="BX60" s="18">
        <v>0</v>
      </c>
      <c r="BY60" s="317">
        <v>0</v>
      </c>
      <c r="BZ60" s="18">
        <v>0</v>
      </c>
      <c r="CA60" s="18">
        <v>0</v>
      </c>
      <c r="CB60" s="317">
        <v>0</v>
      </c>
      <c r="CC60" s="18">
        <v>0</v>
      </c>
      <c r="CD60" s="18">
        <v>0</v>
      </c>
      <c r="CE60" s="317">
        <v>0</v>
      </c>
      <c r="CF60" s="18">
        <v>0</v>
      </c>
      <c r="CG60" s="18">
        <v>0</v>
      </c>
      <c r="CH60" s="317">
        <v>0</v>
      </c>
      <c r="CI60" s="18">
        <v>0</v>
      </c>
      <c r="CJ60" s="18">
        <v>0</v>
      </c>
      <c r="CK60" s="317">
        <v>0</v>
      </c>
      <c r="CL60" s="18">
        <v>0</v>
      </c>
      <c r="CM60" s="18">
        <v>0</v>
      </c>
      <c r="CN60" s="317">
        <v>0</v>
      </c>
      <c r="CO60" s="18">
        <v>0</v>
      </c>
      <c r="CP60" s="18">
        <v>0</v>
      </c>
      <c r="CQ60" s="317">
        <v>0</v>
      </c>
      <c r="CR60" s="18">
        <v>0</v>
      </c>
      <c r="CS60" s="18">
        <v>0</v>
      </c>
      <c r="CT60" s="317">
        <v>0</v>
      </c>
      <c r="CU60" s="18">
        <v>0</v>
      </c>
      <c r="CV60" s="18">
        <v>0</v>
      </c>
      <c r="CW60" s="317">
        <v>0</v>
      </c>
      <c r="CX60" s="18">
        <v>0</v>
      </c>
      <c r="CY60" s="18">
        <v>0</v>
      </c>
      <c r="CZ60" s="317">
        <v>0</v>
      </c>
      <c r="DA60" s="18">
        <v>0</v>
      </c>
      <c r="DB60" s="18">
        <v>0</v>
      </c>
      <c r="DC60" s="317">
        <v>0</v>
      </c>
      <c r="DD60" s="18">
        <v>0</v>
      </c>
      <c r="DE60" s="18">
        <v>0</v>
      </c>
      <c r="DF60" s="317">
        <v>0</v>
      </c>
      <c r="DG60" s="105">
        <v>1</v>
      </c>
      <c r="DH60" s="18">
        <v>0</v>
      </c>
      <c r="DI60" s="317">
        <v>0</v>
      </c>
      <c r="DJ60" s="18">
        <v>0</v>
      </c>
      <c r="DK60" s="18">
        <v>0</v>
      </c>
      <c r="DL60" s="317">
        <v>0</v>
      </c>
      <c r="DM60" s="18">
        <v>0</v>
      </c>
      <c r="DN60" s="18">
        <v>0</v>
      </c>
      <c r="DO60" s="317">
        <v>0</v>
      </c>
      <c r="DP60" s="18">
        <v>0</v>
      </c>
      <c r="DQ60" s="18">
        <v>0</v>
      </c>
      <c r="DR60" s="317">
        <v>0</v>
      </c>
      <c r="DS60" s="18">
        <v>0</v>
      </c>
      <c r="DT60" s="18">
        <v>0</v>
      </c>
      <c r="DU60" s="317">
        <v>0</v>
      </c>
      <c r="DV60" s="18">
        <v>0</v>
      </c>
      <c r="DW60" s="18">
        <v>0</v>
      </c>
      <c r="DX60" s="317">
        <v>0</v>
      </c>
      <c r="DY60" s="18">
        <v>0</v>
      </c>
      <c r="DZ60" s="18">
        <v>0</v>
      </c>
      <c r="EA60" s="317">
        <v>0</v>
      </c>
      <c r="EB60" s="18">
        <v>0</v>
      </c>
      <c r="EC60" s="18">
        <v>0</v>
      </c>
      <c r="ED60" s="317">
        <v>0</v>
      </c>
      <c r="EE60" s="18">
        <v>0</v>
      </c>
      <c r="EF60" s="18">
        <v>0</v>
      </c>
      <c r="EG60" s="317">
        <v>0</v>
      </c>
      <c r="EH60" s="18">
        <v>0</v>
      </c>
      <c r="EI60" s="18">
        <v>0</v>
      </c>
      <c r="EJ60" s="317">
        <v>0</v>
      </c>
      <c r="EK60" s="18">
        <v>0</v>
      </c>
      <c r="EL60" s="18">
        <v>0</v>
      </c>
      <c r="EM60" s="317">
        <v>0</v>
      </c>
      <c r="EN60" s="18">
        <v>0</v>
      </c>
      <c r="EO60" s="18">
        <v>0</v>
      </c>
      <c r="EP60" s="317">
        <v>0</v>
      </c>
      <c r="EQ60" s="18">
        <v>0</v>
      </c>
      <c r="ER60" s="18">
        <v>0</v>
      </c>
      <c r="ES60" s="317">
        <v>0</v>
      </c>
      <c r="ET60" s="18">
        <v>0</v>
      </c>
      <c r="EU60" s="18">
        <v>0</v>
      </c>
      <c r="EV60" s="317">
        <v>0</v>
      </c>
      <c r="EW60" s="18">
        <v>0</v>
      </c>
      <c r="EX60" s="18">
        <v>0</v>
      </c>
      <c r="EY60" s="317">
        <v>0</v>
      </c>
      <c r="EZ60" s="18">
        <v>0</v>
      </c>
      <c r="FA60" s="18">
        <v>0</v>
      </c>
      <c r="FB60" s="317">
        <v>0</v>
      </c>
      <c r="FC60" s="18">
        <v>0</v>
      </c>
      <c r="FD60" s="18">
        <v>0</v>
      </c>
      <c r="FE60" s="317">
        <v>0</v>
      </c>
      <c r="FF60" s="18">
        <v>0</v>
      </c>
      <c r="FG60" s="18">
        <v>0</v>
      </c>
      <c r="FH60" s="317">
        <v>0</v>
      </c>
      <c r="FI60" s="18">
        <v>0</v>
      </c>
      <c r="FJ60" s="18">
        <v>0</v>
      </c>
      <c r="FK60" s="317">
        <v>0</v>
      </c>
      <c r="FL60" s="18">
        <v>0</v>
      </c>
      <c r="FM60" s="18">
        <v>0</v>
      </c>
      <c r="FN60" s="317">
        <v>0</v>
      </c>
      <c r="FO60" s="640"/>
      <c r="FP60" s="531"/>
      <c r="FQ60" s="531"/>
      <c r="FR60" s="531"/>
      <c r="FS60" s="531"/>
      <c r="FT60" s="531"/>
      <c r="FU60" s="640"/>
      <c r="FV60" s="531"/>
      <c r="FW60" s="531"/>
      <c r="FX60" s="531"/>
      <c r="FY60" s="531"/>
      <c r="FZ60" s="531"/>
    </row>
    <row r="61" spans="1:182" ht="12.75">
      <c r="A61" s="93">
        <v>43892</v>
      </c>
      <c r="B61" s="14">
        <f t="shared" ref="B61:D61" si="56">SUM(I61,AM61,DG61)</f>
        <v>6</v>
      </c>
      <c r="C61" s="15">
        <f t="shared" si="56"/>
        <v>0</v>
      </c>
      <c r="D61" s="73">
        <f t="shared" si="56"/>
        <v>1</v>
      </c>
      <c r="E61" s="350">
        <f t="shared" si="1"/>
        <v>5</v>
      </c>
      <c r="F61" s="18">
        <v>0</v>
      </c>
      <c r="G61" s="18">
        <v>0</v>
      </c>
      <c r="H61" s="317">
        <v>0</v>
      </c>
      <c r="I61" s="105">
        <v>3</v>
      </c>
      <c r="J61" s="18">
        <v>0</v>
      </c>
      <c r="K61" s="317">
        <v>0</v>
      </c>
      <c r="L61" s="18">
        <v>0</v>
      </c>
      <c r="M61" s="18">
        <v>0</v>
      </c>
      <c r="N61" s="317">
        <v>0</v>
      </c>
      <c r="O61" s="18">
        <v>0</v>
      </c>
      <c r="P61" s="18">
        <v>0</v>
      </c>
      <c r="Q61" s="317">
        <v>0</v>
      </c>
      <c r="R61" s="18">
        <v>0</v>
      </c>
      <c r="S61" s="18">
        <v>0</v>
      </c>
      <c r="T61" s="317">
        <v>0</v>
      </c>
      <c r="U61" s="18">
        <v>0</v>
      </c>
      <c r="V61" s="18">
        <v>0</v>
      </c>
      <c r="W61" s="317">
        <v>0</v>
      </c>
      <c r="X61" s="18">
        <v>0</v>
      </c>
      <c r="Y61" s="18">
        <v>0</v>
      </c>
      <c r="Z61" s="317">
        <v>0</v>
      </c>
      <c r="AA61" s="18">
        <v>0</v>
      </c>
      <c r="AB61" s="18">
        <v>0</v>
      </c>
      <c r="AC61" s="317">
        <v>0</v>
      </c>
      <c r="AD61" s="18">
        <v>0</v>
      </c>
      <c r="AE61" s="18">
        <v>0</v>
      </c>
      <c r="AF61" s="317">
        <v>0</v>
      </c>
      <c r="AG61" s="18">
        <v>0</v>
      </c>
      <c r="AH61" s="18">
        <v>0</v>
      </c>
      <c r="AI61" s="317">
        <v>0</v>
      </c>
      <c r="AJ61" s="18">
        <v>0</v>
      </c>
      <c r="AK61" s="18">
        <v>0</v>
      </c>
      <c r="AL61" s="317">
        <v>0</v>
      </c>
      <c r="AM61" s="105">
        <v>2</v>
      </c>
      <c r="AN61" s="18">
        <v>0</v>
      </c>
      <c r="AO61" s="150">
        <v>1</v>
      </c>
      <c r="AP61" s="18">
        <v>0</v>
      </c>
      <c r="AQ61" s="18">
        <v>0</v>
      </c>
      <c r="AR61" s="317">
        <v>0</v>
      </c>
      <c r="AS61" s="18">
        <v>0</v>
      </c>
      <c r="AT61" s="18">
        <v>0</v>
      </c>
      <c r="AU61" s="317">
        <v>0</v>
      </c>
      <c r="AV61" s="18">
        <v>0</v>
      </c>
      <c r="AW61" s="18">
        <v>0</v>
      </c>
      <c r="AX61" s="317">
        <v>0</v>
      </c>
      <c r="AY61" s="18">
        <v>0</v>
      </c>
      <c r="AZ61" s="18">
        <v>0</v>
      </c>
      <c r="BA61" s="317">
        <v>0</v>
      </c>
      <c r="BB61" s="18">
        <v>0</v>
      </c>
      <c r="BC61" s="18">
        <v>0</v>
      </c>
      <c r="BD61" s="317">
        <v>0</v>
      </c>
      <c r="BE61" s="18">
        <v>0</v>
      </c>
      <c r="BF61" s="18">
        <v>0</v>
      </c>
      <c r="BG61" s="317">
        <v>0</v>
      </c>
      <c r="BH61" s="18">
        <v>0</v>
      </c>
      <c r="BI61" s="18">
        <v>0</v>
      </c>
      <c r="BJ61" s="317">
        <v>0</v>
      </c>
      <c r="BK61" s="18">
        <v>0</v>
      </c>
      <c r="BL61" s="18">
        <v>0</v>
      </c>
      <c r="BM61" s="317">
        <v>0</v>
      </c>
      <c r="BN61" s="18">
        <v>0</v>
      </c>
      <c r="BO61" s="18">
        <v>0</v>
      </c>
      <c r="BP61" s="317">
        <v>0</v>
      </c>
      <c r="BQ61" s="18">
        <v>0</v>
      </c>
      <c r="BR61" s="18">
        <v>0</v>
      </c>
      <c r="BS61" s="317">
        <v>0</v>
      </c>
      <c r="BT61" s="18">
        <v>0</v>
      </c>
      <c r="BU61" s="18">
        <v>0</v>
      </c>
      <c r="BV61" s="317">
        <v>0</v>
      </c>
      <c r="BW61" s="18">
        <v>0</v>
      </c>
      <c r="BX61" s="18">
        <v>0</v>
      </c>
      <c r="BY61" s="317">
        <v>0</v>
      </c>
      <c r="BZ61" s="18">
        <v>0</v>
      </c>
      <c r="CA61" s="18">
        <v>0</v>
      </c>
      <c r="CB61" s="317">
        <v>0</v>
      </c>
      <c r="CC61" s="18">
        <v>0</v>
      </c>
      <c r="CD61" s="18">
        <v>0</v>
      </c>
      <c r="CE61" s="317">
        <v>0</v>
      </c>
      <c r="CF61" s="18">
        <v>0</v>
      </c>
      <c r="CG61" s="18">
        <v>0</v>
      </c>
      <c r="CH61" s="317">
        <v>0</v>
      </c>
      <c r="CI61" s="18">
        <v>0</v>
      </c>
      <c r="CJ61" s="18">
        <v>0</v>
      </c>
      <c r="CK61" s="317">
        <v>0</v>
      </c>
      <c r="CL61" s="18">
        <v>0</v>
      </c>
      <c r="CM61" s="18">
        <v>0</v>
      </c>
      <c r="CN61" s="317">
        <v>0</v>
      </c>
      <c r="CO61" s="18">
        <v>0</v>
      </c>
      <c r="CP61" s="18">
        <v>0</v>
      </c>
      <c r="CQ61" s="317">
        <v>0</v>
      </c>
      <c r="CR61" s="18">
        <v>0</v>
      </c>
      <c r="CS61" s="18">
        <v>0</v>
      </c>
      <c r="CT61" s="317">
        <v>0</v>
      </c>
      <c r="CU61" s="18">
        <v>0</v>
      </c>
      <c r="CV61" s="18">
        <v>0</v>
      </c>
      <c r="CW61" s="317">
        <v>0</v>
      </c>
      <c r="CX61" s="18">
        <v>0</v>
      </c>
      <c r="CY61" s="18">
        <v>0</v>
      </c>
      <c r="CZ61" s="317">
        <v>0</v>
      </c>
      <c r="DA61" s="18">
        <v>0</v>
      </c>
      <c r="DB61" s="18">
        <v>0</v>
      </c>
      <c r="DC61" s="317">
        <v>0</v>
      </c>
      <c r="DD61" s="18">
        <v>0</v>
      </c>
      <c r="DE61" s="18">
        <v>0</v>
      </c>
      <c r="DF61" s="317">
        <v>0</v>
      </c>
      <c r="DG61" s="105">
        <v>1</v>
      </c>
      <c r="DH61" s="18">
        <v>0</v>
      </c>
      <c r="DI61" s="317">
        <v>0</v>
      </c>
      <c r="DJ61" s="18">
        <v>0</v>
      </c>
      <c r="DK61" s="18">
        <v>0</v>
      </c>
      <c r="DL61" s="317">
        <v>0</v>
      </c>
      <c r="DM61" s="18">
        <v>0</v>
      </c>
      <c r="DN61" s="18">
        <v>0</v>
      </c>
      <c r="DO61" s="317">
        <v>0</v>
      </c>
      <c r="DP61" s="18">
        <v>0</v>
      </c>
      <c r="DQ61" s="18">
        <v>0</v>
      </c>
      <c r="DR61" s="317">
        <v>0</v>
      </c>
      <c r="DS61" s="18">
        <v>0</v>
      </c>
      <c r="DT61" s="18">
        <v>0</v>
      </c>
      <c r="DU61" s="317">
        <v>0</v>
      </c>
      <c r="DV61" s="18">
        <v>0</v>
      </c>
      <c r="DW61" s="18">
        <v>0</v>
      </c>
      <c r="DX61" s="317">
        <v>0</v>
      </c>
      <c r="DY61" s="18">
        <v>0</v>
      </c>
      <c r="DZ61" s="18">
        <v>0</v>
      </c>
      <c r="EA61" s="317">
        <v>0</v>
      </c>
      <c r="EB61" s="18">
        <v>0</v>
      </c>
      <c r="EC61" s="18">
        <v>0</v>
      </c>
      <c r="ED61" s="317">
        <v>0</v>
      </c>
      <c r="EE61" s="105">
        <v>1</v>
      </c>
      <c r="EF61" s="18">
        <v>0</v>
      </c>
      <c r="EG61" s="317">
        <v>0</v>
      </c>
      <c r="EH61" s="18">
        <v>0</v>
      </c>
      <c r="EI61" s="18">
        <v>0</v>
      </c>
      <c r="EJ61" s="317">
        <v>0</v>
      </c>
      <c r="EK61" s="18">
        <v>0</v>
      </c>
      <c r="EL61" s="18">
        <v>0</v>
      </c>
      <c r="EM61" s="317">
        <v>0</v>
      </c>
      <c r="EN61" s="18">
        <v>0</v>
      </c>
      <c r="EO61" s="18">
        <v>0</v>
      </c>
      <c r="EP61" s="317">
        <v>0</v>
      </c>
      <c r="EQ61" s="18">
        <v>0</v>
      </c>
      <c r="ER61" s="18">
        <v>0</v>
      </c>
      <c r="ES61" s="317">
        <v>0</v>
      </c>
      <c r="ET61" s="18">
        <v>0</v>
      </c>
      <c r="EU61" s="18">
        <v>0</v>
      </c>
      <c r="EV61" s="317">
        <v>0</v>
      </c>
      <c r="EW61" s="18">
        <v>0</v>
      </c>
      <c r="EX61" s="18">
        <v>0</v>
      </c>
      <c r="EY61" s="317">
        <v>0</v>
      </c>
      <c r="EZ61" s="18">
        <v>0</v>
      </c>
      <c r="FA61" s="18">
        <v>0</v>
      </c>
      <c r="FB61" s="317">
        <v>0</v>
      </c>
      <c r="FC61" s="18">
        <v>0</v>
      </c>
      <c r="FD61" s="18">
        <v>0</v>
      </c>
      <c r="FE61" s="317">
        <v>0</v>
      </c>
      <c r="FF61" s="18">
        <v>0</v>
      </c>
      <c r="FG61" s="18">
        <v>0</v>
      </c>
      <c r="FH61" s="317">
        <v>0</v>
      </c>
      <c r="FI61" s="18">
        <v>0</v>
      </c>
      <c r="FJ61" s="18">
        <v>0</v>
      </c>
      <c r="FK61" s="317">
        <v>0</v>
      </c>
      <c r="FL61" s="18">
        <v>0</v>
      </c>
      <c r="FM61" s="18">
        <v>0</v>
      </c>
      <c r="FN61" s="317">
        <v>0</v>
      </c>
      <c r="FO61" s="640"/>
      <c r="FP61" s="531"/>
      <c r="FQ61" s="531"/>
      <c r="FR61" s="531"/>
      <c r="FS61" s="531"/>
      <c r="FT61" s="531"/>
      <c r="FU61" s="640"/>
      <c r="FV61" s="531"/>
      <c r="FW61" s="531"/>
      <c r="FX61" s="531"/>
      <c r="FY61" s="531"/>
      <c r="FZ61" s="531"/>
    </row>
    <row r="62" spans="1:182" ht="12.75">
      <c r="A62" s="93">
        <v>43893</v>
      </c>
      <c r="B62" s="14">
        <f t="shared" ref="B62:D62" si="57">SUM(I62,AM62,CL62,DG62,EE62,FF62)</f>
        <v>11</v>
      </c>
      <c r="C62" s="15">
        <f t="shared" si="57"/>
        <v>0</v>
      </c>
      <c r="D62" s="73">
        <f t="shared" si="57"/>
        <v>1</v>
      </c>
      <c r="E62" s="350">
        <f t="shared" si="1"/>
        <v>10</v>
      </c>
      <c r="F62" s="18">
        <v>0</v>
      </c>
      <c r="G62" s="18">
        <v>0</v>
      </c>
      <c r="H62" s="317">
        <v>0</v>
      </c>
      <c r="I62" s="105">
        <v>5</v>
      </c>
      <c r="J62" s="18">
        <v>0</v>
      </c>
      <c r="K62" s="317">
        <v>0</v>
      </c>
      <c r="L62" s="18">
        <v>0</v>
      </c>
      <c r="M62" s="18">
        <v>0</v>
      </c>
      <c r="N62" s="317">
        <v>0</v>
      </c>
      <c r="O62" s="18">
        <v>0</v>
      </c>
      <c r="P62" s="18">
        <v>0</v>
      </c>
      <c r="Q62" s="317">
        <v>0</v>
      </c>
      <c r="R62" s="18">
        <v>0</v>
      </c>
      <c r="S62" s="18">
        <v>0</v>
      </c>
      <c r="T62" s="317">
        <v>0</v>
      </c>
      <c r="U62" s="18">
        <v>0</v>
      </c>
      <c r="V62" s="18">
        <v>0</v>
      </c>
      <c r="W62" s="317">
        <v>0</v>
      </c>
      <c r="X62" s="18">
        <v>0</v>
      </c>
      <c r="Y62" s="18">
        <v>0</v>
      </c>
      <c r="Z62" s="317">
        <v>0</v>
      </c>
      <c r="AA62" s="18">
        <v>0</v>
      </c>
      <c r="AB62" s="18">
        <v>0</v>
      </c>
      <c r="AC62" s="317">
        <v>0</v>
      </c>
      <c r="AD62" s="18">
        <v>0</v>
      </c>
      <c r="AE62" s="18">
        <v>0</v>
      </c>
      <c r="AF62" s="317">
        <v>0</v>
      </c>
      <c r="AG62" s="18">
        <v>0</v>
      </c>
      <c r="AH62" s="18">
        <v>0</v>
      </c>
      <c r="AI62" s="317">
        <v>0</v>
      </c>
      <c r="AJ62" s="18">
        <v>0</v>
      </c>
      <c r="AK62" s="18">
        <v>0</v>
      </c>
      <c r="AL62" s="317">
        <v>0</v>
      </c>
      <c r="AM62" s="105">
        <v>2</v>
      </c>
      <c r="AN62" s="18">
        <v>0</v>
      </c>
      <c r="AO62" s="150">
        <v>1</v>
      </c>
      <c r="AP62" s="18">
        <v>0</v>
      </c>
      <c r="AQ62" s="18">
        <v>0</v>
      </c>
      <c r="AR62" s="317">
        <v>0</v>
      </c>
      <c r="AS62" s="18">
        <v>0</v>
      </c>
      <c r="AT62" s="18">
        <v>0</v>
      </c>
      <c r="AU62" s="317">
        <v>0</v>
      </c>
      <c r="AV62" s="18">
        <v>0</v>
      </c>
      <c r="AW62" s="18">
        <v>0</v>
      </c>
      <c r="AX62" s="317">
        <v>0</v>
      </c>
      <c r="AY62" s="18">
        <v>0</v>
      </c>
      <c r="AZ62" s="18">
        <v>0</v>
      </c>
      <c r="BA62" s="317">
        <v>0</v>
      </c>
      <c r="BB62" s="18">
        <v>0</v>
      </c>
      <c r="BC62" s="18">
        <v>0</v>
      </c>
      <c r="BD62" s="317">
        <v>0</v>
      </c>
      <c r="BE62" s="18">
        <v>0</v>
      </c>
      <c r="BF62" s="18">
        <v>0</v>
      </c>
      <c r="BG62" s="317">
        <v>0</v>
      </c>
      <c r="BH62" s="18">
        <v>0</v>
      </c>
      <c r="BI62" s="18">
        <v>0</v>
      </c>
      <c r="BJ62" s="317">
        <v>0</v>
      </c>
      <c r="BK62" s="18">
        <v>0</v>
      </c>
      <c r="BL62" s="18">
        <v>0</v>
      </c>
      <c r="BM62" s="317">
        <v>0</v>
      </c>
      <c r="BN62" s="18">
        <v>0</v>
      </c>
      <c r="BO62" s="18">
        <v>0</v>
      </c>
      <c r="BP62" s="317">
        <v>0</v>
      </c>
      <c r="BQ62" s="18">
        <v>0</v>
      </c>
      <c r="BR62" s="18">
        <v>0</v>
      </c>
      <c r="BS62" s="317">
        <v>0</v>
      </c>
      <c r="BT62" s="18">
        <v>0</v>
      </c>
      <c r="BU62" s="18">
        <v>0</v>
      </c>
      <c r="BV62" s="317">
        <v>0</v>
      </c>
      <c r="BW62" s="18">
        <v>0</v>
      </c>
      <c r="BX62" s="18">
        <v>0</v>
      </c>
      <c r="BY62" s="317">
        <v>0</v>
      </c>
      <c r="BZ62" s="18">
        <v>0</v>
      </c>
      <c r="CA62" s="18">
        <v>0</v>
      </c>
      <c r="CB62" s="317">
        <v>0</v>
      </c>
      <c r="CC62" s="18">
        <v>0</v>
      </c>
      <c r="CD62" s="18">
        <v>0</v>
      </c>
      <c r="CE62" s="317">
        <v>0</v>
      </c>
      <c r="CF62" s="18">
        <v>0</v>
      </c>
      <c r="CG62" s="18">
        <v>0</v>
      </c>
      <c r="CH62" s="317">
        <v>0</v>
      </c>
      <c r="CI62" s="18">
        <v>0</v>
      </c>
      <c r="CJ62" s="18">
        <v>0</v>
      </c>
      <c r="CK62" s="317">
        <v>0</v>
      </c>
      <c r="CL62" s="105">
        <v>1</v>
      </c>
      <c r="CM62" s="18">
        <v>0</v>
      </c>
      <c r="CN62" s="317">
        <v>0</v>
      </c>
      <c r="CO62" s="18">
        <v>0</v>
      </c>
      <c r="CP62" s="18">
        <v>0</v>
      </c>
      <c r="CQ62" s="317">
        <v>0</v>
      </c>
      <c r="CR62" s="18">
        <v>0</v>
      </c>
      <c r="CS62" s="18">
        <v>0</v>
      </c>
      <c r="CT62" s="317">
        <v>0</v>
      </c>
      <c r="CU62" s="18">
        <v>0</v>
      </c>
      <c r="CV62" s="18">
        <v>0</v>
      </c>
      <c r="CW62" s="317">
        <v>0</v>
      </c>
      <c r="CX62" s="18">
        <v>0</v>
      </c>
      <c r="CY62" s="18">
        <v>0</v>
      </c>
      <c r="CZ62" s="317">
        <v>0</v>
      </c>
      <c r="DA62" s="18">
        <v>0</v>
      </c>
      <c r="DB62" s="18">
        <v>0</v>
      </c>
      <c r="DC62" s="317">
        <v>0</v>
      </c>
      <c r="DD62" s="18">
        <v>0</v>
      </c>
      <c r="DE62" s="18">
        <v>0</v>
      </c>
      <c r="DF62" s="317">
        <v>0</v>
      </c>
      <c r="DG62" s="105">
        <v>1</v>
      </c>
      <c r="DH62" s="18">
        <v>0</v>
      </c>
      <c r="DI62" s="317">
        <v>0</v>
      </c>
      <c r="DJ62" s="18">
        <v>0</v>
      </c>
      <c r="DK62" s="18">
        <v>0</v>
      </c>
      <c r="DL62" s="317">
        <v>0</v>
      </c>
      <c r="DM62" s="18">
        <v>0</v>
      </c>
      <c r="DN62" s="18">
        <v>0</v>
      </c>
      <c r="DO62" s="317">
        <v>0</v>
      </c>
      <c r="DP62" s="18">
        <v>0</v>
      </c>
      <c r="DQ62" s="18">
        <v>0</v>
      </c>
      <c r="DR62" s="317">
        <v>0</v>
      </c>
      <c r="DS62" s="18">
        <v>0</v>
      </c>
      <c r="DT62" s="18">
        <v>0</v>
      </c>
      <c r="DU62" s="317">
        <v>0</v>
      </c>
      <c r="DV62" s="18">
        <v>0</v>
      </c>
      <c r="DW62" s="18">
        <v>0</v>
      </c>
      <c r="DX62" s="317">
        <v>0</v>
      </c>
      <c r="DY62" s="18">
        <v>0</v>
      </c>
      <c r="DZ62" s="18">
        <v>0</v>
      </c>
      <c r="EA62" s="317">
        <v>0</v>
      </c>
      <c r="EB62" s="18">
        <v>0</v>
      </c>
      <c r="EC62" s="18">
        <v>0</v>
      </c>
      <c r="ED62" s="317">
        <v>0</v>
      </c>
      <c r="EE62" s="105">
        <v>1</v>
      </c>
      <c r="EF62" s="18">
        <v>0</v>
      </c>
      <c r="EG62" s="317">
        <v>0</v>
      </c>
      <c r="EH62" s="18">
        <v>0</v>
      </c>
      <c r="EI62" s="18">
        <v>0</v>
      </c>
      <c r="EJ62" s="317">
        <v>0</v>
      </c>
      <c r="EK62" s="18">
        <v>0</v>
      </c>
      <c r="EL62" s="18">
        <v>0</v>
      </c>
      <c r="EM62" s="317">
        <v>0</v>
      </c>
      <c r="EN62" s="18">
        <v>0</v>
      </c>
      <c r="EO62" s="18">
        <v>0</v>
      </c>
      <c r="EP62" s="317">
        <v>0</v>
      </c>
      <c r="EQ62" s="18">
        <v>0</v>
      </c>
      <c r="ER62" s="18">
        <v>0</v>
      </c>
      <c r="ES62" s="317">
        <v>0</v>
      </c>
      <c r="ET62" s="18">
        <v>0</v>
      </c>
      <c r="EU62" s="18">
        <v>0</v>
      </c>
      <c r="EV62" s="317">
        <v>0</v>
      </c>
      <c r="EW62" s="18">
        <v>0</v>
      </c>
      <c r="EX62" s="18">
        <v>0</v>
      </c>
      <c r="EY62" s="317">
        <v>0</v>
      </c>
      <c r="EZ62" s="18">
        <v>0</v>
      </c>
      <c r="FA62" s="18">
        <v>0</v>
      </c>
      <c r="FB62" s="317">
        <v>0</v>
      </c>
      <c r="FC62" s="18">
        <v>0</v>
      </c>
      <c r="FD62" s="18">
        <v>0</v>
      </c>
      <c r="FE62" s="317">
        <v>0</v>
      </c>
      <c r="FF62" s="105">
        <v>1</v>
      </c>
      <c r="FG62" s="18">
        <v>0</v>
      </c>
      <c r="FH62" s="317">
        <v>0</v>
      </c>
      <c r="FI62" s="18">
        <v>0</v>
      </c>
      <c r="FJ62" s="18">
        <v>0</v>
      </c>
      <c r="FK62" s="317">
        <v>0</v>
      </c>
      <c r="FL62" s="18">
        <v>0</v>
      </c>
      <c r="FM62" s="18">
        <v>0</v>
      </c>
      <c r="FN62" s="317">
        <v>0</v>
      </c>
      <c r="FO62" s="646" t="s">
        <v>842</v>
      </c>
      <c r="FP62" s="531"/>
      <c r="FQ62" s="531"/>
      <c r="FR62" s="531"/>
      <c r="FS62" s="531"/>
      <c r="FT62" s="531"/>
      <c r="FU62" s="634" t="s">
        <v>843</v>
      </c>
      <c r="FV62" s="531"/>
      <c r="FW62" s="531"/>
      <c r="FX62" s="531"/>
      <c r="FY62" s="531"/>
      <c r="FZ62" s="531"/>
    </row>
    <row r="63" spans="1:182" ht="12.75">
      <c r="A63" s="93">
        <v>43894</v>
      </c>
      <c r="B63" s="14">
        <f t="shared" ref="B63:D63" si="58">SUM(I63,AM63,CL63,DG63,EE63,FF63)</f>
        <v>21</v>
      </c>
      <c r="C63" s="15">
        <f t="shared" si="58"/>
        <v>0</v>
      </c>
      <c r="D63" s="73">
        <f t="shared" si="58"/>
        <v>1</v>
      </c>
      <c r="E63" s="350">
        <f t="shared" si="1"/>
        <v>20</v>
      </c>
      <c r="F63" s="18">
        <v>0</v>
      </c>
      <c r="G63" s="18">
        <v>0</v>
      </c>
      <c r="H63" s="317">
        <v>0</v>
      </c>
      <c r="I63" s="105">
        <v>12</v>
      </c>
      <c r="J63" s="18">
        <v>0</v>
      </c>
      <c r="K63" s="317">
        <v>0</v>
      </c>
      <c r="L63" s="18">
        <v>0</v>
      </c>
      <c r="M63" s="18">
        <v>0</v>
      </c>
      <c r="N63" s="317">
        <v>0</v>
      </c>
      <c r="O63" s="18">
        <v>0</v>
      </c>
      <c r="P63" s="18">
        <v>0</v>
      </c>
      <c r="Q63" s="317">
        <v>0</v>
      </c>
      <c r="R63" s="18">
        <v>0</v>
      </c>
      <c r="S63" s="18">
        <v>0</v>
      </c>
      <c r="T63" s="317">
        <v>0</v>
      </c>
      <c r="U63" s="18">
        <v>0</v>
      </c>
      <c r="V63" s="18">
        <v>0</v>
      </c>
      <c r="W63" s="317">
        <v>0</v>
      </c>
      <c r="X63" s="18">
        <v>0</v>
      </c>
      <c r="Y63" s="18">
        <v>0</v>
      </c>
      <c r="Z63" s="317">
        <v>0</v>
      </c>
      <c r="AA63" s="18">
        <v>0</v>
      </c>
      <c r="AB63" s="18">
        <v>0</v>
      </c>
      <c r="AC63" s="317">
        <v>0</v>
      </c>
      <c r="AD63" s="18">
        <v>0</v>
      </c>
      <c r="AE63" s="18">
        <v>0</v>
      </c>
      <c r="AF63" s="317">
        <v>0</v>
      </c>
      <c r="AG63" s="18">
        <v>0</v>
      </c>
      <c r="AH63" s="18">
        <v>0</v>
      </c>
      <c r="AI63" s="317">
        <v>0</v>
      </c>
      <c r="AJ63" s="18">
        <v>0</v>
      </c>
      <c r="AK63" s="18">
        <v>0</v>
      </c>
      <c r="AL63" s="317">
        <v>0</v>
      </c>
      <c r="AM63" s="105">
        <v>2</v>
      </c>
      <c r="AN63" s="18">
        <v>0</v>
      </c>
      <c r="AO63" s="150">
        <v>1</v>
      </c>
      <c r="AP63" s="18">
        <v>0</v>
      </c>
      <c r="AQ63" s="18">
        <v>0</v>
      </c>
      <c r="AR63" s="317">
        <v>0</v>
      </c>
      <c r="AS63" s="18">
        <v>0</v>
      </c>
      <c r="AT63" s="18">
        <v>0</v>
      </c>
      <c r="AU63" s="317">
        <v>0</v>
      </c>
      <c r="AV63" s="18">
        <v>0</v>
      </c>
      <c r="AW63" s="18">
        <v>0</v>
      </c>
      <c r="AX63" s="317">
        <v>0</v>
      </c>
      <c r="AY63" s="18">
        <v>0</v>
      </c>
      <c r="AZ63" s="18">
        <v>0</v>
      </c>
      <c r="BA63" s="317">
        <v>0</v>
      </c>
      <c r="BB63" s="18">
        <v>0</v>
      </c>
      <c r="BC63" s="18">
        <v>0</v>
      </c>
      <c r="BD63" s="317">
        <v>0</v>
      </c>
      <c r="BE63" s="18">
        <v>0</v>
      </c>
      <c r="BF63" s="18">
        <v>0</v>
      </c>
      <c r="BG63" s="317">
        <v>0</v>
      </c>
      <c r="BH63" s="18">
        <v>0</v>
      </c>
      <c r="BI63" s="18">
        <v>0</v>
      </c>
      <c r="BJ63" s="317">
        <v>0</v>
      </c>
      <c r="BK63" s="18">
        <v>0</v>
      </c>
      <c r="BL63" s="18">
        <v>0</v>
      </c>
      <c r="BM63" s="317">
        <v>0</v>
      </c>
      <c r="BN63" s="18">
        <v>0</v>
      </c>
      <c r="BO63" s="18">
        <v>0</v>
      </c>
      <c r="BP63" s="317">
        <v>0</v>
      </c>
      <c r="BQ63" s="18">
        <v>0</v>
      </c>
      <c r="BR63" s="18">
        <v>0</v>
      </c>
      <c r="BS63" s="317">
        <v>0</v>
      </c>
      <c r="BT63" s="18">
        <v>0</v>
      </c>
      <c r="BU63" s="18">
        <v>0</v>
      </c>
      <c r="BV63" s="317">
        <v>0</v>
      </c>
      <c r="BW63" s="18">
        <v>0</v>
      </c>
      <c r="BX63" s="18">
        <v>0</v>
      </c>
      <c r="BY63" s="317">
        <v>0</v>
      </c>
      <c r="BZ63" s="18">
        <v>0</v>
      </c>
      <c r="CA63" s="18">
        <v>0</v>
      </c>
      <c r="CB63" s="317">
        <v>0</v>
      </c>
      <c r="CC63" s="18">
        <v>0</v>
      </c>
      <c r="CD63" s="18">
        <v>0</v>
      </c>
      <c r="CE63" s="317">
        <v>0</v>
      </c>
      <c r="CF63" s="18">
        <v>0</v>
      </c>
      <c r="CG63" s="18">
        <v>0</v>
      </c>
      <c r="CH63" s="317">
        <v>0</v>
      </c>
      <c r="CI63" s="18">
        <v>0</v>
      </c>
      <c r="CJ63" s="18">
        <v>0</v>
      </c>
      <c r="CK63" s="317">
        <v>0</v>
      </c>
      <c r="CL63" s="105">
        <v>1</v>
      </c>
      <c r="CM63" s="18">
        <v>0</v>
      </c>
      <c r="CN63" s="317">
        <v>0</v>
      </c>
      <c r="CO63" s="18">
        <v>0</v>
      </c>
      <c r="CP63" s="18">
        <v>0</v>
      </c>
      <c r="CQ63" s="317">
        <v>0</v>
      </c>
      <c r="CR63" s="18">
        <v>0</v>
      </c>
      <c r="CS63" s="18">
        <v>0</v>
      </c>
      <c r="CT63" s="317">
        <v>0</v>
      </c>
      <c r="CU63" s="18">
        <v>0</v>
      </c>
      <c r="CV63" s="18">
        <v>0</v>
      </c>
      <c r="CW63" s="317">
        <v>0</v>
      </c>
      <c r="CX63" s="18">
        <v>0</v>
      </c>
      <c r="CY63" s="18">
        <v>0</v>
      </c>
      <c r="CZ63" s="317">
        <v>0</v>
      </c>
      <c r="DA63" s="18">
        <v>0</v>
      </c>
      <c r="DB63" s="18">
        <v>0</v>
      </c>
      <c r="DC63" s="317">
        <v>0</v>
      </c>
      <c r="DD63" s="18">
        <v>0</v>
      </c>
      <c r="DE63" s="18">
        <v>0</v>
      </c>
      <c r="DF63" s="317">
        <v>0</v>
      </c>
      <c r="DG63" s="105">
        <v>1</v>
      </c>
      <c r="DH63" s="18">
        <v>0</v>
      </c>
      <c r="DI63" s="317">
        <v>0</v>
      </c>
      <c r="DJ63" s="18">
        <v>0</v>
      </c>
      <c r="DK63" s="18">
        <v>0</v>
      </c>
      <c r="DL63" s="317">
        <v>0</v>
      </c>
      <c r="DM63" s="18">
        <v>0</v>
      </c>
      <c r="DN63" s="18">
        <v>0</v>
      </c>
      <c r="DO63" s="317">
        <v>0</v>
      </c>
      <c r="DP63" s="18">
        <v>0</v>
      </c>
      <c r="DQ63" s="18">
        <v>0</v>
      </c>
      <c r="DR63" s="317">
        <v>0</v>
      </c>
      <c r="DS63" s="18">
        <v>0</v>
      </c>
      <c r="DT63" s="18">
        <v>0</v>
      </c>
      <c r="DU63" s="317">
        <v>0</v>
      </c>
      <c r="DV63" s="18">
        <v>0</v>
      </c>
      <c r="DW63" s="18">
        <v>0</v>
      </c>
      <c r="DX63" s="317">
        <v>0</v>
      </c>
      <c r="DY63" s="18">
        <v>0</v>
      </c>
      <c r="DZ63" s="18">
        <v>0</v>
      </c>
      <c r="EA63" s="317">
        <v>0</v>
      </c>
      <c r="EB63" s="18">
        <v>0</v>
      </c>
      <c r="EC63" s="18">
        <v>0</v>
      </c>
      <c r="ED63" s="317">
        <v>0</v>
      </c>
      <c r="EE63" s="105">
        <v>4</v>
      </c>
      <c r="EF63" s="18">
        <v>0</v>
      </c>
      <c r="EG63" s="317">
        <v>0</v>
      </c>
      <c r="EH63" s="18">
        <v>0</v>
      </c>
      <c r="EI63" s="18">
        <v>0</v>
      </c>
      <c r="EJ63" s="317">
        <v>0</v>
      </c>
      <c r="EK63" s="18">
        <v>0</v>
      </c>
      <c r="EL63" s="18">
        <v>0</v>
      </c>
      <c r="EM63" s="317">
        <v>0</v>
      </c>
      <c r="EN63" s="18">
        <v>0</v>
      </c>
      <c r="EO63" s="18">
        <v>0</v>
      </c>
      <c r="EP63" s="317">
        <v>0</v>
      </c>
      <c r="EQ63" s="18">
        <v>0</v>
      </c>
      <c r="ER63" s="18">
        <v>0</v>
      </c>
      <c r="ES63" s="317">
        <v>0</v>
      </c>
      <c r="ET63" s="18">
        <v>0</v>
      </c>
      <c r="EU63" s="18">
        <v>0</v>
      </c>
      <c r="EV63" s="317">
        <v>0</v>
      </c>
      <c r="EW63" s="18">
        <v>0</v>
      </c>
      <c r="EX63" s="18">
        <v>0</v>
      </c>
      <c r="EY63" s="317">
        <v>0</v>
      </c>
      <c r="EZ63" s="18">
        <v>0</v>
      </c>
      <c r="FA63" s="18">
        <v>0</v>
      </c>
      <c r="FB63" s="317">
        <v>0</v>
      </c>
      <c r="FC63" s="18">
        <v>0</v>
      </c>
      <c r="FD63" s="18">
        <v>0</v>
      </c>
      <c r="FE63" s="317">
        <v>0</v>
      </c>
      <c r="FF63" s="105">
        <v>1</v>
      </c>
      <c r="FG63" s="18">
        <v>0</v>
      </c>
      <c r="FH63" s="317">
        <v>0</v>
      </c>
      <c r="FI63" s="18">
        <v>0</v>
      </c>
      <c r="FJ63" s="18">
        <v>0</v>
      </c>
      <c r="FK63" s="317">
        <v>0</v>
      </c>
      <c r="FL63" s="18">
        <v>0</v>
      </c>
      <c r="FM63" s="18">
        <v>0</v>
      </c>
      <c r="FN63" s="317">
        <v>0</v>
      </c>
      <c r="FO63" s="646"/>
      <c r="FP63" s="531"/>
      <c r="FQ63" s="531"/>
      <c r="FR63" s="531"/>
      <c r="FS63" s="531"/>
      <c r="FT63" s="531"/>
      <c r="FU63" s="635"/>
      <c r="FV63" s="531"/>
      <c r="FW63" s="531"/>
      <c r="FX63" s="531"/>
      <c r="FY63" s="531"/>
      <c r="FZ63" s="531"/>
    </row>
    <row r="64" spans="1:182" ht="12.75">
      <c r="A64" s="93">
        <v>43895</v>
      </c>
      <c r="B64" s="14">
        <f t="shared" ref="B64:D64" si="59">SUM(F64,I64,AM64,CL64,DG64,EE64,FF64)</f>
        <v>24</v>
      </c>
      <c r="C64" s="101">
        <f t="shared" si="59"/>
        <v>0</v>
      </c>
      <c r="D64" s="73">
        <f t="shared" si="59"/>
        <v>1</v>
      </c>
      <c r="E64" s="350">
        <f t="shared" si="1"/>
        <v>23</v>
      </c>
      <c r="F64" s="105">
        <v>1</v>
      </c>
      <c r="G64" s="18">
        <v>0</v>
      </c>
      <c r="H64" s="317">
        <v>0</v>
      </c>
      <c r="I64" s="105">
        <v>12</v>
      </c>
      <c r="J64" s="18">
        <v>0</v>
      </c>
      <c r="K64" s="317">
        <v>0</v>
      </c>
      <c r="L64" s="18">
        <v>0</v>
      </c>
      <c r="M64" s="18">
        <v>0</v>
      </c>
      <c r="N64" s="317">
        <v>0</v>
      </c>
      <c r="O64" s="18">
        <v>0</v>
      </c>
      <c r="P64" s="18">
        <v>0</v>
      </c>
      <c r="Q64" s="317">
        <v>0</v>
      </c>
      <c r="R64" s="18">
        <v>0</v>
      </c>
      <c r="S64" s="18">
        <v>0</v>
      </c>
      <c r="T64" s="317">
        <v>0</v>
      </c>
      <c r="U64" s="18">
        <v>0</v>
      </c>
      <c r="V64" s="18">
        <v>0</v>
      </c>
      <c r="W64" s="317">
        <v>0</v>
      </c>
      <c r="X64" s="18">
        <v>0</v>
      </c>
      <c r="Y64" s="18">
        <v>0</v>
      </c>
      <c r="Z64" s="317">
        <v>0</v>
      </c>
      <c r="AA64" s="18">
        <v>0</v>
      </c>
      <c r="AB64" s="18">
        <v>0</v>
      </c>
      <c r="AC64" s="317">
        <v>0</v>
      </c>
      <c r="AD64" s="18">
        <v>0</v>
      </c>
      <c r="AE64" s="18">
        <v>0</v>
      </c>
      <c r="AF64" s="317">
        <v>0</v>
      </c>
      <c r="AG64" s="18">
        <v>0</v>
      </c>
      <c r="AH64" s="18">
        <v>0</v>
      </c>
      <c r="AI64" s="317">
        <v>0</v>
      </c>
      <c r="AJ64" s="18">
        <v>0</v>
      </c>
      <c r="AK64" s="18">
        <v>0</v>
      </c>
      <c r="AL64" s="317">
        <v>0</v>
      </c>
      <c r="AM64" s="105">
        <v>3</v>
      </c>
      <c r="AN64" s="18">
        <v>0</v>
      </c>
      <c r="AO64" s="150">
        <v>1</v>
      </c>
      <c r="AP64" s="18">
        <v>0</v>
      </c>
      <c r="AQ64" s="18">
        <v>0</v>
      </c>
      <c r="AR64" s="317">
        <v>0</v>
      </c>
      <c r="AS64" s="18">
        <v>0</v>
      </c>
      <c r="AT64" s="18">
        <v>0</v>
      </c>
      <c r="AU64" s="317">
        <v>0</v>
      </c>
      <c r="AV64" s="18">
        <v>0</v>
      </c>
      <c r="AW64" s="18">
        <v>0</v>
      </c>
      <c r="AX64" s="317">
        <v>0</v>
      </c>
      <c r="AY64" s="18">
        <v>0</v>
      </c>
      <c r="AZ64" s="18">
        <v>0</v>
      </c>
      <c r="BA64" s="317">
        <v>0</v>
      </c>
      <c r="BB64" s="18">
        <v>0</v>
      </c>
      <c r="BC64" s="18">
        <v>0</v>
      </c>
      <c r="BD64" s="317">
        <v>0</v>
      </c>
      <c r="BE64" s="18">
        <v>0</v>
      </c>
      <c r="BF64" s="18">
        <v>0</v>
      </c>
      <c r="BG64" s="317">
        <v>0</v>
      </c>
      <c r="BH64" s="18">
        <v>0</v>
      </c>
      <c r="BI64" s="18">
        <v>0</v>
      </c>
      <c r="BJ64" s="317">
        <v>0</v>
      </c>
      <c r="BK64" s="18">
        <v>0</v>
      </c>
      <c r="BL64" s="18">
        <v>0</v>
      </c>
      <c r="BM64" s="317">
        <v>0</v>
      </c>
      <c r="BN64" s="18">
        <v>0</v>
      </c>
      <c r="BO64" s="18">
        <v>0</v>
      </c>
      <c r="BP64" s="317">
        <v>0</v>
      </c>
      <c r="BQ64" s="18">
        <v>0</v>
      </c>
      <c r="BR64" s="18">
        <v>0</v>
      </c>
      <c r="BS64" s="317">
        <v>0</v>
      </c>
      <c r="BT64" s="18">
        <v>0</v>
      </c>
      <c r="BU64" s="18">
        <v>0</v>
      </c>
      <c r="BV64" s="317">
        <v>0</v>
      </c>
      <c r="BW64" s="18">
        <v>0</v>
      </c>
      <c r="BX64" s="18">
        <v>0</v>
      </c>
      <c r="BY64" s="317">
        <v>0</v>
      </c>
      <c r="BZ64" s="18">
        <v>0</v>
      </c>
      <c r="CA64" s="18">
        <v>0</v>
      </c>
      <c r="CB64" s="317">
        <v>0</v>
      </c>
      <c r="CC64" s="18">
        <v>0</v>
      </c>
      <c r="CD64" s="18">
        <v>0</v>
      </c>
      <c r="CE64" s="317">
        <v>0</v>
      </c>
      <c r="CF64" s="18">
        <v>0</v>
      </c>
      <c r="CG64" s="18">
        <v>0</v>
      </c>
      <c r="CH64" s="317">
        <v>0</v>
      </c>
      <c r="CI64" s="18">
        <v>0</v>
      </c>
      <c r="CJ64" s="18">
        <v>0</v>
      </c>
      <c r="CK64" s="317">
        <v>0</v>
      </c>
      <c r="CL64" s="105">
        <v>2</v>
      </c>
      <c r="CM64" s="18">
        <v>0</v>
      </c>
      <c r="CN64" s="317">
        <v>0</v>
      </c>
      <c r="CO64" s="18">
        <v>0</v>
      </c>
      <c r="CP64" s="18">
        <v>0</v>
      </c>
      <c r="CQ64" s="317">
        <v>0</v>
      </c>
      <c r="CR64" s="18">
        <v>0</v>
      </c>
      <c r="CS64" s="18">
        <v>0</v>
      </c>
      <c r="CT64" s="317">
        <v>0</v>
      </c>
      <c r="CU64" s="18">
        <v>0</v>
      </c>
      <c r="CV64" s="18">
        <v>0</v>
      </c>
      <c r="CW64" s="317">
        <v>0</v>
      </c>
      <c r="CX64" s="18">
        <v>0</v>
      </c>
      <c r="CY64" s="18">
        <v>0</v>
      </c>
      <c r="CZ64" s="317">
        <v>0</v>
      </c>
      <c r="DA64" s="18">
        <v>0</v>
      </c>
      <c r="DB64" s="18">
        <v>0</v>
      </c>
      <c r="DC64" s="317">
        <v>0</v>
      </c>
      <c r="DD64" s="18">
        <v>0</v>
      </c>
      <c r="DE64" s="18">
        <v>0</v>
      </c>
      <c r="DF64" s="317">
        <v>0</v>
      </c>
      <c r="DG64" s="105">
        <v>1</v>
      </c>
      <c r="DH64" s="18">
        <v>0</v>
      </c>
      <c r="DI64" s="317">
        <v>0</v>
      </c>
      <c r="DJ64" s="18">
        <v>0</v>
      </c>
      <c r="DK64" s="18">
        <v>0</v>
      </c>
      <c r="DL64" s="317">
        <v>0</v>
      </c>
      <c r="DM64" s="18">
        <v>0</v>
      </c>
      <c r="DN64" s="18">
        <v>0</v>
      </c>
      <c r="DO64" s="317">
        <v>0</v>
      </c>
      <c r="DP64" s="18">
        <v>0</v>
      </c>
      <c r="DQ64" s="18">
        <v>0</v>
      </c>
      <c r="DR64" s="317">
        <v>0</v>
      </c>
      <c r="DS64" s="18">
        <v>0</v>
      </c>
      <c r="DT64" s="18">
        <v>0</v>
      </c>
      <c r="DU64" s="317">
        <v>0</v>
      </c>
      <c r="DV64" s="18">
        <v>0</v>
      </c>
      <c r="DW64" s="18">
        <v>0</v>
      </c>
      <c r="DX64" s="317">
        <v>0</v>
      </c>
      <c r="DY64" s="18">
        <v>0</v>
      </c>
      <c r="DZ64" s="18">
        <v>0</v>
      </c>
      <c r="EA64" s="317">
        <v>0</v>
      </c>
      <c r="EB64" s="18">
        <v>0</v>
      </c>
      <c r="EC64" s="18">
        <v>0</v>
      </c>
      <c r="ED64" s="317">
        <v>0</v>
      </c>
      <c r="EE64" s="105">
        <v>4</v>
      </c>
      <c r="EF64" s="18">
        <v>0</v>
      </c>
      <c r="EG64" s="317">
        <v>0</v>
      </c>
      <c r="EH64" s="18">
        <v>0</v>
      </c>
      <c r="EI64" s="18">
        <v>0</v>
      </c>
      <c r="EJ64" s="317">
        <v>0</v>
      </c>
      <c r="EK64" s="18">
        <v>0</v>
      </c>
      <c r="EL64" s="18">
        <v>0</v>
      </c>
      <c r="EM64" s="317">
        <v>0</v>
      </c>
      <c r="EN64" s="18">
        <v>0</v>
      </c>
      <c r="EO64" s="18">
        <v>0</v>
      </c>
      <c r="EP64" s="317">
        <v>0</v>
      </c>
      <c r="EQ64" s="18">
        <v>0</v>
      </c>
      <c r="ER64" s="18">
        <v>0</v>
      </c>
      <c r="ES64" s="317">
        <v>0</v>
      </c>
      <c r="ET64" s="18">
        <v>0</v>
      </c>
      <c r="EU64" s="18">
        <v>0</v>
      </c>
      <c r="EV64" s="317">
        <v>0</v>
      </c>
      <c r="EW64" s="18">
        <v>0</v>
      </c>
      <c r="EX64" s="18">
        <v>0</v>
      </c>
      <c r="EY64" s="317">
        <v>0</v>
      </c>
      <c r="EZ64" s="18">
        <v>0</v>
      </c>
      <c r="FA64" s="18">
        <v>0</v>
      </c>
      <c r="FB64" s="317">
        <v>0</v>
      </c>
      <c r="FC64" s="18">
        <v>0</v>
      </c>
      <c r="FD64" s="18">
        <v>0</v>
      </c>
      <c r="FE64" s="317">
        <v>0</v>
      </c>
      <c r="FF64" s="105">
        <v>1</v>
      </c>
      <c r="FG64" s="18">
        <v>0</v>
      </c>
      <c r="FH64" s="317">
        <v>0</v>
      </c>
      <c r="FI64" s="18">
        <v>0</v>
      </c>
      <c r="FJ64" s="18">
        <v>0</v>
      </c>
      <c r="FK64" s="317">
        <v>0</v>
      </c>
      <c r="FL64" s="18">
        <v>0</v>
      </c>
      <c r="FM64" s="18">
        <v>0</v>
      </c>
      <c r="FN64" s="317">
        <v>0</v>
      </c>
      <c r="FO64" s="646" t="s">
        <v>941</v>
      </c>
      <c r="FP64" s="531"/>
      <c r="FQ64" s="531"/>
      <c r="FR64" s="531"/>
      <c r="FS64" s="531"/>
      <c r="FT64" s="531"/>
      <c r="FU64" s="635"/>
      <c r="FV64" s="531"/>
      <c r="FW64" s="531"/>
      <c r="FX64" s="531"/>
      <c r="FY64" s="531"/>
      <c r="FZ64" s="531"/>
    </row>
    <row r="65" spans="1:182" ht="12.75">
      <c r="A65" s="93">
        <v>43896</v>
      </c>
      <c r="B65" s="14">
        <f t="shared" ref="B65:D65" si="60">SUM(F65,I65,AA65,AM65,CL65,DG65,EE65,FC65,FF65)</f>
        <v>43</v>
      </c>
      <c r="C65" s="15">
        <f t="shared" si="60"/>
        <v>0</v>
      </c>
      <c r="D65" s="73">
        <f t="shared" si="60"/>
        <v>1</v>
      </c>
      <c r="E65" s="350">
        <f t="shared" si="1"/>
        <v>42</v>
      </c>
      <c r="F65" s="105">
        <v>1</v>
      </c>
      <c r="G65" s="18">
        <v>0</v>
      </c>
      <c r="H65" s="317">
        <v>0</v>
      </c>
      <c r="I65" s="105">
        <v>17</v>
      </c>
      <c r="J65" s="18">
        <v>0</v>
      </c>
      <c r="K65" s="317">
        <v>0</v>
      </c>
      <c r="L65" s="18">
        <v>0</v>
      </c>
      <c r="M65" s="18">
        <v>0</v>
      </c>
      <c r="N65" s="317">
        <v>0</v>
      </c>
      <c r="O65" s="18">
        <v>0</v>
      </c>
      <c r="P65" s="18">
        <v>0</v>
      </c>
      <c r="Q65" s="317">
        <v>0</v>
      </c>
      <c r="R65" s="18">
        <v>0</v>
      </c>
      <c r="S65" s="18">
        <v>0</v>
      </c>
      <c r="T65" s="317">
        <v>0</v>
      </c>
      <c r="U65" s="18">
        <v>0</v>
      </c>
      <c r="V65" s="18">
        <v>0</v>
      </c>
      <c r="W65" s="317">
        <v>0</v>
      </c>
      <c r="X65" s="18">
        <v>0</v>
      </c>
      <c r="Y65" s="18">
        <v>0</v>
      </c>
      <c r="Z65" s="317">
        <v>0</v>
      </c>
      <c r="AA65" s="105">
        <v>1</v>
      </c>
      <c r="AB65" s="18">
        <v>0</v>
      </c>
      <c r="AC65" s="317">
        <v>0</v>
      </c>
      <c r="AD65" s="18">
        <v>0</v>
      </c>
      <c r="AE65" s="18">
        <v>0</v>
      </c>
      <c r="AF65" s="317">
        <v>0</v>
      </c>
      <c r="AG65" s="18">
        <v>0</v>
      </c>
      <c r="AH65" s="18">
        <v>0</v>
      </c>
      <c r="AI65" s="317">
        <v>0</v>
      </c>
      <c r="AJ65" s="18">
        <v>0</v>
      </c>
      <c r="AK65" s="18">
        <v>0</v>
      </c>
      <c r="AL65" s="317">
        <v>0</v>
      </c>
      <c r="AM65" s="105">
        <v>15</v>
      </c>
      <c r="AN65" s="18">
        <v>0</v>
      </c>
      <c r="AO65" s="150">
        <v>1</v>
      </c>
      <c r="AP65" s="18">
        <v>0</v>
      </c>
      <c r="AQ65" s="18">
        <v>0</v>
      </c>
      <c r="AR65" s="317">
        <v>0</v>
      </c>
      <c r="AS65" s="18">
        <v>0</v>
      </c>
      <c r="AT65" s="18">
        <v>0</v>
      </c>
      <c r="AU65" s="317">
        <v>0</v>
      </c>
      <c r="AV65" s="18">
        <v>0</v>
      </c>
      <c r="AW65" s="18">
        <v>0</v>
      </c>
      <c r="AX65" s="317">
        <v>0</v>
      </c>
      <c r="AY65" s="18">
        <v>0</v>
      </c>
      <c r="AZ65" s="18">
        <v>0</v>
      </c>
      <c r="BA65" s="317">
        <v>0</v>
      </c>
      <c r="BB65" s="18">
        <v>0</v>
      </c>
      <c r="BC65" s="18">
        <v>0</v>
      </c>
      <c r="BD65" s="317">
        <v>0</v>
      </c>
      <c r="BE65" s="18">
        <v>0</v>
      </c>
      <c r="BF65" s="18">
        <v>0</v>
      </c>
      <c r="BG65" s="317">
        <v>0</v>
      </c>
      <c r="BH65" s="18">
        <v>0</v>
      </c>
      <c r="BI65" s="18">
        <v>0</v>
      </c>
      <c r="BJ65" s="317">
        <v>0</v>
      </c>
      <c r="BK65" s="18">
        <v>0</v>
      </c>
      <c r="BL65" s="18">
        <v>0</v>
      </c>
      <c r="BM65" s="317">
        <v>0</v>
      </c>
      <c r="BN65" s="18">
        <v>0</v>
      </c>
      <c r="BO65" s="18">
        <v>0</v>
      </c>
      <c r="BP65" s="317">
        <v>0</v>
      </c>
      <c r="BQ65" s="18">
        <v>0</v>
      </c>
      <c r="BR65" s="18">
        <v>0</v>
      </c>
      <c r="BS65" s="317">
        <v>0</v>
      </c>
      <c r="BT65" s="18">
        <v>0</v>
      </c>
      <c r="BU65" s="18">
        <v>0</v>
      </c>
      <c r="BV65" s="317">
        <v>0</v>
      </c>
      <c r="BW65" s="18">
        <v>0</v>
      </c>
      <c r="BX65" s="18">
        <v>0</v>
      </c>
      <c r="BY65" s="317">
        <v>0</v>
      </c>
      <c r="BZ65" s="18">
        <v>0</v>
      </c>
      <c r="CA65" s="18">
        <v>0</v>
      </c>
      <c r="CB65" s="317">
        <v>0</v>
      </c>
      <c r="CC65" s="18">
        <v>0</v>
      </c>
      <c r="CD65" s="18">
        <v>0</v>
      </c>
      <c r="CE65" s="317">
        <v>0</v>
      </c>
      <c r="CF65" s="18">
        <v>0</v>
      </c>
      <c r="CG65" s="18">
        <v>0</v>
      </c>
      <c r="CH65" s="317">
        <v>0</v>
      </c>
      <c r="CI65" s="18">
        <v>0</v>
      </c>
      <c r="CJ65" s="18">
        <v>0</v>
      </c>
      <c r="CK65" s="317">
        <v>0</v>
      </c>
      <c r="CL65" s="105">
        <v>2</v>
      </c>
      <c r="CM65" s="18">
        <v>0</v>
      </c>
      <c r="CN65" s="317">
        <v>0</v>
      </c>
      <c r="CO65" s="18">
        <v>0</v>
      </c>
      <c r="CP65" s="18">
        <v>0</v>
      </c>
      <c r="CQ65" s="317">
        <v>0</v>
      </c>
      <c r="CR65" s="18">
        <v>0</v>
      </c>
      <c r="CS65" s="18">
        <v>0</v>
      </c>
      <c r="CT65" s="317">
        <v>0</v>
      </c>
      <c r="CU65" s="18">
        <v>0</v>
      </c>
      <c r="CV65" s="18">
        <v>0</v>
      </c>
      <c r="CW65" s="317">
        <v>0</v>
      </c>
      <c r="CX65" s="18">
        <v>0</v>
      </c>
      <c r="CY65" s="18">
        <v>0</v>
      </c>
      <c r="CZ65" s="317">
        <v>0</v>
      </c>
      <c r="DA65" s="18">
        <v>0</v>
      </c>
      <c r="DB65" s="18">
        <v>0</v>
      </c>
      <c r="DC65" s="317">
        <v>0</v>
      </c>
      <c r="DD65" s="18">
        <v>0</v>
      </c>
      <c r="DE65" s="18">
        <v>0</v>
      </c>
      <c r="DF65" s="317">
        <v>0</v>
      </c>
      <c r="DG65" s="105">
        <v>1</v>
      </c>
      <c r="DH65" s="18">
        <v>0</v>
      </c>
      <c r="DI65" s="317">
        <v>0</v>
      </c>
      <c r="DJ65" s="18">
        <v>0</v>
      </c>
      <c r="DK65" s="18">
        <v>0</v>
      </c>
      <c r="DL65" s="317">
        <v>0</v>
      </c>
      <c r="DM65" s="18">
        <v>0</v>
      </c>
      <c r="DN65" s="18">
        <v>0</v>
      </c>
      <c r="DO65" s="317">
        <v>0</v>
      </c>
      <c r="DP65" s="18">
        <v>0</v>
      </c>
      <c r="DQ65" s="18">
        <v>0</v>
      </c>
      <c r="DR65" s="317">
        <v>0</v>
      </c>
      <c r="DS65" s="18">
        <v>0</v>
      </c>
      <c r="DT65" s="18">
        <v>0</v>
      </c>
      <c r="DU65" s="317">
        <v>0</v>
      </c>
      <c r="DV65" s="18">
        <v>0</v>
      </c>
      <c r="DW65" s="18">
        <v>0</v>
      </c>
      <c r="DX65" s="317">
        <v>0</v>
      </c>
      <c r="DY65" s="18">
        <v>0</v>
      </c>
      <c r="DZ65" s="18">
        <v>0</v>
      </c>
      <c r="EA65" s="317">
        <v>0</v>
      </c>
      <c r="EB65" s="18">
        <v>0</v>
      </c>
      <c r="EC65" s="18">
        <v>0</v>
      </c>
      <c r="ED65" s="317">
        <v>0</v>
      </c>
      <c r="EE65" s="105">
        <v>4</v>
      </c>
      <c r="EF65" s="18">
        <v>0</v>
      </c>
      <c r="EG65" s="317">
        <v>0</v>
      </c>
      <c r="EH65" s="18">
        <v>0</v>
      </c>
      <c r="EI65" s="18">
        <v>0</v>
      </c>
      <c r="EJ65" s="317">
        <v>0</v>
      </c>
      <c r="EK65" s="18">
        <v>0</v>
      </c>
      <c r="EL65" s="18">
        <v>0</v>
      </c>
      <c r="EM65" s="317">
        <v>0</v>
      </c>
      <c r="EN65" s="18">
        <v>0</v>
      </c>
      <c r="EO65" s="18">
        <v>0</v>
      </c>
      <c r="EP65" s="317">
        <v>0</v>
      </c>
      <c r="EQ65" s="18">
        <v>0</v>
      </c>
      <c r="ER65" s="18">
        <v>0</v>
      </c>
      <c r="ES65" s="317">
        <v>0</v>
      </c>
      <c r="ET65" s="18">
        <v>0</v>
      </c>
      <c r="EU65" s="18">
        <v>0</v>
      </c>
      <c r="EV65" s="317">
        <v>0</v>
      </c>
      <c r="EW65" s="18">
        <v>0</v>
      </c>
      <c r="EX65" s="18">
        <v>0</v>
      </c>
      <c r="EY65" s="317">
        <v>0</v>
      </c>
      <c r="EZ65" s="18">
        <v>0</v>
      </c>
      <c r="FA65" s="18">
        <v>0</v>
      </c>
      <c r="FB65" s="317">
        <v>0</v>
      </c>
      <c r="FC65" s="105">
        <v>1</v>
      </c>
      <c r="FD65" s="18">
        <v>0</v>
      </c>
      <c r="FE65" s="317">
        <v>0</v>
      </c>
      <c r="FF65" s="105">
        <v>1</v>
      </c>
      <c r="FG65" s="18">
        <v>0</v>
      </c>
      <c r="FH65" s="317">
        <v>0</v>
      </c>
      <c r="FI65" s="18">
        <v>0</v>
      </c>
      <c r="FJ65" s="18">
        <v>0</v>
      </c>
      <c r="FK65" s="317">
        <v>0</v>
      </c>
      <c r="FL65" s="18">
        <v>0</v>
      </c>
      <c r="FM65" s="18">
        <v>0</v>
      </c>
      <c r="FN65" s="317">
        <v>0</v>
      </c>
      <c r="FO65" s="646" t="s">
        <v>942</v>
      </c>
      <c r="FP65" s="531"/>
      <c r="FQ65" s="531"/>
      <c r="FR65" s="531"/>
      <c r="FS65" s="531"/>
      <c r="FT65" s="531"/>
      <c r="FU65" s="634" t="s">
        <v>240</v>
      </c>
      <c r="FV65" s="531"/>
      <c r="FW65" s="531"/>
      <c r="FX65" s="531"/>
      <c r="FY65" s="531"/>
      <c r="FZ65" s="531"/>
    </row>
    <row r="66" spans="1:182" ht="12.75">
      <c r="A66" s="93">
        <v>43897</v>
      </c>
      <c r="B66" s="14">
        <f t="shared" ref="B66:D66" si="61">SUM(F66,I66,AA66,AM66,CL66,DG66,EE66,FC66,FF66)</f>
        <v>43</v>
      </c>
      <c r="C66" s="15">
        <f t="shared" si="61"/>
        <v>0</v>
      </c>
      <c r="D66" s="73">
        <f t="shared" si="61"/>
        <v>1</v>
      </c>
      <c r="E66" s="350">
        <f t="shared" si="1"/>
        <v>42</v>
      </c>
      <c r="F66" s="105">
        <v>1</v>
      </c>
      <c r="G66" s="18">
        <v>0</v>
      </c>
      <c r="H66" s="317">
        <v>0</v>
      </c>
      <c r="I66" s="105">
        <v>17</v>
      </c>
      <c r="J66" s="18">
        <v>0</v>
      </c>
      <c r="K66" s="317">
        <v>0</v>
      </c>
      <c r="L66" s="18">
        <v>0</v>
      </c>
      <c r="M66" s="18">
        <v>0</v>
      </c>
      <c r="N66" s="317">
        <v>0</v>
      </c>
      <c r="O66" s="18">
        <v>0</v>
      </c>
      <c r="P66" s="18">
        <v>0</v>
      </c>
      <c r="Q66" s="317">
        <v>0</v>
      </c>
      <c r="R66" s="18">
        <v>0</v>
      </c>
      <c r="S66" s="18">
        <v>0</v>
      </c>
      <c r="T66" s="317">
        <v>0</v>
      </c>
      <c r="U66" s="18">
        <v>0</v>
      </c>
      <c r="V66" s="18">
        <v>0</v>
      </c>
      <c r="W66" s="317">
        <v>0</v>
      </c>
      <c r="X66" s="18">
        <v>0</v>
      </c>
      <c r="Y66" s="18">
        <v>0</v>
      </c>
      <c r="Z66" s="317">
        <v>0</v>
      </c>
      <c r="AA66" s="105">
        <v>1</v>
      </c>
      <c r="AB66" s="18">
        <v>0</v>
      </c>
      <c r="AC66" s="317">
        <v>0</v>
      </c>
      <c r="AD66" s="18">
        <v>0</v>
      </c>
      <c r="AE66" s="18">
        <v>0</v>
      </c>
      <c r="AF66" s="317">
        <v>0</v>
      </c>
      <c r="AG66" s="18">
        <v>0</v>
      </c>
      <c r="AH66" s="18">
        <v>0</v>
      </c>
      <c r="AI66" s="317">
        <v>0</v>
      </c>
      <c r="AJ66" s="18">
        <v>0</v>
      </c>
      <c r="AK66" s="18">
        <v>0</v>
      </c>
      <c r="AL66" s="317">
        <v>0</v>
      </c>
      <c r="AM66" s="105">
        <v>15</v>
      </c>
      <c r="AN66" s="18">
        <v>0</v>
      </c>
      <c r="AO66" s="150">
        <v>1</v>
      </c>
      <c r="AP66" s="18">
        <v>0</v>
      </c>
      <c r="AQ66" s="18">
        <v>0</v>
      </c>
      <c r="AR66" s="317">
        <v>0</v>
      </c>
      <c r="AS66" s="18">
        <v>0</v>
      </c>
      <c r="AT66" s="18">
        <v>0</v>
      </c>
      <c r="AU66" s="317">
        <v>0</v>
      </c>
      <c r="AV66" s="18">
        <v>0</v>
      </c>
      <c r="AW66" s="18">
        <v>0</v>
      </c>
      <c r="AX66" s="317">
        <v>0</v>
      </c>
      <c r="AY66" s="18">
        <v>0</v>
      </c>
      <c r="AZ66" s="18">
        <v>0</v>
      </c>
      <c r="BA66" s="317">
        <v>0</v>
      </c>
      <c r="BB66" s="18">
        <v>0</v>
      </c>
      <c r="BC66" s="18">
        <v>0</v>
      </c>
      <c r="BD66" s="317">
        <v>0</v>
      </c>
      <c r="BE66" s="18">
        <v>0</v>
      </c>
      <c r="BF66" s="18">
        <v>0</v>
      </c>
      <c r="BG66" s="317">
        <v>0</v>
      </c>
      <c r="BH66" s="18">
        <v>0</v>
      </c>
      <c r="BI66" s="18">
        <v>0</v>
      </c>
      <c r="BJ66" s="317">
        <v>0</v>
      </c>
      <c r="BK66" s="18">
        <v>0</v>
      </c>
      <c r="BL66" s="18">
        <v>0</v>
      </c>
      <c r="BM66" s="317">
        <v>0</v>
      </c>
      <c r="BN66" s="18">
        <v>0</v>
      </c>
      <c r="BO66" s="18">
        <v>0</v>
      </c>
      <c r="BP66" s="317">
        <v>0</v>
      </c>
      <c r="BQ66" s="18">
        <v>0</v>
      </c>
      <c r="BR66" s="18">
        <v>0</v>
      </c>
      <c r="BS66" s="317">
        <v>0</v>
      </c>
      <c r="BT66" s="18">
        <v>0</v>
      </c>
      <c r="BU66" s="18">
        <v>0</v>
      </c>
      <c r="BV66" s="317">
        <v>0</v>
      </c>
      <c r="BW66" s="18">
        <v>0</v>
      </c>
      <c r="BX66" s="18">
        <v>0</v>
      </c>
      <c r="BY66" s="317">
        <v>0</v>
      </c>
      <c r="BZ66" s="18">
        <v>0</v>
      </c>
      <c r="CA66" s="18">
        <v>0</v>
      </c>
      <c r="CB66" s="317">
        <v>0</v>
      </c>
      <c r="CC66" s="18">
        <v>0</v>
      </c>
      <c r="CD66" s="18">
        <v>0</v>
      </c>
      <c r="CE66" s="317">
        <v>0</v>
      </c>
      <c r="CF66" s="18">
        <v>0</v>
      </c>
      <c r="CG66" s="18">
        <v>0</v>
      </c>
      <c r="CH66" s="317">
        <v>0</v>
      </c>
      <c r="CI66" s="18">
        <v>0</v>
      </c>
      <c r="CJ66" s="18">
        <v>0</v>
      </c>
      <c r="CK66" s="317">
        <v>0</v>
      </c>
      <c r="CL66" s="105">
        <v>2</v>
      </c>
      <c r="CM66" s="18">
        <v>0</v>
      </c>
      <c r="CN66" s="317">
        <v>0</v>
      </c>
      <c r="CO66" s="18">
        <v>0</v>
      </c>
      <c r="CP66" s="18">
        <v>0</v>
      </c>
      <c r="CQ66" s="317">
        <v>0</v>
      </c>
      <c r="CR66" s="18">
        <v>0</v>
      </c>
      <c r="CS66" s="18">
        <v>0</v>
      </c>
      <c r="CT66" s="317">
        <v>0</v>
      </c>
      <c r="CU66" s="18">
        <v>0</v>
      </c>
      <c r="CV66" s="18">
        <v>0</v>
      </c>
      <c r="CW66" s="317">
        <v>0</v>
      </c>
      <c r="CX66" s="18">
        <v>0</v>
      </c>
      <c r="CY66" s="18">
        <v>0</v>
      </c>
      <c r="CZ66" s="317">
        <v>0</v>
      </c>
      <c r="DA66" s="18">
        <v>0</v>
      </c>
      <c r="DB66" s="18">
        <v>0</v>
      </c>
      <c r="DC66" s="317">
        <v>0</v>
      </c>
      <c r="DD66" s="18">
        <v>0</v>
      </c>
      <c r="DE66" s="18">
        <v>0</v>
      </c>
      <c r="DF66" s="317">
        <v>0</v>
      </c>
      <c r="DG66" s="105">
        <v>1</v>
      </c>
      <c r="DH66" s="18">
        <v>0</v>
      </c>
      <c r="DI66" s="317">
        <v>0</v>
      </c>
      <c r="DJ66" s="18">
        <v>0</v>
      </c>
      <c r="DK66" s="18">
        <v>0</v>
      </c>
      <c r="DL66" s="317">
        <v>0</v>
      </c>
      <c r="DM66" s="18">
        <v>0</v>
      </c>
      <c r="DN66" s="18">
        <v>0</v>
      </c>
      <c r="DO66" s="317">
        <v>0</v>
      </c>
      <c r="DP66" s="18">
        <v>0</v>
      </c>
      <c r="DQ66" s="18">
        <v>0</v>
      </c>
      <c r="DR66" s="317">
        <v>0</v>
      </c>
      <c r="DS66" s="18">
        <v>0</v>
      </c>
      <c r="DT66" s="18">
        <v>0</v>
      </c>
      <c r="DU66" s="317">
        <v>0</v>
      </c>
      <c r="DV66" s="18">
        <v>0</v>
      </c>
      <c r="DW66" s="18">
        <v>0</v>
      </c>
      <c r="DX66" s="317">
        <v>0</v>
      </c>
      <c r="DY66" s="18">
        <v>0</v>
      </c>
      <c r="DZ66" s="18">
        <v>0</v>
      </c>
      <c r="EA66" s="317">
        <v>0</v>
      </c>
      <c r="EB66" s="18">
        <v>0</v>
      </c>
      <c r="EC66" s="18">
        <v>0</v>
      </c>
      <c r="ED66" s="317">
        <v>0</v>
      </c>
      <c r="EE66" s="105">
        <v>4</v>
      </c>
      <c r="EF66" s="18">
        <v>0</v>
      </c>
      <c r="EG66" s="317">
        <v>0</v>
      </c>
      <c r="EH66" s="18">
        <v>0</v>
      </c>
      <c r="EI66" s="18">
        <v>0</v>
      </c>
      <c r="EJ66" s="317">
        <v>0</v>
      </c>
      <c r="EK66" s="18">
        <v>0</v>
      </c>
      <c r="EL66" s="18">
        <v>0</v>
      </c>
      <c r="EM66" s="317">
        <v>0</v>
      </c>
      <c r="EN66" s="18">
        <v>0</v>
      </c>
      <c r="EO66" s="18">
        <v>0</v>
      </c>
      <c r="EP66" s="317">
        <v>0</v>
      </c>
      <c r="EQ66" s="18">
        <v>0</v>
      </c>
      <c r="ER66" s="18">
        <v>0</v>
      </c>
      <c r="ES66" s="317">
        <v>0</v>
      </c>
      <c r="ET66" s="18">
        <v>0</v>
      </c>
      <c r="EU66" s="18">
        <v>0</v>
      </c>
      <c r="EV66" s="317">
        <v>0</v>
      </c>
      <c r="EW66" s="18">
        <v>0</v>
      </c>
      <c r="EX66" s="18">
        <v>0</v>
      </c>
      <c r="EY66" s="317">
        <v>0</v>
      </c>
      <c r="EZ66" s="18">
        <v>0</v>
      </c>
      <c r="FA66" s="18">
        <v>0</v>
      </c>
      <c r="FB66" s="317">
        <v>0</v>
      </c>
      <c r="FC66" s="105">
        <v>1</v>
      </c>
      <c r="FD66" s="18">
        <v>0</v>
      </c>
      <c r="FE66" s="317">
        <v>0</v>
      </c>
      <c r="FF66" s="105">
        <v>1</v>
      </c>
      <c r="FG66" s="18">
        <v>0</v>
      </c>
      <c r="FH66" s="317">
        <v>0</v>
      </c>
      <c r="FI66" s="18">
        <v>0</v>
      </c>
      <c r="FJ66" s="18">
        <v>0</v>
      </c>
      <c r="FK66" s="317">
        <v>0</v>
      </c>
      <c r="FL66" s="18">
        <v>0</v>
      </c>
      <c r="FM66" s="18">
        <v>0</v>
      </c>
      <c r="FN66" s="317">
        <v>0</v>
      </c>
      <c r="FO66" s="646" t="s">
        <v>942</v>
      </c>
      <c r="FP66" s="531"/>
      <c r="FQ66" s="531"/>
      <c r="FR66" s="531"/>
      <c r="FS66" s="531"/>
      <c r="FT66" s="531"/>
      <c r="FU66" s="634" t="s">
        <v>240</v>
      </c>
      <c r="FV66" s="531"/>
      <c r="FW66" s="531"/>
      <c r="FX66" s="531"/>
      <c r="FY66" s="531"/>
      <c r="FZ66" s="531"/>
    </row>
    <row r="67" spans="1:182" ht="12.75">
      <c r="A67" s="93">
        <v>43898</v>
      </c>
      <c r="B67" s="362">
        <f t="shared" ref="B67:D67" si="62">SUM(F67,I67,U67,AA67,AM67,CL67,DG67,EE67,FC67,FF67)</f>
        <v>82</v>
      </c>
      <c r="C67" s="363">
        <f t="shared" si="62"/>
        <v>1</v>
      </c>
      <c r="D67" s="364">
        <f t="shared" si="62"/>
        <v>1</v>
      </c>
      <c r="E67" s="350">
        <f t="shared" si="1"/>
        <v>80</v>
      </c>
      <c r="F67" s="105">
        <v>3</v>
      </c>
      <c r="G67" s="18">
        <v>0</v>
      </c>
      <c r="H67" s="317">
        <v>0</v>
      </c>
      <c r="I67" s="105">
        <v>19</v>
      </c>
      <c r="J67" s="18">
        <v>0</v>
      </c>
      <c r="K67" s="317">
        <v>0</v>
      </c>
      <c r="L67" s="18">
        <v>0</v>
      </c>
      <c r="M67" s="18">
        <v>0</v>
      </c>
      <c r="N67" s="317">
        <v>0</v>
      </c>
      <c r="O67" s="18">
        <v>0</v>
      </c>
      <c r="P67" s="18">
        <v>0</v>
      </c>
      <c r="Q67" s="317">
        <v>0</v>
      </c>
      <c r="R67" s="18">
        <v>0</v>
      </c>
      <c r="S67" s="18">
        <v>0</v>
      </c>
      <c r="T67" s="317">
        <v>0</v>
      </c>
      <c r="U67" s="18">
        <v>0</v>
      </c>
      <c r="V67" s="18">
        <v>0</v>
      </c>
      <c r="W67" s="317">
        <v>0</v>
      </c>
      <c r="X67" s="18">
        <v>0</v>
      </c>
      <c r="Y67" s="18">
        <v>0</v>
      </c>
      <c r="Z67" s="317">
        <v>0</v>
      </c>
      <c r="AA67" s="105">
        <v>2</v>
      </c>
      <c r="AB67" s="18">
        <v>0</v>
      </c>
      <c r="AC67" s="317">
        <v>0</v>
      </c>
      <c r="AD67" s="18">
        <v>0</v>
      </c>
      <c r="AE67" s="18">
        <v>0</v>
      </c>
      <c r="AF67" s="317">
        <v>0</v>
      </c>
      <c r="AG67" s="18">
        <v>0</v>
      </c>
      <c r="AH67" s="18">
        <v>0</v>
      </c>
      <c r="AI67" s="317">
        <v>0</v>
      </c>
      <c r="AJ67" s="18">
        <v>0</v>
      </c>
      <c r="AK67" s="18">
        <v>0</v>
      </c>
      <c r="AL67" s="317">
        <v>0</v>
      </c>
      <c r="AM67" s="105">
        <v>49</v>
      </c>
      <c r="AN67" s="139">
        <v>1</v>
      </c>
      <c r="AO67" s="150">
        <v>1</v>
      </c>
      <c r="AP67" s="18">
        <v>0</v>
      </c>
      <c r="AQ67" s="18">
        <v>0</v>
      </c>
      <c r="AR67" s="317">
        <v>0</v>
      </c>
      <c r="AS67" s="18">
        <v>0</v>
      </c>
      <c r="AT67" s="18">
        <v>0</v>
      </c>
      <c r="AU67" s="317">
        <v>0</v>
      </c>
      <c r="AV67" s="18">
        <v>0</v>
      </c>
      <c r="AW67" s="18">
        <v>0</v>
      </c>
      <c r="AX67" s="317">
        <v>0</v>
      </c>
      <c r="AY67" s="18">
        <v>0</v>
      </c>
      <c r="AZ67" s="18">
        <v>0</v>
      </c>
      <c r="BA67" s="317">
        <v>0</v>
      </c>
      <c r="BB67" s="18">
        <v>0</v>
      </c>
      <c r="BC67" s="18">
        <v>0</v>
      </c>
      <c r="BD67" s="317">
        <v>0</v>
      </c>
      <c r="BE67" s="18">
        <v>0</v>
      </c>
      <c r="BF67" s="18">
        <v>0</v>
      </c>
      <c r="BG67" s="317">
        <v>0</v>
      </c>
      <c r="BH67" s="18">
        <v>0</v>
      </c>
      <c r="BI67" s="18">
        <v>0</v>
      </c>
      <c r="BJ67" s="317">
        <v>0</v>
      </c>
      <c r="BK67" s="18">
        <v>0</v>
      </c>
      <c r="BL67" s="18">
        <v>0</v>
      </c>
      <c r="BM67" s="317">
        <v>0</v>
      </c>
      <c r="BN67" s="18">
        <v>0</v>
      </c>
      <c r="BO67" s="18">
        <v>0</v>
      </c>
      <c r="BP67" s="317">
        <v>0</v>
      </c>
      <c r="BQ67" s="18">
        <v>0</v>
      </c>
      <c r="BR67" s="18">
        <v>0</v>
      </c>
      <c r="BS67" s="317">
        <v>0</v>
      </c>
      <c r="BT67" s="18">
        <v>0</v>
      </c>
      <c r="BU67" s="18">
        <v>0</v>
      </c>
      <c r="BV67" s="317">
        <v>0</v>
      </c>
      <c r="BW67" s="18">
        <v>0</v>
      </c>
      <c r="BX67" s="18">
        <v>0</v>
      </c>
      <c r="BY67" s="317">
        <v>0</v>
      </c>
      <c r="BZ67" s="18">
        <v>0</v>
      </c>
      <c r="CA67" s="18">
        <v>0</v>
      </c>
      <c r="CB67" s="317">
        <v>0</v>
      </c>
      <c r="CC67" s="18">
        <v>0</v>
      </c>
      <c r="CD67" s="18">
        <v>0</v>
      </c>
      <c r="CE67" s="317">
        <v>0</v>
      </c>
      <c r="CF67" s="18">
        <v>0</v>
      </c>
      <c r="CG67" s="18">
        <v>0</v>
      </c>
      <c r="CH67" s="317">
        <v>0</v>
      </c>
      <c r="CI67" s="18">
        <v>0</v>
      </c>
      <c r="CJ67" s="18">
        <v>0</v>
      </c>
      <c r="CK67" s="317">
        <v>0</v>
      </c>
      <c r="CL67" s="105">
        <v>2</v>
      </c>
      <c r="CM67" s="18">
        <v>0</v>
      </c>
      <c r="CN67" s="317">
        <v>0</v>
      </c>
      <c r="CO67" s="18">
        <v>0</v>
      </c>
      <c r="CP67" s="18">
        <v>0</v>
      </c>
      <c r="CQ67" s="317">
        <v>0</v>
      </c>
      <c r="CR67" s="18">
        <v>0</v>
      </c>
      <c r="CS67" s="18">
        <v>0</v>
      </c>
      <c r="CT67" s="317">
        <v>0</v>
      </c>
      <c r="CU67" s="18">
        <v>0</v>
      </c>
      <c r="CV67" s="18">
        <v>0</v>
      </c>
      <c r="CW67" s="317">
        <v>0</v>
      </c>
      <c r="CX67" s="18">
        <v>0</v>
      </c>
      <c r="CY67" s="18">
        <v>0</v>
      </c>
      <c r="CZ67" s="317">
        <v>0</v>
      </c>
      <c r="DA67" s="18">
        <v>0</v>
      </c>
      <c r="DB67" s="18">
        <v>0</v>
      </c>
      <c r="DC67" s="317">
        <v>0</v>
      </c>
      <c r="DD67" s="18">
        <v>0</v>
      </c>
      <c r="DE67" s="18">
        <v>0</v>
      </c>
      <c r="DF67" s="317">
        <v>0</v>
      </c>
      <c r="DG67" s="105">
        <v>1</v>
      </c>
      <c r="DH67" s="18">
        <v>0</v>
      </c>
      <c r="DI67" s="317">
        <v>0</v>
      </c>
      <c r="DJ67" s="18">
        <v>0</v>
      </c>
      <c r="DK67" s="18">
        <v>0</v>
      </c>
      <c r="DL67" s="317">
        <v>0</v>
      </c>
      <c r="DM67" s="18">
        <v>0</v>
      </c>
      <c r="DN67" s="18">
        <v>0</v>
      </c>
      <c r="DO67" s="317">
        <v>0</v>
      </c>
      <c r="DP67" s="18">
        <v>0</v>
      </c>
      <c r="DQ67" s="18">
        <v>0</v>
      </c>
      <c r="DR67" s="317">
        <v>0</v>
      </c>
      <c r="DS67" s="18">
        <v>0</v>
      </c>
      <c r="DT67" s="18">
        <v>0</v>
      </c>
      <c r="DU67" s="317">
        <v>0</v>
      </c>
      <c r="DV67" s="18">
        <v>0</v>
      </c>
      <c r="DW67" s="18">
        <v>0</v>
      </c>
      <c r="DX67" s="317">
        <v>0</v>
      </c>
      <c r="DY67" s="18">
        <v>0</v>
      </c>
      <c r="DZ67" s="18">
        <v>0</v>
      </c>
      <c r="EA67" s="317">
        <v>0</v>
      </c>
      <c r="EB67" s="18">
        <v>0</v>
      </c>
      <c r="EC67" s="18">
        <v>0</v>
      </c>
      <c r="ED67" s="317">
        <v>0</v>
      </c>
      <c r="EE67" s="105">
        <v>4</v>
      </c>
      <c r="EF67" s="18">
        <v>0</v>
      </c>
      <c r="EG67" s="317">
        <v>0</v>
      </c>
      <c r="EH67" s="18">
        <v>0</v>
      </c>
      <c r="EI67" s="18">
        <v>0</v>
      </c>
      <c r="EJ67" s="317">
        <v>0</v>
      </c>
      <c r="EK67" s="18">
        <v>0</v>
      </c>
      <c r="EL67" s="18">
        <v>0</v>
      </c>
      <c r="EM67" s="317">
        <v>0</v>
      </c>
      <c r="EN67" s="18">
        <v>0</v>
      </c>
      <c r="EO67" s="18">
        <v>0</v>
      </c>
      <c r="EP67" s="317">
        <v>0</v>
      </c>
      <c r="EQ67" s="18">
        <v>0</v>
      </c>
      <c r="ER67" s="18">
        <v>0</v>
      </c>
      <c r="ES67" s="317">
        <v>0</v>
      </c>
      <c r="ET67" s="18">
        <v>0</v>
      </c>
      <c r="EU67" s="18">
        <v>0</v>
      </c>
      <c r="EV67" s="317">
        <v>0</v>
      </c>
      <c r="EW67" s="18">
        <v>0</v>
      </c>
      <c r="EX67" s="18">
        <v>0</v>
      </c>
      <c r="EY67" s="317">
        <v>0</v>
      </c>
      <c r="EZ67" s="18">
        <v>0</v>
      </c>
      <c r="FA67" s="18">
        <v>0</v>
      </c>
      <c r="FB67" s="317">
        <v>0</v>
      </c>
      <c r="FC67" s="105">
        <v>1</v>
      </c>
      <c r="FD67" s="18">
        <v>0</v>
      </c>
      <c r="FE67" s="317">
        <v>0</v>
      </c>
      <c r="FF67" s="105">
        <v>1</v>
      </c>
      <c r="FG67" s="18">
        <v>0</v>
      </c>
      <c r="FH67" s="317">
        <v>0</v>
      </c>
      <c r="FI67" s="18">
        <v>0</v>
      </c>
      <c r="FJ67" s="18">
        <v>0</v>
      </c>
      <c r="FK67" s="317">
        <v>0</v>
      </c>
      <c r="FL67" s="18">
        <v>0</v>
      </c>
      <c r="FM67" s="18">
        <v>0</v>
      </c>
      <c r="FN67" s="317">
        <v>0</v>
      </c>
      <c r="FO67" s="646" t="s">
        <v>942</v>
      </c>
      <c r="FP67" s="531"/>
      <c r="FQ67" s="531"/>
      <c r="FR67" s="531"/>
      <c r="FS67" s="531"/>
      <c r="FT67" s="531"/>
      <c r="FU67" s="634" t="s">
        <v>240</v>
      </c>
      <c r="FV67" s="531"/>
      <c r="FW67" s="531"/>
      <c r="FX67" s="531"/>
      <c r="FY67" s="531"/>
      <c r="FZ67" s="531"/>
    </row>
    <row r="68" spans="1:182" ht="12.75">
      <c r="A68" s="93">
        <v>43899</v>
      </c>
      <c r="B68" s="14">
        <f t="shared" ref="B68:D68" si="63">SUM(F68,I68,U68,AA68,AM68,CL68,DG68,EE68,FC68,FF68)</f>
        <v>91</v>
      </c>
      <c r="C68" s="34">
        <f t="shared" si="63"/>
        <v>1</v>
      </c>
      <c r="D68" s="73">
        <f t="shared" si="63"/>
        <v>1</v>
      </c>
      <c r="E68" s="350">
        <f t="shared" si="1"/>
        <v>89</v>
      </c>
      <c r="F68" s="105">
        <v>3</v>
      </c>
      <c r="G68" s="18">
        <v>0</v>
      </c>
      <c r="H68" s="317">
        <v>0</v>
      </c>
      <c r="I68" s="105">
        <v>20</v>
      </c>
      <c r="J68" s="18">
        <v>0</v>
      </c>
      <c r="K68" s="317">
        <v>0</v>
      </c>
      <c r="L68" s="18">
        <v>0</v>
      </c>
      <c r="M68" s="18">
        <v>0</v>
      </c>
      <c r="N68" s="317">
        <v>0</v>
      </c>
      <c r="O68" s="18">
        <v>0</v>
      </c>
      <c r="P68" s="18">
        <v>0</v>
      </c>
      <c r="Q68" s="317">
        <v>0</v>
      </c>
      <c r="R68" s="18">
        <v>0</v>
      </c>
      <c r="S68" s="18">
        <v>0</v>
      </c>
      <c r="T68" s="317">
        <v>0</v>
      </c>
      <c r="U68" s="18">
        <v>0</v>
      </c>
      <c r="V68" s="18">
        <v>0</v>
      </c>
      <c r="W68" s="317">
        <v>0</v>
      </c>
      <c r="X68" s="18">
        <v>0</v>
      </c>
      <c r="Y68" s="18">
        <v>0</v>
      </c>
      <c r="Z68" s="317">
        <v>0</v>
      </c>
      <c r="AA68" s="105">
        <v>2</v>
      </c>
      <c r="AB68" s="18">
        <v>0</v>
      </c>
      <c r="AC68" s="317">
        <v>0</v>
      </c>
      <c r="AD68" s="18">
        <v>0</v>
      </c>
      <c r="AE68" s="18">
        <v>0</v>
      </c>
      <c r="AF68" s="317">
        <v>0</v>
      </c>
      <c r="AG68" s="18">
        <v>0</v>
      </c>
      <c r="AH68" s="18">
        <v>0</v>
      </c>
      <c r="AI68" s="317">
        <v>0</v>
      </c>
      <c r="AJ68" s="18">
        <v>0</v>
      </c>
      <c r="AK68" s="18">
        <v>0</v>
      </c>
      <c r="AL68" s="317">
        <v>0</v>
      </c>
      <c r="AM68" s="105">
        <v>55</v>
      </c>
      <c r="AN68" s="139">
        <v>1</v>
      </c>
      <c r="AO68" s="150">
        <v>1</v>
      </c>
      <c r="AP68" s="18">
        <v>0</v>
      </c>
      <c r="AQ68" s="18">
        <v>0</v>
      </c>
      <c r="AR68" s="317">
        <v>0</v>
      </c>
      <c r="AS68" s="18">
        <v>0</v>
      </c>
      <c r="AT68" s="18">
        <v>0</v>
      </c>
      <c r="AU68" s="317">
        <v>0</v>
      </c>
      <c r="AV68" s="18">
        <v>0</v>
      </c>
      <c r="AW68" s="18">
        <v>0</v>
      </c>
      <c r="AX68" s="317">
        <v>0</v>
      </c>
      <c r="AY68" s="18">
        <v>0</v>
      </c>
      <c r="AZ68" s="18">
        <v>0</v>
      </c>
      <c r="BA68" s="317">
        <v>0</v>
      </c>
      <c r="BB68" s="18">
        <v>0</v>
      </c>
      <c r="BC68" s="18">
        <v>0</v>
      </c>
      <c r="BD68" s="317">
        <v>0</v>
      </c>
      <c r="BE68" s="18">
        <v>0</v>
      </c>
      <c r="BF68" s="18">
        <v>0</v>
      </c>
      <c r="BG68" s="317">
        <v>0</v>
      </c>
      <c r="BH68" s="18">
        <v>0</v>
      </c>
      <c r="BI68" s="18">
        <v>0</v>
      </c>
      <c r="BJ68" s="317">
        <v>0</v>
      </c>
      <c r="BK68" s="18">
        <v>0</v>
      </c>
      <c r="BL68" s="18">
        <v>0</v>
      </c>
      <c r="BM68" s="317">
        <v>0</v>
      </c>
      <c r="BN68" s="18">
        <v>0</v>
      </c>
      <c r="BO68" s="18">
        <v>0</v>
      </c>
      <c r="BP68" s="317">
        <v>0</v>
      </c>
      <c r="BQ68" s="18">
        <v>0</v>
      </c>
      <c r="BR68" s="18">
        <v>0</v>
      </c>
      <c r="BS68" s="317">
        <v>0</v>
      </c>
      <c r="BT68" s="18">
        <v>0</v>
      </c>
      <c r="BU68" s="18">
        <v>0</v>
      </c>
      <c r="BV68" s="317">
        <v>0</v>
      </c>
      <c r="BW68" s="18">
        <v>0</v>
      </c>
      <c r="BX68" s="18">
        <v>0</v>
      </c>
      <c r="BY68" s="317">
        <v>0</v>
      </c>
      <c r="BZ68" s="18">
        <v>0</v>
      </c>
      <c r="CA68" s="18">
        <v>0</v>
      </c>
      <c r="CB68" s="317">
        <v>0</v>
      </c>
      <c r="CC68" s="18">
        <v>0</v>
      </c>
      <c r="CD68" s="18">
        <v>0</v>
      </c>
      <c r="CE68" s="317">
        <v>0</v>
      </c>
      <c r="CF68" s="18">
        <v>0</v>
      </c>
      <c r="CG68" s="18">
        <v>0</v>
      </c>
      <c r="CH68" s="317">
        <v>0</v>
      </c>
      <c r="CI68" s="18">
        <v>0</v>
      </c>
      <c r="CJ68" s="18">
        <v>0</v>
      </c>
      <c r="CK68" s="317">
        <v>0</v>
      </c>
      <c r="CL68" s="105">
        <v>2</v>
      </c>
      <c r="CM68" s="18">
        <v>0</v>
      </c>
      <c r="CN68" s="317">
        <v>0</v>
      </c>
      <c r="CO68" s="18">
        <v>0</v>
      </c>
      <c r="CP68" s="18">
        <v>0</v>
      </c>
      <c r="CQ68" s="317">
        <v>0</v>
      </c>
      <c r="CR68" s="18">
        <v>0</v>
      </c>
      <c r="CS68" s="18">
        <v>0</v>
      </c>
      <c r="CT68" s="317">
        <v>0</v>
      </c>
      <c r="CU68" s="18">
        <v>0</v>
      </c>
      <c r="CV68" s="18">
        <v>0</v>
      </c>
      <c r="CW68" s="317">
        <v>0</v>
      </c>
      <c r="CX68" s="18">
        <v>0</v>
      </c>
      <c r="CY68" s="18">
        <v>0</v>
      </c>
      <c r="CZ68" s="317">
        <v>0</v>
      </c>
      <c r="DA68" s="18">
        <v>0</v>
      </c>
      <c r="DB68" s="18">
        <v>0</v>
      </c>
      <c r="DC68" s="317">
        <v>0</v>
      </c>
      <c r="DD68" s="18">
        <v>0</v>
      </c>
      <c r="DE68" s="18">
        <v>0</v>
      </c>
      <c r="DF68" s="317">
        <v>0</v>
      </c>
      <c r="DG68" s="105">
        <v>2</v>
      </c>
      <c r="DH68" s="18">
        <v>0</v>
      </c>
      <c r="DI68" s="317">
        <v>0</v>
      </c>
      <c r="DJ68" s="18">
        <v>0</v>
      </c>
      <c r="DK68" s="18">
        <v>0</v>
      </c>
      <c r="DL68" s="317">
        <v>0</v>
      </c>
      <c r="DM68" s="18">
        <v>0</v>
      </c>
      <c r="DN68" s="18">
        <v>0</v>
      </c>
      <c r="DO68" s="317">
        <v>0</v>
      </c>
      <c r="DP68" s="18">
        <v>0</v>
      </c>
      <c r="DQ68" s="18">
        <v>0</v>
      </c>
      <c r="DR68" s="317">
        <v>0</v>
      </c>
      <c r="DS68" s="18">
        <v>0</v>
      </c>
      <c r="DT68" s="18">
        <v>0</v>
      </c>
      <c r="DU68" s="317">
        <v>0</v>
      </c>
      <c r="DV68" s="18">
        <v>0</v>
      </c>
      <c r="DW68" s="18">
        <v>0</v>
      </c>
      <c r="DX68" s="317">
        <v>0</v>
      </c>
      <c r="DY68" s="18">
        <v>0</v>
      </c>
      <c r="DZ68" s="18">
        <v>0</v>
      </c>
      <c r="EA68" s="317">
        <v>0</v>
      </c>
      <c r="EB68" s="18">
        <v>0</v>
      </c>
      <c r="EC68" s="18">
        <v>0</v>
      </c>
      <c r="ED68" s="317">
        <v>0</v>
      </c>
      <c r="EE68" s="105">
        <v>4</v>
      </c>
      <c r="EF68" s="18">
        <v>0</v>
      </c>
      <c r="EG68" s="317">
        <v>0</v>
      </c>
      <c r="EH68" s="18">
        <v>0</v>
      </c>
      <c r="EI68" s="18">
        <v>0</v>
      </c>
      <c r="EJ68" s="317">
        <v>0</v>
      </c>
      <c r="EK68" s="18">
        <v>0</v>
      </c>
      <c r="EL68" s="18">
        <v>0</v>
      </c>
      <c r="EM68" s="317">
        <v>0</v>
      </c>
      <c r="EN68" s="18">
        <v>0</v>
      </c>
      <c r="EO68" s="18">
        <v>0</v>
      </c>
      <c r="EP68" s="317">
        <v>0</v>
      </c>
      <c r="EQ68" s="18">
        <v>0</v>
      </c>
      <c r="ER68" s="18">
        <v>0</v>
      </c>
      <c r="ES68" s="317">
        <v>0</v>
      </c>
      <c r="ET68" s="18">
        <v>0</v>
      </c>
      <c r="EU68" s="18">
        <v>0</v>
      </c>
      <c r="EV68" s="317">
        <v>0</v>
      </c>
      <c r="EW68" s="18">
        <v>0</v>
      </c>
      <c r="EX68" s="18">
        <v>0</v>
      </c>
      <c r="EY68" s="317">
        <v>0</v>
      </c>
      <c r="EZ68" s="18">
        <v>0</v>
      </c>
      <c r="FA68" s="18">
        <v>0</v>
      </c>
      <c r="FB68" s="317">
        <v>0</v>
      </c>
      <c r="FC68" s="105">
        <v>1</v>
      </c>
      <c r="FD68" s="18">
        <v>0</v>
      </c>
      <c r="FE68" s="317">
        <v>0</v>
      </c>
      <c r="FF68" s="105">
        <v>2</v>
      </c>
      <c r="FG68" s="18">
        <v>0</v>
      </c>
      <c r="FH68" s="317">
        <v>0</v>
      </c>
      <c r="FI68" s="18">
        <v>0</v>
      </c>
      <c r="FJ68" s="18">
        <v>0</v>
      </c>
      <c r="FK68" s="317">
        <v>0</v>
      </c>
      <c r="FL68" s="18">
        <v>0</v>
      </c>
      <c r="FM68" s="18">
        <v>0</v>
      </c>
      <c r="FN68" s="317">
        <v>0</v>
      </c>
      <c r="FO68" s="646"/>
      <c r="FP68" s="531"/>
      <c r="FQ68" s="531"/>
      <c r="FR68" s="531"/>
      <c r="FS68" s="531"/>
      <c r="FT68" s="531"/>
      <c r="FU68" s="635"/>
      <c r="FV68" s="531"/>
      <c r="FW68" s="531"/>
      <c r="FX68" s="531"/>
      <c r="FY68" s="531"/>
      <c r="FZ68" s="531"/>
    </row>
    <row r="69" spans="1:182" ht="12.75">
      <c r="A69" s="93">
        <v>43900</v>
      </c>
      <c r="B69" s="14">
        <f t="shared" ref="B69:D69" si="64">SUM(F69,I69,U69,AA69,AM69,CL69,DG69,EE69,FC69,FF69)</f>
        <v>104</v>
      </c>
      <c r="C69" s="34">
        <f t="shared" si="64"/>
        <v>2</v>
      </c>
      <c r="D69" s="73">
        <f t="shared" si="64"/>
        <v>2</v>
      </c>
      <c r="E69" s="350">
        <f t="shared" si="1"/>
        <v>100</v>
      </c>
      <c r="F69" s="105">
        <v>7</v>
      </c>
      <c r="G69" s="18">
        <v>0</v>
      </c>
      <c r="H69" s="317">
        <v>0</v>
      </c>
      <c r="I69" s="105">
        <v>20</v>
      </c>
      <c r="J69" s="18">
        <v>0</v>
      </c>
      <c r="K69" s="317">
        <v>0</v>
      </c>
      <c r="L69" s="18">
        <v>0</v>
      </c>
      <c r="M69" s="18">
        <v>0</v>
      </c>
      <c r="N69" s="317">
        <v>0</v>
      </c>
      <c r="O69" s="18">
        <v>0</v>
      </c>
      <c r="P69" s="18">
        <v>0</v>
      </c>
      <c r="Q69" s="317">
        <v>0</v>
      </c>
      <c r="R69" s="18">
        <v>0</v>
      </c>
      <c r="S69" s="18">
        <v>0</v>
      </c>
      <c r="T69" s="317">
        <v>0</v>
      </c>
      <c r="U69" s="105">
        <v>1</v>
      </c>
      <c r="V69" s="18">
        <v>0</v>
      </c>
      <c r="W69" s="317">
        <v>0</v>
      </c>
      <c r="X69" s="18">
        <v>0</v>
      </c>
      <c r="Y69" s="18">
        <v>0</v>
      </c>
      <c r="Z69" s="317">
        <v>0</v>
      </c>
      <c r="AA69" s="105">
        <v>2</v>
      </c>
      <c r="AB69" s="18">
        <v>0</v>
      </c>
      <c r="AC69" s="317">
        <v>0</v>
      </c>
      <c r="AD69" s="18">
        <v>0</v>
      </c>
      <c r="AE69" s="18">
        <v>0</v>
      </c>
      <c r="AF69" s="317">
        <v>0</v>
      </c>
      <c r="AG69" s="18">
        <v>0</v>
      </c>
      <c r="AH69" s="18">
        <v>0</v>
      </c>
      <c r="AI69" s="317">
        <v>0</v>
      </c>
      <c r="AJ69" s="18">
        <v>0</v>
      </c>
      <c r="AK69" s="18">
        <v>0</v>
      </c>
      <c r="AL69" s="317">
        <v>0</v>
      </c>
      <c r="AM69" s="105">
        <v>59</v>
      </c>
      <c r="AN69" s="139">
        <v>1</v>
      </c>
      <c r="AO69" s="150">
        <v>1</v>
      </c>
      <c r="AP69" s="18">
        <v>0</v>
      </c>
      <c r="AQ69" s="18">
        <v>0</v>
      </c>
      <c r="AR69" s="317">
        <v>0</v>
      </c>
      <c r="AS69" s="18">
        <v>0</v>
      </c>
      <c r="AT69" s="18">
        <v>0</v>
      </c>
      <c r="AU69" s="317">
        <v>0</v>
      </c>
      <c r="AV69" s="18">
        <v>0</v>
      </c>
      <c r="AW69" s="18">
        <v>0</v>
      </c>
      <c r="AX69" s="317">
        <v>0</v>
      </c>
      <c r="AY69" s="18">
        <v>0</v>
      </c>
      <c r="AZ69" s="18">
        <v>0</v>
      </c>
      <c r="BA69" s="317">
        <v>0</v>
      </c>
      <c r="BB69" s="18">
        <v>0</v>
      </c>
      <c r="BC69" s="18">
        <v>0</v>
      </c>
      <c r="BD69" s="317">
        <v>0</v>
      </c>
      <c r="BE69" s="18">
        <v>0</v>
      </c>
      <c r="BF69" s="18">
        <v>0</v>
      </c>
      <c r="BG69" s="317">
        <v>0</v>
      </c>
      <c r="BH69" s="18">
        <v>0</v>
      </c>
      <c r="BI69" s="18">
        <v>0</v>
      </c>
      <c r="BJ69" s="317">
        <v>0</v>
      </c>
      <c r="BK69" s="18">
        <v>0</v>
      </c>
      <c r="BL69" s="18">
        <v>0</v>
      </c>
      <c r="BM69" s="317">
        <v>0</v>
      </c>
      <c r="BN69" s="18">
        <v>0</v>
      </c>
      <c r="BO69" s="18">
        <v>0</v>
      </c>
      <c r="BP69" s="317">
        <v>0</v>
      </c>
      <c r="BQ69" s="18">
        <v>0</v>
      </c>
      <c r="BR69" s="18">
        <v>0</v>
      </c>
      <c r="BS69" s="317">
        <v>0</v>
      </c>
      <c r="BT69" s="18">
        <v>0</v>
      </c>
      <c r="BU69" s="18">
        <v>0</v>
      </c>
      <c r="BV69" s="317">
        <v>0</v>
      </c>
      <c r="BW69" s="18">
        <v>0</v>
      </c>
      <c r="BX69" s="18">
        <v>0</v>
      </c>
      <c r="BY69" s="317">
        <v>0</v>
      </c>
      <c r="BZ69" s="18">
        <v>0</v>
      </c>
      <c r="CA69" s="18">
        <v>0</v>
      </c>
      <c r="CB69" s="317">
        <v>0</v>
      </c>
      <c r="CC69" s="18">
        <v>0</v>
      </c>
      <c r="CD69" s="18">
        <v>0</v>
      </c>
      <c r="CE69" s="317">
        <v>0</v>
      </c>
      <c r="CF69" s="18">
        <v>0</v>
      </c>
      <c r="CG69" s="18">
        <v>0</v>
      </c>
      <c r="CH69" s="317">
        <v>0</v>
      </c>
      <c r="CI69" s="18">
        <v>0</v>
      </c>
      <c r="CJ69" s="18">
        <v>0</v>
      </c>
      <c r="CK69" s="317">
        <v>0</v>
      </c>
      <c r="CL69" s="105">
        <v>3</v>
      </c>
      <c r="CM69" s="139">
        <v>1</v>
      </c>
      <c r="CN69" s="317">
        <v>0</v>
      </c>
      <c r="CO69" s="18">
        <v>0</v>
      </c>
      <c r="CP69" s="18">
        <v>0</v>
      </c>
      <c r="CQ69" s="317">
        <v>0</v>
      </c>
      <c r="CR69" s="18">
        <v>0</v>
      </c>
      <c r="CS69" s="18">
        <v>0</v>
      </c>
      <c r="CT69" s="317">
        <v>0</v>
      </c>
      <c r="CU69" s="18">
        <v>0</v>
      </c>
      <c r="CV69" s="18">
        <v>0</v>
      </c>
      <c r="CW69" s="317">
        <v>0</v>
      </c>
      <c r="CX69" s="18">
        <v>0</v>
      </c>
      <c r="CY69" s="18">
        <v>0</v>
      </c>
      <c r="CZ69" s="317">
        <v>0</v>
      </c>
      <c r="DA69" s="18">
        <v>0</v>
      </c>
      <c r="DB69" s="18">
        <v>0</v>
      </c>
      <c r="DC69" s="317">
        <v>0</v>
      </c>
      <c r="DD69" s="18">
        <v>0</v>
      </c>
      <c r="DE69" s="18">
        <v>0</v>
      </c>
      <c r="DF69" s="317">
        <v>0</v>
      </c>
      <c r="DG69" s="105">
        <v>2</v>
      </c>
      <c r="DH69" s="18">
        <v>0</v>
      </c>
      <c r="DI69" s="317">
        <v>0</v>
      </c>
      <c r="DJ69" s="18">
        <v>0</v>
      </c>
      <c r="DK69" s="18">
        <v>0</v>
      </c>
      <c r="DL69" s="317">
        <v>0</v>
      </c>
      <c r="DM69" s="18">
        <v>0</v>
      </c>
      <c r="DN69" s="18">
        <v>0</v>
      </c>
      <c r="DO69" s="317">
        <v>0</v>
      </c>
      <c r="DP69" s="18">
        <v>0</v>
      </c>
      <c r="DQ69" s="18">
        <v>0</v>
      </c>
      <c r="DR69" s="317">
        <v>0</v>
      </c>
      <c r="DS69" s="18">
        <v>0</v>
      </c>
      <c r="DT69" s="18">
        <v>0</v>
      </c>
      <c r="DU69" s="317">
        <v>0</v>
      </c>
      <c r="DV69" s="18">
        <v>0</v>
      </c>
      <c r="DW69" s="18">
        <v>0</v>
      </c>
      <c r="DX69" s="317">
        <v>0</v>
      </c>
      <c r="DY69" s="18">
        <v>0</v>
      </c>
      <c r="DZ69" s="18">
        <v>0</v>
      </c>
      <c r="EA69" s="317">
        <v>0</v>
      </c>
      <c r="EB69" s="18">
        <v>0</v>
      </c>
      <c r="EC69" s="18">
        <v>0</v>
      </c>
      <c r="ED69" s="317">
        <v>0</v>
      </c>
      <c r="EE69" s="105">
        <v>4</v>
      </c>
      <c r="EF69" s="18">
        <v>0</v>
      </c>
      <c r="EG69" s="150">
        <v>1</v>
      </c>
      <c r="EH69" s="18">
        <v>0</v>
      </c>
      <c r="EI69" s="18">
        <v>0</v>
      </c>
      <c r="EJ69" s="317">
        <v>0</v>
      </c>
      <c r="EK69" s="18">
        <v>0</v>
      </c>
      <c r="EL69" s="18">
        <v>0</v>
      </c>
      <c r="EM69" s="317">
        <v>0</v>
      </c>
      <c r="EN69" s="18">
        <v>0</v>
      </c>
      <c r="EO69" s="18">
        <v>0</v>
      </c>
      <c r="EP69" s="317">
        <v>0</v>
      </c>
      <c r="EQ69" s="18">
        <v>0</v>
      </c>
      <c r="ER69" s="18">
        <v>0</v>
      </c>
      <c r="ES69" s="317">
        <v>0</v>
      </c>
      <c r="ET69" s="18">
        <v>0</v>
      </c>
      <c r="EU69" s="18">
        <v>0</v>
      </c>
      <c r="EV69" s="317">
        <v>0</v>
      </c>
      <c r="EW69" s="18">
        <v>0</v>
      </c>
      <c r="EX69" s="18">
        <v>0</v>
      </c>
      <c r="EY69" s="317">
        <v>0</v>
      </c>
      <c r="EZ69" s="18">
        <v>0</v>
      </c>
      <c r="FA69" s="18">
        <v>0</v>
      </c>
      <c r="FB69" s="317">
        <v>0</v>
      </c>
      <c r="FC69" s="105">
        <v>1</v>
      </c>
      <c r="FD69" s="18">
        <v>0</v>
      </c>
      <c r="FE69" s="317">
        <v>0</v>
      </c>
      <c r="FF69" s="105">
        <v>5</v>
      </c>
      <c r="FG69" s="18">
        <v>0</v>
      </c>
      <c r="FH69" s="317">
        <v>0</v>
      </c>
      <c r="FI69" s="18">
        <v>0</v>
      </c>
      <c r="FJ69" s="18">
        <v>0</v>
      </c>
      <c r="FK69" s="317">
        <v>0</v>
      </c>
      <c r="FL69" s="18">
        <v>0</v>
      </c>
      <c r="FM69" s="18">
        <v>0</v>
      </c>
      <c r="FN69" s="317">
        <v>0</v>
      </c>
      <c r="FO69" s="646" t="s">
        <v>944</v>
      </c>
      <c r="FP69" s="531"/>
      <c r="FQ69" s="531"/>
      <c r="FR69" s="531"/>
      <c r="FS69" s="531"/>
      <c r="FT69" s="531"/>
      <c r="FU69" s="634" t="s">
        <v>945</v>
      </c>
      <c r="FV69" s="531"/>
      <c r="FW69" s="531"/>
      <c r="FX69" s="531"/>
      <c r="FY69" s="531"/>
      <c r="FZ69" s="531"/>
    </row>
    <row r="70" spans="1:182" ht="12.75">
      <c r="A70" s="93">
        <v>43901</v>
      </c>
      <c r="B70" s="14">
        <f t="shared" ref="B70:D70" si="65">SUM(F70,I70,U70,AA70,AM70,CL70,DG70,DP70,EE70,FC70,FF70)</f>
        <v>117</v>
      </c>
      <c r="C70" s="34">
        <f t="shared" si="65"/>
        <v>2</v>
      </c>
      <c r="D70" s="73">
        <f t="shared" si="65"/>
        <v>2</v>
      </c>
      <c r="E70" s="350">
        <f t="shared" si="1"/>
        <v>113</v>
      </c>
      <c r="F70" s="105">
        <v>13</v>
      </c>
      <c r="G70" s="18">
        <v>0</v>
      </c>
      <c r="H70" s="317">
        <v>0</v>
      </c>
      <c r="I70" s="105">
        <v>20</v>
      </c>
      <c r="J70" s="18">
        <v>0</v>
      </c>
      <c r="K70" s="317">
        <v>0</v>
      </c>
      <c r="L70" s="18">
        <v>0</v>
      </c>
      <c r="M70" s="18">
        <v>0</v>
      </c>
      <c r="N70" s="317">
        <v>0</v>
      </c>
      <c r="O70" s="18">
        <v>0</v>
      </c>
      <c r="P70" s="18">
        <v>0</v>
      </c>
      <c r="Q70" s="317">
        <v>0</v>
      </c>
      <c r="R70" s="18">
        <v>0</v>
      </c>
      <c r="S70" s="18">
        <v>0</v>
      </c>
      <c r="T70" s="317">
        <v>0</v>
      </c>
      <c r="U70" s="105">
        <v>2</v>
      </c>
      <c r="V70" s="18">
        <v>0</v>
      </c>
      <c r="W70" s="317">
        <v>0</v>
      </c>
      <c r="X70" s="18">
        <v>0</v>
      </c>
      <c r="Y70" s="18">
        <v>0</v>
      </c>
      <c r="Z70" s="317">
        <v>0</v>
      </c>
      <c r="AA70" s="105">
        <v>2</v>
      </c>
      <c r="AB70" s="18">
        <v>0</v>
      </c>
      <c r="AC70" s="317">
        <v>0</v>
      </c>
      <c r="AD70" s="18">
        <v>0</v>
      </c>
      <c r="AE70" s="18">
        <v>0</v>
      </c>
      <c r="AF70" s="317">
        <v>0</v>
      </c>
      <c r="AG70" s="18">
        <v>0</v>
      </c>
      <c r="AH70" s="18">
        <v>0</v>
      </c>
      <c r="AI70" s="317">
        <v>0</v>
      </c>
      <c r="AJ70" s="18">
        <v>0</v>
      </c>
      <c r="AK70" s="18">
        <v>0</v>
      </c>
      <c r="AL70" s="317">
        <v>0</v>
      </c>
      <c r="AM70" s="105">
        <v>60</v>
      </c>
      <c r="AN70" s="139">
        <v>1</v>
      </c>
      <c r="AO70" s="150">
        <v>1</v>
      </c>
      <c r="AP70" s="18">
        <v>0</v>
      </c>
      <c r="AQ70" s="18">
        <v>0</v>
      </c>
      <c r="AR70" s="317">
        <v>0</v>
      </c>
      <c r="AS70" s="18">
        <v>0</v>
      </c>
      <c r="AT70" s="18">
        <v>0</v>
      </c>
      <c r="AU70" s="317">
        <v>0</v>
      </c>
      <c r="AV70" s="18">
        <v>0</v>
      </c>
      <c r="AW70" s="18">
        <v>0</v>
      </c>
      <c r="AX70" s="317">
        <v>0</v>
      </c>
      <c r="AY70" s="18">
        <v>0</v>
      </c>
      <c r="AZ70" s="18">
        <v>0</v>
      </c>
      <c r="BA70" s="317">
        <v>0</v>
      </c>
      <c r="BB70" s="18">
        <v>0</v>
      </c>
      <c r="BC70" s="18">
        <v>0</v>
      </c>
      <c r="BD70" s="317">
        <v>0</v>
      </c>
      <c r="BE70" s="18">
        <v>0</v>
      </c>
      <c r="BF70" s="18">
        <v>0</v>
      </c>
      <c r="BG70" s="317">
        <v>0</v>
      </c>
      <c r="BH70" s="18">
        <v>0</v>
      </c>
      <c r="BI70" s="18">
        <v>0</v>
      </c>
      <c r="BJ70" s="317">
        <v>0</v>
      </c>
      <c r="BK70" s="18">
        <v>0</v>
      </c>
      <c r="BL70" s="18">
        <v>0</v>
      </c>
      <c r="BM70" s="317">
        <v>0</v>
      </c>
      <c r="BN70" s="18">
        <v>0</v>
      </c>
      <c r="BO70" s="18">
        <v>0</v>
      </c>
      <c r="BP70" s="317">
        <v>0</v>
      </c>
      <c r="BQ70" s="18">
        <v>0</v>
      </c>
      <c r="BR70" s="18">
        <v>0</v>
      </c>
      <c r="BS70" s="317">
        <v>0</v>
      </c>
      <c r="BT70" s="18">
        <v>0</v>
      </c>
      <c r="BU70" s="18">
        <v>0</v>
      </c>
      <c r="BV70" s="317">
        <v>0</v>
      </c>
      <c r="BW70" s="18">
        <v>0</v>
      </c>
      <c r="BX70" s="18">
        <v>0</v>
      </c>
      <c r="BY70" s="317">
        <v>0</v>
      </c>
      <c r="BZ70" s="18">
        <v>0</v>
      </c>
      <c r="CA70" s="18">
        <v>0</v>
      </c>
      <c r="CB70" s="317">
        <v>0</v>
      </c>
      <c r="CC70" s="18">
        <v>0</v>
      </c>
      <c r="CD70" s="18">
        <v>0</v>
      </c>
      <c r="CE70" s="317">
        <v>0</v>
      </c>
      <c r="CF70" s="18">
        <v>0</v>
      </c>
      <c r="CG70" s="18">
        <v>0</v>
      </c>
      <c r="CH70" s="317">
        <v>0</v>
      </c>
      <c r="CI70" s="18">
        <v>0</v>
      </c>
      <c r="CJ70" s="18">
        <v>0</v>
      </c>
      <c r="CK70" s="317">
        <v>0</v>
      </c>
      <c r="CL70" s="105">
        <v>5</v>
      </c>
      <c r="CM70" s="139">
        <v>1</v>
      </c>
      <c r="CN70" s="317">
        <v>0</v>
      </c>
      <c r="CO70" s="18">
        <v>0</v>
      </c>
      <c r="CP70" s="18">
        <v>0</v>
      </c>
      <c r="CQ70" s="317">
        <v>0</v>
      </c>
      <c r="CR70" s="18">
        <v>0</v>
      </c>
      <c r="CS70" s="18">
        <v>0</v>
      </c>
      <c r="CT70" s="317">
        <v>0</v>
      </c>
      <c r="CU70" s="18">
        <v>0</v>
      </c>
      <c r="CV70" s="18">
        <v>0</v>
      </c>
      <c r="CW70" s="317">
        <v>0</v>
      </c>
      <c r="CX70" s="18">
        <v>0</v>
      </c>
      <c r="CY70" s="18">
        <v>0</v>
      </c>
      <c r="CZ70" s="317">
        <v>0</v>
      </c>
      <c r="DA70" s="18">
        <v>0</v>
      </c>
      <c r="DB70" s="18">
        <v>0</v>
      </c>
      <c r="DC70" s="317">
        <v>0</v>
      </c>
      <c r="DD70" s="18">
        <v>0</v>
      </c>
      <c r="DE70" s="18">
        <v>0</v>
      </c>
      <c r="DF70" s="317">
        <v>0</v>
      </c>
      <c r="DG70" s="105">
        <v>2</v>
      </c>
      <c r="DH70" s="18">
        <v>0</v>
      </c>
      <c r="DI70" s="317">
        <v>0</v>
      </c>
      <c r="DJ70" s="18">
        <v>0</v>
      </c>
      <c r="DK70" s="18">
        <v>0</v>
      </c>
      <c r="DL70" s="317">
        <v>0</v>
      </c>
      <c r="DM70" s="18">
        <v>0</v>
      </c>
      <c r="DN70" s="18">
        <v>0</v>
      </c>
      <c r="DO70" s="317">
        <v>0</v>
      </c>
      <c r="DP70" s="105">
        <v>1</v>
      </c>
      <c r="DQ70" s="18">
        <v>0</v>
      </c>
      <c r="DR70" s="317">
        <v>0</v>
      </c>
      <c r="DS70" s="18">
        <v>0</v>
      </c>
      <c r="DT70" s="18">
        <v>0</v>
      </c>
      <c r="DU70" s="317">
        <v>0</v>
      </c>
      <c r="DV70" s="18">
        <v>0</v>
      </c>
      <c r="DW70" s="18">
        <v>0</v>
      </c>
      <c r="DX70" s="317">
        <v>0</v>
      </c>
      <c r="DY70" s="18">
        <v>0</v>
      </c>
      <c r="DZ70" s="18">
        <v>0</v>
      </c>
      <c r="EA70" s="317">
        <v>0</v>
      </c>
      <c r="EB70" s="18">
        <v>0</v>
      </c>
      <c r="EC70" s="18">
        <v>0</v>
      </c>
      <c r="ED70" s="317">
        <v>0</v>
      </c>
      <c r="EE70" s="105">
        <v>4</v>
      </c>
      <c r="EF70" s="18">
        <v>0</v>
      </c>
      <c r="EG70" s="150">
        <v>1</v>
      </c>
      <c r="EH70" s="18">
        <v>0</v>
      </c>
      <c r="EI70" s="18">
        <v>0</v>
      </c>
      <c r="EJ70" s="317">
        <v>0</v>
      </c>
      <c r="EK70" s="18">
        <v>0</v>
      </c>
      <c r="EL70" s="18">
        <v>0</v>
      </c>
      <c r="EM70" s="317">
        <v>0</v>
      </c>
      <c r="EN70" s="18">
        <v>0</v>
      </c>
      <c r="EO70" s="18">
        <v>0</v>
      </c>
      <c r="EP70" s="317">
        <v>0</v>
      </c>
      <c r="EQ70" s="18">
        <v>0</v>
      </c>
      <c r="ER70" s="18">
        <v>0</v>
      </c>
      <c r="ES70" s="317">
        <v>0</v>
      </c>
      <c r="ET70" s="18">
        <v>0</v>
      </c>
      <c r="EU70" s="18">
        <v>0</v>
      </c>
      <c r="EV70" s="317">
        <v>0</v>
      </c>
      <c r="EW70" s="18">
        <v>0</v>
      </c>
      <c r="EX70" s="18">
        <v>0</v>
      </c>
      <c r="EY70" s="317">
        <v>0</v>
      </c>
      <c r="EZ70" s="18">
        <v>0</v>
      </c>
      <c r="FA70" s="18">
        <v>0</v>
      </c>
      <c r="FB70" s="317">
        <v>0</v>
      </c>
      <c r="FC70" s="105">
        <v>1</v>
      </c>
      <c r="FD70" s="18">
        <v>0</v>
      </c>
      <c r="FE70" s="317">
        <v>0</v>
      </c>
      <c r="FF70" s="105">
        <v>7</v>
      </c>
      <c r="FG70" s="18">
        <v>0</v>
      </c>
      <c r="FH70" s="317">
        <v>0</v>
      </c>
      <c r="FI70" s="18">
        <v>0</v>
      </c>
      <c r="FJ70" s="18">
        <v>0</v>
      </c>
      <c r="FK70" s="317">
        <v>0</v>
      </c>
      <c r="FL70" s="18">
        <v>0</v>
      </c>
      <c r="FM70" s="18">
        <v>0</v>
      </c>
      <c r="FN70" s="317">
        <v>0</v>
      </c>
      <c r="FO70" s="646" t="s">
        <v>946</v>
      </c>
      <c r="FP70" s="531"/>
      <c r="FQ70" s="531"/>
      <c r="FR70" s="531"/>
      <c r="FS70" s="531"/>
      <c r="FT70" s="531"/>
      <c r="FU70" s="635"/>
      <c r="FV70" s="531"/>
      <c r="FW70" s="531"/>
      <c r="FX70" s="531"/>
      <c r="FY70" s="531"/>
      <c r="FZ70" s="531"/>
    </row>
    <row r="71" spans="1:182" ht="12.75">
      <c r="A71" s="93">
        <v>43902</v>
      </c>
      <c r="B71" s="14">
        <f t="shared" ref="B71:D71" si="66">SUM(F71,I71,U71,AA71,AG71,AM71,BT71,CL71,DG71,DP71,EE71,FC71,FF71)</f>
        <v>136</v>
      </c>
      <c r="C71" s="34">
        <f t="shared" si="66"/>
        <v>3</v>
      </c>
      <c r="D71" s="73">
        <f t="shared" si="66"/>
        <v>30</v>
      </c>
      <c r="E71" s="350">
        <f t="shared" si="1"/>
        <v>103</v>
      </c>
      <c r="F71" s="105">
        <v>17</v>
      </c>
      <c r="G71" s="18">
        <v>0</v>
      </c>
      <c r="H71" s="317">
        <v>0</v>
      </c>
      <c r="I71" s="105">
        <v>24</v>
      </c>
      <c r="J71" s="139">
        <v>1</v>
      </c>
      <c r="K71" s="150">
        <v>8</v>
      </c>
      <c r="L71" s="18">
        <v>0</v>
      </c>
      <c r="M71" s="18">
        <v>0</v>
      </c>
      <c r="N71" s="317">
        <v>0</v>
      </c>
      <c r="O71" s="18">
        <v>0</v>
      </c>
      <c r="P71" s="18">
        <v>0</v>
      </c>
      <c r="Q71" s="317">
        <v>0</v>
      </c>
      <c r="R71" s="18">
        <v>0</v>
      </c>
      <c r="S71" s="18">
        <v>0</v>
      </c>
      <c r="T71" s="317">
        <v>0</v>
      </c>
      <c r="U71" s="105">
        <v>2</v>
      </c>
      <c r="V71" s="18">
        <v>0</v>
      </c>
      <c r="W71" s="317">
        <v>0</v>
      </c>
      <c r="X71" s="18">
        <v>0</v>
      </c>
      <c r="Y71" s="18">
        <v>0</v>
      </c>
      <c r="Z71" s="317">
        <v>0</v>
      </c>
      <c r="AA71" s="105">
        <v>2</v>
      </c>
      <c r="AB71" s="18">
        <v>0</v>
      </c>
      <c r="AC71" s="317">
        <v>0</v>
      </c>
      <c r="AD71" s="18">
        <v>0</v>
      </c>
      <c r="AE71" s="18">
        <v>0</v>
      </c>
      <c r="AF71" s="317">
        <v>0</v>
      </c>
      <c r="AG71" s="105">
        <v>1</v>
      </c>
      <c r="AH71" s="18">
        <v>0</v>
      </c>
      <c r="AI71" s="317">
        <v>0</v>
      </c>
      <c r="AJ71" s="18">
        <v>0</v>
      </c>
      <c r="AK71" s="18">
        <v>0</v>
      </c>
      <c r="AL71" s="317">
        <v>0</v>
      </c>
      <c r="AM71" s="105">
        <v>67</v>
      </c>
      <c r="AN71" s="139">
        <v>1</v>
      </c>
      <c r="AO71" s="150">
        <v>21</v>
      </c>
      <c r="AP71" s="18">
        <v>0</v>
      </c>
      <c r="AQ71" s="18">
        <v>0</v>
      </c>
      <c r="AR71" s="317">
        <v>0</v>
      </c>
      <c r="AS71" s="18">
        <v>0</v>
      </c>
      <c r="AT71" s="18">
        <v>0</v>
      </c>
      <c r="AU71" s="317">
        <v>0</v>
      </c>
      <c r="AV71" s="18">
        <v>0</v>
      </c>
      <c r="AW71" s="18">
        <v>0</v>
      </c>
      <c r="AX71" s="317">
        <v>0</v>
      </c>
      <c r="AY71" s="18">
        <v>0</v>
      </c>
      <c r="AZ71" s="18">
        <v>0</v>
      </c>
      <c r="BA71" s="317">
        <v>0</v>
      </c>
      <c r="BB71" s="18">
        <v>0</v>
      </c>
      <c r="BC71" s="18">
        <v>0</v>
      </c>
      <c r="BD71" s="317">
        <v>0</v>
      </c>
      <c r="BE71" s="18">
        <v>0</v>
      </c>
      <c r="BF71" s="18">
        <v>0</v>
      </c>
      <c r="BG71" s="317">
        <v>0</v>
      </c>
      <c r="BH71" s="18">
        <v>0</v>
      </c>
      <c r="BI71" s="18">
        <v>0</v>
      </c>
      <c r="BJ71" s="317">
        <v>0</v>
      </c>
      <c r="BK71" s="18">
        <v>0</v>
      </c>
      <c r="BL71" s="18">
        <v>0</v>
      </c>
      <c r="BM71" s="317">
        <v>0</v>
      </c>
      <c r="BN71" s="18">
        <v>0</v>
      </c>
      <c r="BO71" s="18">
        <v>0</v>
      </c>
      <c r="BP71" s="317">
        <v>0</v>
      </c>
      <c r="BQ71" s="18">
        <v>0</v>
      </c>
      <c r="BR71" s="18">
        <v>0</v>
      </c>
      <c r="BS71" s="317">
        <v>0</v>
      </c>
      <c r="BT71" s="105">
        <v>2</v>
      </c>
      <c r="BU71" s="18">
        <v>0</v>
      </c>
      <c r="BV71" s="317">
        <v>0</v>
      </c>
      <c r="BW71" s="18">
        <v>0</v>
      </c>
      <c r="BX71" s="18">
        <v>0</v>
      </c>
      <c r="BY71" s="317">
        <v>0</v>
      </c>
      <c r="BZ71" s="18">
        <v>0</v>
      </c>
      <c r="CA71" s="18">
        <v>0</v>
      </c>
      <c r="CB71" s="317">
        <v>0</v>
      </c>
      <c r="CC71" s="18">
        <v>0</v>
      </c>
      <c r="CD71" s="18">
        <v>0</v>
      </c>
      <c r="CE71" s="317">
        <v>0</v>
      </c>
      <c r="CF71" s="18">
        <v>0</v>
      </c>
      <c r="CG71" s="18">
        <v>0</v>
      </c>
      <c r="CH71" s="317">
        <v>0</v>
      </c>
      <c r="CI71" s="18">
        <v>0</v>
      </c>
      <c r="CJ71" s="18">
        <v>0</v>
      </c>
      <c r="CK71" s="317">
        <v>0</v>
      </c>
      <c r="CL71" s="105">
        <v>6</v>
      </c>
      <c r="CM71" s="139">
        <v>1</v>
      </c>
      <c r="CN71" s="317">
        <v>0</v>
      </c>
      <c r="CO71" s="18">
        <v>0</v>
      </c>
      <c r="CP71" s="18">
        <v>0</v>
      </c>
      <c r="CQ71" s="317">
        <v>0</v>
      </c>
      <c r="CR71" s="18">
        <v>0</v>
      </c>
      <c r="CS71" s="18">
        <v>0</v>
      </c>
      <c r="CT71" s="317">
        <v>0</v>
      </c>
      <c r="CU71" s="18">
        <v>0</v>
      </c>
      <c r="CV71" s="18">
        <v>0</v>
      </c>
      <c r="CW71" s="317">
        <v>0</v>
      </c>
      <c r="CX71" s="18">
        <v>0</v>
      </c>
      <c r="CY71" s="18">
        <v>0</v>
      </c>
      <c r="CZ71" s="317">
        <v>0</v>
      </c>
      <c r="DA71" s="18">
        <v>0</v>
      </c>
      <c r="DB71" s="18">
        <v>0</v>
      </c>
      <c r="DC71" s="317">
        <v>0</v>
      </c>
      <c r="DD71" s="18">
        <v>0</v>
      </c>
      <c r="DE71" s="18">
        <v>0</v>
      </c>
      <c r="DF71" s="317">
        <v>0</v>
      </c>
      <c r="DG71" s="105">
        <v>2</v>
      </c>
      <c r="DH71" s="18">
        <v>0</v>
      </c>
      <c r="DI71" s="317">
        <v>0</v>
      </c>
      <c r="DJ71" s="18">
        <v>0</v>
      </c>
      <c r="DK71" s="18">
        <v>0</v>
      </c>
      <c r="DL71" s="317">
        <v>0</v>
      </c>
      <c r="DM71" s="18">
        <v>0</v>
      </c>
      <c r="DN71" s="18">
        <v>0</v>
      </c>
      <c r="DO71" s="317">
        <v>0</v>
      </c>
      <c r="DP71" s="105">
        <v>1</v>
      </c>
      <c r="DQ71" s="18">
        <v>0</v>
      </c>
      <c r="DR71" s="317">
        <v>0</v>
      </c>
      <c r="DS71" s="18">
        <v>0</v>
      </c>
      <c r="DT71" s="18">
        <v>0</v>
      </c>
      <c r="DU71" s="317">
        <v>0</v>
      </c>
      <c r="DV71" s="18">
        <v>0</v>
      </c>
      <c r="DW71" s="18">
        <v>0</v>
      </c>
      <c r="DX71" s="317">
        <v>0</v>
      </c>
      <c r="DY71" s="18">
        <v>0</v>
      </c>
      <c r="DZ71" s="18">
        <v>0</v>
      </c>
      <c r="EA71" s="317">
        <v>0</v>
      </c>
      <c r="EB71" s="18">
        <v>0</v>
      </c>
      <c r="EC71" s="18">
        <v>0</v>
      </c>
      <c r="ED71" s="317">
        <v>0</v>
      </c>
      <c r="EE71" s="105">
        <v>4</v>
      </c>
      <c r="EF71" s="18">
        <v>0</v>
      </c>
      <c r="EG71" s="150">
        <v>1</v>
      </c>
      <c r="EH71" s="18">
        <v>0</v>
      </c>
      <c r="EI71" s="18">
        <v>0</v>
      </c>
      <c r="EJ71" s="317">
        <v>0</v>
      </c>
      <c r="EK71" s="18">
        <v>0</v>
      </c>
      <c r="EL71" s="18">
        <v>0</v>
      </c>
      <c r="EM71" s="317">
        <v>0</v>
      </c>
      <c r="EN71" s="18">
        <v>0</v>
      </c>
      <c r="EO71" s="18">
        <v>0</v>
      </c>
      <c r="EP71" s="317">
        <v>0</v>
      </c>
      <c r="EQ71" s="18">
        <v>0</v>
      </c>
      <c r="ER71" s="18">
        <v>0</v>
      </c>
      <c r="ES71" s="317">
        <v>0</v>
      </c>
      <c r="ET71" s="18">
        <v>0</v>
      </c>
      <c r="EU71" s="18">
        <v>0</v>
      </c>
      <c r="EV71" s="317">
        <v>0</v>
      </c>
      <c r="EW71" s="18">
        <v>0</v>
      </c>
      <c r="EX71" s="18">
        <v>0</v>
      </c>
      <c r="EY71" s="317">
        <v>0</v>
      </c>
      <c r="EZ71" s="18">
        <v>0</v>
      </c>
      <c r="FA71" s="18">
        <v>0</v>
      </c>
      <c r="FB71" s="317">
        <v>0</v>
      </c>
      <c r="FC71" s="105">
        <v>1</v>
      </c>
      <c r="FD71" s="18">
        <v>0</v>
      </c>
      <c r="FE71" s="317">
        <v>0</v>
      </c>
      <c r="FF71" s="105">
        <v>7</v>
      </c>
      <c r="FG71" s="18">
        <v>0</v>
      </c>
      <c r="FH71" s="317">
        <v>0</v>
      </c>
      <c r="FI71" s="18">
        <v>0</v>
      </c>
      <c r="FJ71" s="18">
        <v>0</v>
      </c>
      <c r="FK71" s="317">
        <v>0</v>
      </c>
      <c r="FL71" s="18">
        <v>0</v>
      </c>
      <c r="FM71" s="18">
        <v>0</v>
      </c>
      <c r="FN71" s="317">
        <v>0</v>
      </c>
      <c r="FO71" s="646" t="s">
        <v>947</v>
      </c>
      <c r="FP71" s="531"/>
      <c r="FQ71" s="531"/>
      <c r="FR71" s="531"/>
      <c r="FS71" s="531"/>
      <c r="FT71" s="531"/>
      <c r="FU71" s="635" t="s">
        <v>948</v>
      </c>
      <c r="FV71" s="531"/>
      <c r="FW71" s="531"/>
      <c r="FX71" s="531"/>
      <c r="FY71" s="531"/>
      <c r="FZ71" s="531"/>
    </row>
    <row r="72" spans="1:182" ht="12.75">
      <c r="A72" s="93">
        <v>43903</v>
      </c>
      <c r="B72" s="84">
        <f t="shared" ref="B72:D72" si="67">SUM(F72,I72,U72,AA72,AG72,AV72,AM72,AS72,AY72,BE72,BH72,BQ72,BT72,CL72,CR72,DA72,DG72,DP72,DV72,EE72,EH72,EQ72,FC72,FF72)</f>
        <v>168</v>
      </c>
      <c r="C72" s="124">
        <f t="shared" si="67"/>
        <v>6</v>
      </c>
      <c r="D72" s="125">
        <f t="shared" si="67"/>
        <v>30</v>
      </c>
      <c r="E72" s="350">
        <f t="shared" si="1"/>
        <v>132</v>
      </c>
      <c r="F72" s="105">
        <v>24</v>
      </c>
      <c r="G72" s="18">
        <v>0</v>
      </c>
      <c r="H72" s="317">
        <v>0</v>
      </c>
      <c r="I72" s="105">
        <v>26</v>
      </c>
      <c r="J72" s="139">
        <v>2</v>
      </c>
      <c r="K72" s="150">
        <v>8</v>
      </c>
      <c r="L72" s="18">
        <v>0</v>
      </c>
      <c r="M72" s="18">
        <v>0</v>
      </c>
      <c r="N72" s="317">
        <v>0</v>
      </c>
      <c r="O72" s="18">
        <v>0</v>
      </c>
      <c r="P72" s="18">
        <v>0</v>
      </c>
      <c r="Q72" s="317">
        <v>0</v>
      </c>
      <c r="R72" s="18">
        <v>0</v>
      </c>
      <c r="S72" s="18">
        <v>0</v>
      </c>
      <c r="T72" s="317">
        <v>0</v>
      </c>
      <c r="U72" s="105">
        <v>2</v>
      </c>
      <c r="V72" s="18">
        <v>0</v>
      </c>
      <c r="W72" s="317">
        <v>0</v>
      </c>
      <c r="X72" s="18">
        <v>0</v>
      </c>
      <c r="Y72" s="18">
        <v>0</v>
      </c>
      <c r="Z72" s="317">
        <v>0</v>
      </c>
      <c r="AA72" s="105">
        <v>2</v>
      </c>
      <c r="AB72" s="18">
        <v>0</v>
      </c>
      <c r="AC72" s="317">
        <v>0</v>
      </c>
      <c r="AD72" s="18">
        <v>0</v>
      </c>
      <c r="AE72" s="18">
        <v>0</v>
      </c>
      <c r="AF72" s="317">
        <v>0</v>
      </c>
      <c r="AG72" s="105">
        <v>1</v>
      </c>
      <c r="AH72" s="18">
        <v>0</v>
      </c>
      <c r="AI72" s="317">
        <v>0</v>
      </c>
      <c r="AJ72" s="18">
        <v>0</v>
      </c>
      <c r="AK72" s="18">
        <v>0</v>
      </c>
      <c r="AL72" s="317">
        <v>0</v>
      </c>
      <c r="AM72" s="105">
        <v>80</v>
      </c>
      <c r="AN72" s="139">
        <v>2</v>
      </c>
      <c r="AO72" s="150">
        <v>21</v>
      </c>
      <c r="AP72" s="18">
        <v>0</v>
      </c>
      <c r="AQ72" s="18">
        <v>0</v>
      </c>
      <c r="AR72" s="317">
        <v>0</v>
      </c>
      <c r="AS72" s="18">
        <v>0</v>
      </c>
      <c r="AT72" s="18">
        <v>0</v>
      </c>
      <c r="AU72" s="317">
        <v>0</v>
      </c>
      <c r="AV72" s="105">
        <v>1</v>
      </c>
      <c r="AW72" s="18">
        <v>0</v>
      </c>
      <c r="AX72" s="317">
        <v>0</v>
      </c>
      <c r="AY72" s="105">
        <v>1</v>
      </c>
      <c r="AZ72" s="18">
        <v>0</v>
      </c>
      <c r="BA72" s="317">
        <v>0</v>
      </c>
      <c r="BB72" s="18">
        <v>0</v>
      </c>
      <c r="BC72" s="18">
        <v>0</v>
      </c>
      <c r="BD72" s="317">
        <v>0</v>
      </c>
      <c r="BE72" s="105">
        <v>2</v>
      </c>
      <c r="BF72" s="18">
        <v>0</v>
      </c>
      <c r="BG72" s="317">
        <v>0</v>
      </c>
      <c r="BH72" s="18">
        <v>0</v>
      </c>
      <c r="BI72" s="18">
        <v>0</v>
      </c>
      <c r="BJ72" s="317">
        <v>0</v>
      </c>
      <c r="BK72" s="18">
        <v>0</v>
      </c>
      <c r="BL72" s="18">
        <v>0</v>
      </c>
      <c r="BM72" s="317">
        <v>0</v>
      </c>
      <c r="BN72" s="18">
        <v>0</v>
      </c>
      <c r="BO72" s="18">
        <v>0</v>
      </c>
      <c r="BP72" s="317">
        <v>0</v>
      </c>
      <c r="BQ72" s="105">
        <v>1</v>
      </c>
      <c r="BR72" s="18">
        <v>0</v>
      </c>
      <c r="BS72" s="317">
        <v>0</v>
      </c>
      <c r="BT72" s="105">
        <v>5</v>
      </c>
      <c r="BU72" s="18">
        <v>0</v>
      </c>
      <c r="BV72" s="317">
        <v>0</v>
      </c>
      <c r="BW72" s="18">
        <v>0</v>
      </c>
      <c r="BX72" s="18">
        <v>0</v>
      </c>
      <c r="BY72" s="317">
        <v>0</v>
      </c>
      <c r="BZ72" s="18">
        <v>0</v>
      </c>
      <c r="CA72" s="18">
        <v>0</v>
      </c>
      <c r="CB72" s="317">
        <v>0</v>
      </c>
      <c r="CC72" s="18">
        <v>0</v>
      </c>
      <c r="CD72" s="18">
        <v>0</v>
      </c>
      <c r="CE72" s="317">
        <v>0</v>
      </c>
      <c r="CF72" s="18">
        <v>0</v>
      </c>
      <c r="CG72" s="18">
        <v>0</v>
      </c>
      <c r="CH72" s="317">
        <v>0</v>
      </c>
      <c r="CI72" s="18">
        <v>0</v>
      </c>
      <c r="CJ72" s="18">
        <v>0</v>
      </c>
      <c r="CK72" s="317">
        <v>0</v>
      </c>
      <c r="CL72" s="105">
        <v>6</v>
      </c>
      <c r="CM72" s="139">
        <v>1</v>
      </c>
      <c r="CN72" s="317">
        <v>0</v>
      </c>
      <c r="CO72" s="18">
        <v>0</v>
      </c>
      <c r="CP72" s="18">
        <v>0</v>
      </c>
      <c r="CQ72" s="317">
        <v>0</v>
      </c>
      <c r="CR72" s="18">
        <v>0</v>
      </c>
      <c r="CS72" s="18">
        <v>0</v>
      </c>
      <c r="CT72" s="317">
        <v>0</v>
      </c>
      <c r="CU72" s="18">
        <v>0</v>
      </c>
      <c r="CV72" s="18">
        <v>0</v>
      </c>
      <c r="CW72" s="317">
        <v>0</v>
      </c>
      <c r="CX72" s="18">
        <v>0</v>
      </c>
      <c r="CY72" s="18">
        <v>0</v>
      </c>
      <c r="CZ72" s="317">
        <v>0</v>
      </c>
      <c r="DA72" s="18">
        <v>0</v>
      </c>
      <c r="DB72" s="18">
        <v>0</v>
      </c>
      <c r="DC72" s="317">
        <v>0</v>
      </c>
      <c r="DD72" s="18">
        <v>0</v>
      </c>
      <c r="DE72" s="18">
        <v>0</v>
      </c>
      <c r="DF72" s="317">
        <v>0</v>
      </c>
      <c r="DG72" s="105">
        <v>2</v>
      </c>
      <c r="DH72" s="18">
        <v>0</v>
      </c>
      <c r="DI72" s="317">
        <v>0</v>
      </c>
      <c r="DJ72" s="18">
        <v>0</v>
      </c>
      <c r="DK72" s="18">
        <v>0</v>
      </c>
      <c r="DL72" s="317">
        <v>0</v>
      </c>
      <c r="DM72" s="18">
        <v>0</v>
      </c>
      <c r="DN72" s="18">
        <v>0</v>
      </c>
      <c r="DO72" s="317">
        <v>0</v>
      </c>
      <c r="DP72" s="105">
        <v>1</v>
      </c>
      <c r="DQ72" s="18">
        <v>0</v>
      </c>
      <c r="DR72" s="317">
        <v>0</v>
      </c>
      <c r="DS72" s="18">
        <v>0</v>
      </c>
      <c r="DT72" s="18">
        <v>0</v>
      </c>
      <c r="DU72" s="317">
        <v>0</v>
      </c>
      <c r="DV72" s="18">
        <v>0</v>
      </c>
      <c r="DW72" s="18">
        <v>0</v>
      </c>
      <c r="DX72" s="317">
        <v>0</v>
      </c>
      <c r="DY72" s="18">
        <v>0</v>
      </c>
      <c r="DZ72" s="18">
        <v>0</v>
      </c>
      <c r="EA72" s="317">
        <v>0</v>
      </c>
      <c r="EB72" s="18">
        <v>0</v>
      </c>
      <c r="EC72" s="18">
        <v>0</v>
      </c>
      <c r="ED72" s="317">
        <v>0</v>
      </c>
      <c r="EE72" s="105">
        <v>5</v>
      </c>
      <c r="EF72" s="18">
        <v>0</v>
      </c>
      <c r="EG72" s="150">
        <v>1</v>
      </c>
      <c r="EH72" s="18">
        <v>0</v>
      </c>
      <c r="EI72" s="18">
        <v>0</v>
      </c>
      <c r="EJ72" s="317">
        <v>0</v>
      </c>
      <c r="EK72" s="18">
        <v>0</v>
      </c>
      <c r="EL72" s="18">
        <v>0</v>
      </c>
      <c r="EM72" s="317">
        <v>0</v>
      </c>
      <c r="EN72" s="18">
        <v>0</v>
      </c>
      <c r="EO72" s="18">
        <v>0</v>
      </c>
      <c r="EP72" s="317">
        <v>0</v>
      </c>
      <c r="EQ72" s="105">
        <v>1</v>
      </c>
      <c r="ER72" s="139">
        <v>1</v>
      </c>
      <c r="ES72" s="317">
        <v>0</v>
      </c>
      <c r="ET72" s="18">
        <v>0</v>
      </c>
      <c r="EU72" s="18">
        <v>0</v>
      </c>
      <c r="EV72" s="317">
        <v>0</v>
      </c>
      <c r="EW72" s="18">
        <v>0</v>
      </c>
      <c r="EX72" s="18">
        <v>0</v>
      </c>
      <c r="EY72" s="317">
        <v>0</v>
      </c>
      <c r="EZ72" s="18">
        <v>0</v>
      </c>
      <c r="FA72" s="18">
        <v>0</v>
      </c>
      <c r="FB72" s="317">
        <v>0</v>
      </c>
      <c r="FC72" s="105">
        <v>1</v>
      </c>
      <c r="FD72" s="18">
        <v>0</v>
      </c>
      <c r="FE72" s="317">
        <v>0</v>
      </c>
      <c r="FF72" s="105">
        <v>7</v>
      </c>
      <c r="FG72" s="18">
        <v>0</v>
      </c>
      <c r="FH72" s="317">
        <v>0</v>
      </c>
      <c r="FI72" s="18">
        <v>0</v>
      </c>
      <c r="FJ72" s="18">
        <v>0</v>
      </c>
      <c r="FK72" s="317">
        <v>0</v>
      </c>
      <c r="FL72" s="18">
        <v>0</v>
      </c>
      <c r="FM72" s="18">
        <v>0</v>
      </c>
      <c r="FN72" s="317">
        <v>0</v>
      </c>
      <c r="FO72" s="646" t="s">
        <v>949</v>
      </c>
      <c r="FP72" s="531"/>
      <c r="FQ72" s="531"/>
      <c r="FR72" s="531"/>
      <c r="FS72" s="531"/>
      <c r="FT72" s="531"/>
      <c r="FU72" s="635" t="s">
        <v>950</v>
      </c>
      <c r="FV72" s="531"/>
      <c r="FW72" s="531"/>
      <c r="FX72" s="531"/>
      <c r="FY72" s="531"/>
      <c r="FZ72" s="531"/>
    </row>
    <row r="73" spans="1:182" ht="12.75">
      <c r="A73" s="93">
        <v>43904</v>
      </c>
      <c r="B73" s="84">
        <f t="shared" ref="B73:D73" si="68">SUM(F73,I73,O73,U73,AA73,AG73,AV73,AM73,AS73,AY73,BE73,BH73,BN73,BQ73,BT73,BW73,CC73,CL73,CR73,DA73,DG73,DM73,DP73,DS73,DV73,EE73,EH73,EN73,EQ73,EW73,FC73,FF73)</f>
        <v>241</v>
      </c>
      <c r="C73" s="124">
        <f t="shared" si="68"/>
        <v>7</v>
      </c>
      <c r="D73" s="125">
        <f t="shared" si="68"/>
        <v>35</v>
      </c>
      <c r="E73" s="350">
        <f t="shared" si="1"/>
        <v>199</v>
      </c>
      <c r="F73" s="105">
        <v>38</v>
      </c>
      <c r="G73" s="18">
        <v>0</v>
      </c>
      <c r="H73" s="317">
        <v>0</v>
      </c>
      <c r="I73" s="105">
        <v>37</v>
      </c>
      <c r="J73" s="139">
        <v>3</v>
      </c>
      <c r="K73" s="150">
        <v>12</v>
      </c>
      <c r="L73" s="18">
        <v>0</v>
      </c>
      <c r="M73" s="18">
        <v>0</v>
      </c>
      <c r="N73" s="317">
        <v>0</v>
      </c>
      <c r="O73" s="18">
        <v>0</v>
      </c>
      <c r="P73" s="18">
        <v>0</v>
      </c>
      <c r="Q73" s="317">
        <v>0</v>
      </c>
      <c r="R73" s="18">
        <v>0</v>
      </c>
      <c r="S73" s="18">
        <v>0</v>
      </c>
      <c r="T73" s="317">
        <v>0</v>
      </c>
      <c r="U73" s="105">
        <v>2</v>
      </c>
      <c r="V73" s="18">
        <v>0</v>
      </c>
      <c r="W73" s="317">
        <v>0</v>
      </c>
      <c r="X73" s="18">
        <v>0</v>
      </c>
      <c r="Y73" s="18">
        <v>0</v>
      </c>
      <c r="Z73" s="317">
        <v>0</v>
      </c>
      <c r="AA73" s="105">
        <v>2</v>
      </c>
      <c r="AB73" s="18">
        <v>0</v>
      </c>
      <c r="AC73" s="317">
        <v>0</v>
      </c>
      <c r="AD73" s="18">
        <v>0</v>
      </c>
      <c r="AE73" s="18">
        <v>0</v>
      </c>
      <c r="AF73" s="317">
        <v>0</v>
      </c>
      <c r="AG73" s="105">
        <v>1</v>
      </c>
      <c r="AH73" s="18">
        <v>0</v>
      </c>
      <c r="AI73" s="317">
        <v>0</v>
      </c>
      <c r="AJ73" s="18">
        <v>0</v>
      </c>
      <c r="AK73" s="18">
        <v>0</v>
      </c>
      <c r="AL73" s="317">
        <v>0</v>
      </c>
      <c r="AM73" s="105">
        <v>93</v>
      </c>
      <c r="AN73" s="139">
        <v>2</v>
      </c>
      <c r="AO73" s="150">
        <v>21</v>
      </c>
      <c r="AP73" s="18">
        <v>0</v>
      </c>
      <c r="AQ73" s="18">
        <v>0</v>
      </c>
      <c r="AR73" s="317">
        <v>0</v>
      </c>
      <c r="AS73" s="105">
        <v>1</v>
      </c>
      <c r="AT73" s="18">
        <v>0</v>
      </c>
      <c r="AU73" s="317">
        <v>0</v>
      </c>
      <c r="AV73" s="105">
        <v>1</v>
      </c>
      <c r="AW73" s="18">
        <v>0</v>
      </c>
      <c r="AX73" s="317">
        <v>0</v>
      </c>
      <c r="AY73" s="105">
        <v>1</v>
      </c>
      <c r="AZ73" s="18">
        <v>0</v>
      </c>
      <c r="BA73" s="317">
        <v>0</v>
      </c>
      <c r="BB73" s="18">
        <v>0</v>
      </c>
      <c r="BC73" s="18">
        <v>0</v>
      </c>
      <c r="BD73" s="317">
        <v>0</v>
      </c>
      <c r="BE73" s="105">
        <v>2</v>
      </c>
      <c r="BF73" s="18">
        <v>0</v>
      </c>
      <c r="BG73" s="317">
        <v>0</v>
      </c>
      <c r="BH73" s="105">
        <v>1</v>
      </c>
      <c r="BI73" s="18">
        <v>0</v>
      </c>
      <c r="BJ73" s="317">
        <v>0</v>
      </c>
      <c r="BK73" s="18">
        <v>0</v>
      </c>
      <c r="BL73" s="18">
        <v>0</v>
      </c>
      <c r="BM73" s="317">
        <v>0</v>
      </c>
      <c r="BN73" s="18">
        <v>0</v>
      </c>
      <c r="BO73" s="18">
        <v>0</v>
      </c>
      <c r="BP73" s="317">
        <v>0</v>
      </c>
      <c r="BQ73" s="105">
        <v>1</v>
      </c>
      <c r="BR73" s="18">
        <v>0</v>
      </c>
      <c r="BS73" s="317">
        <v>0</v>
      </c>
      <c r="BT73" s="105">
        <v>6</v>
      </c>
      <c r="BU73" s="18">
        <v>0</v>
      </c>
      <c r="BV73" s="317">
        <v>0</v>
      </c>
      <c r="BW73" s="18">
        <v>0</v>
      </c>
      <c r="BX73" s="18">
        <v>0</v>
      </c>
      <c r="BY73" s="317">
        <v>0</v>
      </c>
      <c r="BZ73" s="18">
        <v>0</v>
      </c>
      <c r="CA73" s="18">
        <v>0</v>
      </c>
      <c r="CB73" s="317">
        <v>0</v>
      </c>
      <c r="CC73" s="18">
        <v>0</v>
      </c>
      <c r="CD73" s="18">
        <v>0</v>
      </c>
      <c r="CE73" s="317">
        <v>0</v>
      </c>
      <c r="CF73" s="18">
        <v>0</v>
      </c>
      <c r="CG73" s="18">
        <v>0</v>
      </c>
      <c r="CH73" s="317">
        <v>0</v>
      </c>
      <c r="CI73" s="18">
        <v>0</v>
      </c>
      <c r="CJ73" s="18">
        <v>0</v>
      </c>
      <c r="CK73" s="317">
        <v>0</v>
      </c>
      <c r="CL73" s="105">
        <v>17</v>
      </c>
      <c r="CM73" s="139">
        <v>1</v>
      </c>
      <c r="CN73" s="150">
        <v>1</v>
      </c>
      <c r="CO73" s="18">
        <v>0</v>
      </c>
      <c r="CP73" s="18">
        <v>0</v>
      </c>
      <c r="CQ73" s="317">
        <v>0</v>
      </c>
      <c r="CR73" s="105">
        <v>1</v>
      </c>
      <c r="CS73" s="18">
        <v>0</v>
      </c>
      <c r="CT73" s="317">
        <v>0</v>
      </c>
      <c r="CU73" s="105">
        <v>1</v>
      </c>
      <c r="CV73" s="18">
        <v>0</v>
      </c>
      <c r="CW73" s="317">
        <v>0</v>
      </c>
      <c r="CX73" s="18">
        <v>0</v>
      </c>
      <c r="CY73" s="18">
        <v>0</v>
      </c>
      <c r="CZ73" s="317">
        <v>0</v>
      </c>
      <c r="DA73" s="105">
        <v>2</v>
      </c>
      <c r="DB73" s="18">
        <v>0</v>
      </c>
      <c r="DC73" s="317">
        <v>0</v>
      </c>
      <c r="DD73" s="18">
        <v>0</v>
      </c>
      <c r="DE73" s="18">
        <v>0</v>
      </c>
      <c r="DF73" s="317">
        <v>0</v>
      </c>
      <c r="DG73" s="105">
        <v>2</v>
      </c>
      <c r="DH73" s="18">
        <v>0</v>
      </c>
      <c r="DI73" s="317">
        <v>0</v>
      </c>
      <c r="DJ73" s="18">
        <v>0</v>
      </c>
      <c r="DK73" s="18">
        <v>0</v>
      </c>
      <c r="DL73" s="317">
        <v>0</v>
      </c>
      <c r="DM73" s="18">
        <v>0</v>
      </c>
      <c r="DN73" s="18">
        <v>0</v>
      </c>
      <c r="DO73" s="317">
        <v>0</v>
      </c>
      <c r="DP73" s="105">
        <v>2</v>
      </c>
      <c r="DQ73" s="18">
        <v>0</v>
      </c>
      <c r="DR73" s="317">
        <v>0</v>
      </c>
      <c r="DS73" s="18">
        <v>0</v>
      </c>
      <c r="DT73" s="18">
        <v>0</v>
      </c>
      <c r="DU73" s="317">
        <v>0</v>
      </c>
      <c r="DV73" s="105">
        <v>1</v>
      </c>
      <c r="DW73" s="18">
        <v>0</v>
      </c>
      <c r="DX73" s="317">
        <v>0</v>
      </c>
      <c r="DY73" s="18">
        <v>0</v>
      </c>
      <c r="DZ73" s="18">
        <v>0</v>
      </c>
      <c r="EA73" s="317">
        <v>0</v>
      </c>
      <c r="EB73" s="18">
        <v>0</v>
      </c>
      <c r="EC73" s="18">
        <v>0</v>
      </c>
      <c r="ED73" s="317">
        <v>0</v>
      </c>
      <c r="EE73" s="105">
        <v>10</v>
      </c>
      <c r="EF73" s="18">
        <v>0</v>
      </c>
      <c r="EG73" s="150">
        <v>1</v>
      </c>
      <c r="EH73" s="18">
        <v>0</v>
      </c>
      <c r="EI73" s="18">
        <v>0</v>
      </c>
      <c r="EJ73" s="317">
        <v>0</v>
      </c>
      <c r="EK73" s="18">
        <v>0</v>
      </c>
      <c r="EL73" s="18">
        <v>0</v>
      </c>
      <c r="EM73" s="317">
        <v>0</v>
      </c>
      <c r="EN73" s="18">
        <v>0</v>
      </c>
      <c r="EO73" s="18">
        <v>0</v>
      </c>
      <c r="EP73" s="317">
        <v>0</v>
      </c>
      <c r="EQ73" s="105">
        <v>1</v>
      </c>
      <c r="ER73" s="139">
        <v>1</v>
      </c>
      <c r="ES73" s="317">
        <v>0</v>
      </c>
      <c r="ET73" s="18">
        <v>0</v>
      </c>
      <c r="EU73" s="18">
        <v>0</v>
      </c>
      <c r="EV73" s="317">
        <v>0</v>
      </c>
      <c r="EW73" s="18">
        <v>0</v>
      </c>
      <c r="EX73" s="18">
        <v>0</v>
      </c>
      <c r="EY73" s="317">
        <v>0</v>
      </c>
      <c r="EZ73" s="18">
        <v>0</v>
      </c>
      <c r="FA73" s="18">
        <v>0</v>
      </c>
      <c r="FB73" s="317">
        <v>0</v>
      </c>
      <c r="FC73" s="105">
        <v>1</v>
      </c>
      <c r="FD73" s="18">
        <v>0</v>
      </c>
      <c r="FE73" s="317">
        <v>0</v>
      </c>
      <c r="FF73" s="105">
        <v>18</v>
      </c>
      <c r="FG73" s="18">
        <v>0</v>
      </c>
      <c r="FH73" s="317">
        <v>0</v>
      </c>
      <c r="FI73" s="18">
        <v>0</v>
      </c>
      <c r="FJ73" s="18">
        <v>0</v>
      </c>
      <c r="FK73" s="317">
        <v>0</v>
      </c>
      <c r="FL73" s="18">
        <v>0</v>
      </c>
      <c r="FM73" s="18">
        <v>0</v>
      </c>
      <c r="FN73" s="317">
        <v>0</v>
      </c>
      <c r="FO73" s="646" t="s">
        <v>951</v>
      </c>
      <c r="FP73" s="531"/>
      <c r="FQ73" s="531"/>
      <c r="FR73" s="531"/>
      <c r="FS73" s="531"/>
      <c r="FT73" s="531"/>
      <c r="FU73" s="636" t="s">
        <v>952</v>
      </c>
      <c r="FV73" s="531"/>
      <c r="FW73" s="531"/>
      <c r="FX73" s="531"/>
      <c r="FY73" s="531"/>
      <c r="FZ73" s="531"/>
    </row>
    <row r="74" spans="1:182" ht="12.75">
      <c r="A74" s="93">
        <v>43905</v>
      </c>
      <c r="B74" s="84">
        <f t="shared" ref="B74:D74" si="69">SUM(F74,I74,O74,U74,AA74,AG74,AV74,AM74,AS74,AY74,BE74,BH74,BN74,BQ74,BT74,BW74,CC74,CL74,CR74,DA74,DG74,DM74,DP74,DS74,DV74,EE74,EH74,EN74,EQ74,EW74,FC74,FF74)</f>
        <v>303</v>
      </c>
      <c r="C74" s="124">
        <f t="shared" si="69"/>
        <v>8</v>
      </c>
      <c r="D74" s="125">
        <f t="shared" si="69"/>
        <v>35</v>
      </c>
      <c r="E74" s="350">
        <f t="shared" si="1"/>
        <v>260</v>
      </c>
      <c r="F74" s="105">
        <v>51</v>
      </c>
      <c r="G74" s="18">
        <v>0</v>
      </c>
      <c r="H74" s="317">
        <v>0</v>
      </c>
      <c r="I74" s="105">
        <v>48</v>
      </c>
      <c r="J74" s="139">
        <v>4</v>
      </c>
      <c r="K74" s="150">
        <v>12</v>
      </c>
      <c r="L74" s="18">
        <v>0</v>
      </c>
      <c r="M74" s="18">
        <v>0</v>
      </c>
      <c r="N74" s="317">
        <v>0</v>
      </c>
      <c r="O74" s="18">
        <v>0</v>
      </c>
      <c r="P74" s="18">
        <v>0</v>
      </c>
      <c r="Q74" s="317">
        <v>0</v>
      </c>
      <c r="R74" s="18">
        <v>0</v>
      </c>
      <c r="S74" s="18">
        <v>0</v>
      </c>
      <c r="T74" s="317">
        <v>0</v>
      </c>
      <c r="U74" s="105">
        <v>2</v>
      </c>
      <c r="V74" s="18">
        <v>0</v>
      </c>
      <c r="W74" s="317">
        <v>0</v>
      </c>
      <c r="X74" s="18">
        <v>0</v>
      </c>
      <c r="Y74" s="18">
        <v>0</v>
      </c>
      <c r="Z74" s="317">
        <v>0</v>
      </c>
      <c r="AA74" s="105">
        <v>2</v>
      </c>
      <c r="AB74" s="18">
        <v>0</v>
      </c>
      <c r="AC74" s="317">
        <v>0</v>
      </c>
      <c r="AD74" s="18">
        <v>0</v>
      </c>
      <c r="AE74" s="18">
        <v>0</v>
      </c>
      <c r="AF74" s="317">
        <v>0</v>
      </c>
      <c r="AG74" s="105">
        <v>1</v>
      </c>
      <c r="AH74" s="18">
        <v>0</v>
      </c>
      <c r="AI74" s="317">
        <v>0</v>
      </c>
      <c r="AJ74" s="18">
        <v>0</v>
      </c>
      <c r="AK74" s="18">
        <v>0</v>
      </c>
      <c r="AL74" s="317">
        <v>0</v>
      </c>
      <c r="AM74" s="105">
        <v>110</v>
      </c>
      <c r="AN74" s="139">
        <v>2</v>
      </c>
      <c r="AO74" s="150">
        <v>21</v>
      </c>
      <c r="AP74" s="18">
        <v>0</v>
      </c>
      <c r="AQ74" s="18">
        <v>0</v>
      </c>
      <c r="AR74" s="317">
        <v>0</v>
      </c>
      <c r="AS74" s="105">
        <v>1</v>
      </c>
      <c r="AT74" s="18">
        <v>0</v>
      </c>
      <c r="AU74" s="317">
        <v>0</v>
      </c>
      <c r="AV74" s="105">
        <v>1</v>
      </c>
      <c r="AW74" s="18">
        <v>0</v>
      </c>
      <c r="AX74" s="317">
        <v>0</v>
      </c>
      <c r="AY74" s="105">
        <v>1</v>
      </c>
      <c r="AZ74" s="18">
        <v>0</v>
      </c>
      <c r="BA74" s="317">
        <v>0</v>
      </c>
      <c r="BB74" s="18">
        <v>0</v>
      </c>
      <c r="BC74" s="18">
        <v>0</v>
      </c>
      <c r="BD74" s="317">
        <v>0</v>
      </c>
      <c r="BE74" s="105">
        <v>6</v>
      </c>
      <c r="BF74" s="18">
        <v>0</v>
      </c>
      <c r="BG74" s="317">
        <v>0</v>
      </c>
      <c r="BH74" s="105">
        <v>1</v>
      </c>
      <c r="BI74" s="18">
        <v>0</v>
      </c>
      <c r="BJ74" s="317">
        <v>0</v>
      </c>
      <c r="BK74" s="18">
        <v>0</v>
      </c>
      <c r="BL74" s="18">
        <v>0</v>
      </c>
      <c r="BM74" s="317">
        <v>0</v>
      </c>
      <c r="BN74" s="105">
        <v>1</v>
      </c>
      <c r="BO74" s="18">
        <v>0</v>
      </c>
      <c r="BP74" s="317">
        <v>0</v>
      </c>
      <c r="BQ74" s="105">
        <v>1</v>
      </c>
      <c r="BR74" s="18">
        <v>0</v>
      </c>
      <c r="BS74" s="317">
        <v>0</v>
      </c>
      <c r="BT74" s="105">
        <v>7</v>
      </c>
      <c r="BU74" s="18">
        <v>0</v>
      </c>
      <c r="BV74" s="317">
        <v>0</v>
      </c>
      <c r="BW74" s="18">
        <v>0</v>
      </c>
      <c r="BX74" s="18">
        <v>0</v>
      </c>
      <c r="BY74" s="317">
        <v>0</v>
      </c>
      <c r="BZ74" s="18">
        <v>0</v>
      </c>
      <c r="CA74" s="18">
        <v>0</v>
      </c>
      <c r="CB74" s="317">
        <v>0</v>
      </c>
      <c r="CC74" s="18">
        <v>0</v>
      </c>
      <c r="CD74" s="18">
        <v>0</v>
      </c>
      <c r="CE74" s="317">
        <v>0</v>
      </c>
      <c r="CF74" s="18">
        <v>0</v>
      </c>
      <c r="CG74" s="18">
        <v>0</v>
      </c>
      <c r="CH74" s="317">
        <v>0</v>
      </c>
      <c r="CI74" s="18">
        <v>0</v>
      </c>
      <c r="CJ74" s="18">
        <v>0</v>
      </c>
      <c r="CK74" s="317">
        <v>0</v>
      </c>
      <c r="CL74" s="105">
        <v>28</v>
      </c>
      <c r="CM74" s="139">
        <v>1</v>
      </c>
      <c r="CN74" s="150">
        <v>1</v>
      </c>
      <c r="CO74" s="18">
        <v>0</v>
      </c>
      <c r="CP74" s="18">
        <v>0</v>
      </c>
      <c r="CQ74" s="317">
        <v>0</v>
      </c>
      <c r="CR74" s="105">
        <v>1</v>
      </c>
      <c r="CS74" s="18">
        <v>0</v>
      </c>
      <c r="CT74" s="317">
        <v>0</v>
      </c>
      <c r="CU74" s="105">
        <v>1</v>
      </c>
      <c r="CV74" s="18">
        <v>0</v>
      </c>
      <c r="CW74" s="317">
        <v>0</v>
      </c>
      <c r="CX74" s="18">
        <v>0</v>
      </c>
      <c r="CY74" s="18">
        <v>0</v>
      </c>
      <c r="CZ74" s="317">
        <v>0</v>
      </c>
      <c r="DA74" s="105">
        <v>2</v>
      </c>
      <c r="DB74" s="18">
        <v>0</v>
      </c>
      <c r="DC74" s="317">
        <v>0</v>
      </c>
      <c r="DD74" s="18">
        <v>0</v>
      </c>
      <c r="DE74" s="18">
        <v>0</v>
      </c>
      <c r="DF74" s="317">
        <v>0</v>
      </c>
      <c r="DG74" s="105">
        <v>2</v>
      </c>
      <c r="DH74" s="18">
        <v>0</v>
      </c>
      <c r="DI74" s="317">
        <v>0</v>
      </c>
      <c r="DJ74" s="18">
        <v>0</v>
      </c>
      <c r="DK74" s="18">
        <v>0</v>
      </c>
      <c r="DL74" s="317">
        <v>0</v>
      </c>
      <c r="DM74" s="105">
        <v>1</v>
      </c>
      <c r="DN74" s="18">
        <v>0</v>
      </c>
      <c r="DO74" s="317">
        <v>0</v>
      </c>
      <c r="DP74" s="105">
        <v>2</v>
      </c>
      <c r="DQ74" s="18">
        <v>0</v>
      </c>
      <c r="DR74" s="317">
        <v>0</v>
      </c>
      <c r="DS74" s="105">
        <v>1</v>
      </c>
      <c r="DT74" s="18">
        <v>0</v>
      </c>
      <c r="DU74" s="317">
        <v>0</v>
      </c>
      <c r="DV74" s="105">
        <v>1</v>
      </c>
      <c r="DW74" s="18">
        <v>0</v>
      </c>
      <c r="DX74" s="317">
        <v>0</v>
      </c>
      <c r="DY74" s="18">
        <v>0</v>
      </c>
      <c r="DZ74" s="18">
        <v>0</v>
      </c>
      <c r="EA74" s="317">
        <v>0</v>
      </c>
      <c r="EB74" s="18">
        <v>0</v>
      </c>
      <c r="EC74" s="18">
        <v>0</v>
      </c>
      <c r="ED74" s="317">
        <v>0</v>
      </c>
      <c r="EE74" s="105">
        <v>10</v>
      </c>
      <c r="EF74" s="18">
        <v>0</v>
      </c>
      <c r="EG74" s="150">
        <v>1</v>
      </c>
      <c r="EH74" s="105">
        <v>2</v>
      </c>
      <c r="EI74" s="18">
        <v>0</v>
      </c>
      <c r="EJ74" s="317">
        <v>0</v>
      </c>
      <c r="EK74" s="18">
        <v>0</v>
      </c>
      <c r="EL74" s="18">
        <v>0</v>
      </c>
      <c r="EM74" s="317">
        <v>0</v>
      </c>
      <c r="EN74" s="18">
        <v>0</v>
      </c>
      <c r="EO74" s="18">
        <v>0</v>
      </c>
      <c r="EP74" s="317">
        <v>0</v>
      </c>
      <c r="EQ74" s="105">
        <v>1</v>
      </c>
      <c r="ER74" s="139">
        <v>1</v>
      </c>
      <c r="ES74" s="317">
        <v>0</v>
      </c>
      <c r="ET74" s="18">
        <v>0</v>
      </c>
      <c r="EU74" s="18">
        <v>0</v>
      </c>
      <c r="EV74" s="317">
        <v>0</v>
      </c>
      <c r="EW74" s="18">
        <v>0</v>
      </c>
      <c r="EX74" s="18">
        <v>0</v>
      </c>
      <c r="EY74" s="317">
        <v>0</v>
      </c>
      <c r="EZ74" s="18">
        <v>0</v>
      </c>
      <c r="FA74" s="18">
        <v>0</v>
      </c>
      <c r="FB74" s="317">
        <v>0</v>
      </c>
      <c r="FC74" s="105">
        <v>1</v>
      </c>
      <c r="FD74" s="18">
        <v>0</v>
      </c>
      <c r="FE74" s="317">
        <v>0</v>
      </c>
      <c r="FF74" s="105">
        <v>18</v>
      </c>
      <c r="FG74" s="18">
        <v>0</v>
      </c>
      <c r="FH74" s="317">
        <v>0</v>
      </c>
      <c r="FI74" s="18">
        <v>0</v>
      </c>
      <c r="FJ74" s="18">
        <v>0</v>
      </c>
      <c r="FK74" s="317">
        <v>0</v>
      </c>
      <c r="FL74" s="18">
        <v>0</v>
      </c>
      <c r="FM74" s="18">
        <v>0</v>
      </c>
      <c r="FN74" s="317">
        <v>0</v>
      </c>
      <c r="FO74" s="646" t="s">
        <v>955</v>
      </c>
      <c r="FP74" s="531"/>
      <c r="FQ74" s="531"/>
      <c r="FR74" s="531"/>
      <c r="FS74" s="531"/>
      <c r="FT74" s="531"/>
      <c r="FU74" s="645" t="s">
        <v>956</v>
      </c>
      <c r="FV74" s="531"/>
      <c r="FW74" s="531"/>
      <c r="FX74" s="531"/>
      <c r="FY74" s="531"/>
      <c r="FZ74" s="531"/>
    </row>
    <row r="75" spans="1:182" ht="12.75">
      <c r="A75" s="93">
        <v>43906</v>
      </c>
      <c r="B75" s="14">
        <f t="shared" ref="B75:D75" si="70">SUM(F75,I75,O75,U75,AA75,AG75,AV75,AM75,AS75,AY75,BE75,BH75,BN75,BQ75,BT75,BW75,CC75,CL75,CR75,DA75,DG75,DM75,DP75,DS75,DV75,EE75,EH75,EN75,EQ75,EW75,FC75,FF75)</f>
        <v>389</v>
      </c>
      <c r="C75" s="34">
        <f t="shared" si="70"/>
        <v>8</v>
      </c>
      <c r="D75" s="73">
        <f t="shared" si="70"/>
        <v>42</v>
      </c>
      <c r="E75" s="350">
        <f t="shared" si="1"/>
        <v>339</v>
      </c>
      <c r="F75" s="105">
        <v>62</v>
      </c>
      <c r="G75" s="18">
        <v>0</v>
      </c>
      <c r="H75" s="317">
        <v>0</v>
      </c>
      <c r="I75" s="105">
        <v>48</v>
      </c>
      <c r="J75" s="139">
        <v>4</v>
      </c>
      <c r="K75" s="150">
        <v>12</v>
      </c>
      <c r="L75" s="18">
        <v>0</v>
      </c>
      <c r="M75" s="18">
        <v>0</v>
      </c>
      <c r="N75" s="317">
        <v>0</v>
      </c>
      <c r="O75" s="18">
        <v>0</v>
      </c>
      <c r="P75" s="18">
        <v>0</v>
      </c>
      <c r="Q75" s="317">
        <v>0</v>
      </c>
      <c r="R75" s="18">
        <v>0</v>
      </c>
      <c r="S75" s="18">
        <v>0</v>
      </c>
      <c r="T75" s="317">
        <v>0</v>
      </c>
      <c r="U75" s="105">
        <v>7</v>
      </c>
      <c r="V75" s="18">
        <v>0</v>
      </c>
      <c r="W75" s="317">
        <v>0</v>
      </c>
      <c r="X75" s="18">
        <v>0</v>
      </c>
      <c r="Y75" s="18">
        <v>0</v>
      </c>
      <c r="Z75" s="317">
        <v>0</v>
      </c>
      <c r="AA75" s="105">
        <v>4</v>
      </c>
      <c r="AB75" s="18">
        <v>0</v>
      </c>
      <c r="AC75" s="317">
        <v>0</v>
      </c>
      <c r="AD75" s="18">
        <v>0</v>
      </c>
      <c r="AE75" s="18">
        <v>0</v>
      </c>
      <c r="AF75" s="317">
        <v>0</v>
      </c>
      <c r="AG75" s="105">
        <v>1</v>
      </c>
      <c r="AH75" s="18">
        <v>0</v>
      </c>
      <c r="AI75" s="317">
        <v>0</v>
      </c>
      <c r="AJ75" s="18">
        <v>0</v>
      </c>
      <c r="AK75" s="18">
        <v>0</v>
      </c>
      <c r="AL75" s="317">
        <v>0</v>
      </c>
      <c r="AM75" s="105">
        <v>150</v>
      </c>
      <c r="AN75" s="139">
        <v>2</v>
      </c>
      <c r="AO75" s="150">
        <v>27</v>
      </c>
      <c r="AP75" s="18">
        <v>0</v>
      </c>
      <c r="AQ75" s="18">
        <v>0</v>
      </c>
      <c r="AR75" s="317">
        <v>0</v>
      </c>
      <c r="AS75" s="105">
        <v>1</v>
      </c>
      <c r="AT75" s="18">
        <v>0</v>
      </c>
      <c r="AU75" s="317">
        <v>0</v>
      </c>
      <c r="AV75" s="105">
        <v>4</v>
      </c>
      <c r="AW75" s="18">
        <v>0</v>
      </c>
      <c r="AX75" s="317">
        <v>0</v>
      </c>
      <c r="AY75" s="105">
        <v>1</v>
      </c>
      <c r="AZ75" s="18">
        <v>0</v>
      </c>
      <c r="BA75" s="317">
        <v>0</v>
      </c>
      <c r="BB75" s="18">
        <v>0</v>
      </c>
      <c r="BC75" s="18">
        <v>0</v>
      </c>
      <c r="BD75" s="317">
        <v>0</v>
      </c>
      <c r="BE75" s="105">
        <v>6</v>
      </c>
      <c r="BF75" s="18">
        <v>0</v>
      </c>
      <c r="BG75" s="317">
        <v>0</v>
      </c>
      <c r="BH75" s="105">
        <v>1</v>
      </c>
      <c r="BI75" s="18">
        <v>0</v>
      </c>
      <c r="BJ75" s="317">
        <v>0</v>
      </c>
      <c r="BK75" s="18">
        <v>0</v>
      </c>
      <c r="BL75" s="18">
        <v>0</v>
      </c>
      <c r="BM75" s="317">
        <v>0</v>
      </c>
      <c r="BN75" s="105">
        <v>1</v>
      </c>
      <c r="BO75" s="18">
        <v>0</v>
      </c>
      <c r="BP75" s="317">
        <v>0</v>
      </c>
      <c r="BQ75" s="105">
        <v>3</v>
      </c>
      <c r="BR75" s="18">
        <v>0</v>
      </c>
      <c r="BS75" s="317">
        <v>0</v>
      </c>
      <c r="BT75" s="105">
        <v>7</v>
      </c>
      <c r="BU75" s="18">
        <v>0</v>
      </c>
      <c r="BV75" s="317">
        <v>0</v>
      </c>
      <c r="BW75" s="18">
        <v>0</v>
      </c>
      <c r="BX75" s="18">
        <v>0</v>
      </c>
      <c r="BY75" s="317">
        <v>0</v>
      </c>
      <c r="BZ75" s="18">
        <v>0</v>
      </c>
      <c r="CA75" s="18">
        <v>0</v>
      </c>
      <c r="CB75" s="317">
        <v>0</v>
      </c>
      <c r="CC75" s="18">
        <v>0</v>
      </c>
      <c r="CD75" s="18">
        <v>0</v>
      </c>
      <c r="CE75" s="317">
        <v>0</v>
      </c>
      <c r="CF75" s="18">
        <v>0</v>
      </c>
      <c r="CG75" s="18">
        <v>0</v>
      </c>
      <c r="CH75" s="317">
        <v>0</v>
      </c>
      <c r="CI75" s="18">
        <v>0</v>
      </c>
      <c r="CJ75" s="18">
        <v>0</v>
      </c>
      <c r="CK75" s="317">
        <v>0</v>
      </c>
      <c r="CL75" s="105">
        <v>28</v>
      </c>
      <c r="CM75" s="139">
        <v>1</v>
      </c>
      <c r="CN75" s="150">
        <v>1</v>
      </c>
      <c r="CO75" s="18">
        <v>0</v>
      </c>
      <c r="CP75" s="18">
        <v>0</v>
      </c>
      <c r="CQ75" s="317">
        <v>0</v>
      </c>
      <c r="CR75" s="105">
        <v>1</v>
      </c>
      <c r="CS75" s="18">
        <v>0</v>
      </c>
      <c r="CT75" s="317">
        <v>0</v>
      </c>
      <c r="CU75" s="105">
        <v>2</v>
      </c>
      <c r="CV75" s="18">
        <v>0</v>
      </c>
      <c r="CW75" s="317">
        <v>0</v>
      </c>
      <c r="CX75" s="18">
        <v>0</v>
      </c>
      <c r="CY75" s="18">
        <v>0</v>
      </c>
      <c r="CZ75" s="317">
        <v>0</v>
      </c>
      <c r="DA75" s="105">
        <v>2</v>
      </c>
      <c r="DB75" s="18">
        <v>0</v>
      </c>
      <c r="DC75" s="317">
        <v>0</v>
      </c>
      <c r="DD75" s="18">
        <v>0</v>
      </c>
      <c r="DE75" s="18">
        <v>0</v>
      </c>
      <c r="DF75" s="317">
        <v>0</v>
      </c>
      <c r="DG75" s="105">
        <v>2</v>
      </c>
      <c r="DH75" s="18">
        <v>0</v>
      </c>
      <c r="DI75" s="317">
        <v>0</v>
      </c>
      <c r="DJ75" s="18">
        <v>0</v>
      </c>
      <c r="DK75" s="18">
        <v>0</v>
      </c>
      <c r="DL75" s="317">
        <v>0</v>
      </c>
      <c r="DM75" s="105">
        <v>1</v>
      </c>
      <c r="DN75" s="18">
        <v>0</v>
      </c>
      <c r="DO75" s="317">
        <v>0</v>
      </c>
      <c r="DP75" s="105">
        <v>2</v>
      </c>
      <c r="DQ75" s="18">
        <v>0</v>
      </c>
      <c r="DR75" s="317">
        <v>0</v>
      </c>
      <c r="DS75" s="105">
        <v>1</v>
      </c>
      <c r="DT75" s="18">
        <v>0</v>
      </c>
      <c r="DU75" s="317">
        <v>0</v>
      </c>
      <c r="DV75" s="105">
        <v>5</v>
      </c>
      <c r="DW75" s="18">
        <v>0</v>
      </c>
      <c r="DX75" s="317">
        <v>0</v>
      </c>
      <c r="DY75" s="18">
        <v>0</v>
      </c>
      <c r="DZ75" s="18">
        <v>0</v>
      </c>
      <c r="EA75" s="317">
        <v>0</v>
      </c>
      <c r="EB75" s="18">
        <v>0</v>
      </c>
      <c r="EC75" s="18">
        <v>0</v>
      </c>
      <c r="ED75" s="317">
        <v>0</v>
      </c>
      <c r="EE75" s="105">
        <v>24</v>
      </c>
      <c r="EF75" s="18">
        <v>0</v>
      </c>
      <c r="EG75" s="150">
        <v>2</v>
      </c>
      <c r="EH75" s="105">
        <v>3</v>
      </c>
      <c r="EI75" s="18">
        <v>0</v>
      </c>
      <c r="EJ75" s="317">
        <v>0</v>
      </c>
      <c r="EK75" s="18">
        <v>0</v>
      </c>
      <c r="EL75" s="18">
        <v>0</v>
      </c>
      <c r="EM75" s="317">
        <v>0</v>
      </c>
      <c r="EN75" s="105">
        <v>1</v>
      </c>
      <c r="EO75" s="18">
        <v>0</v>
      </c>
      <c r="EP75" s="317">
        <v>0</v>
      </c>
      <c r="EQ75" s="105">
        <v>1</v>
      </c>
      <c r="ER75" s="139">
        <v>1</v>
      </c>
      <c r="ES75" s="317">
        <v>0</v>
      </c>
      <c r="ET75" s="18">
        <v>0</v>
      </c>
      <c r="EU75" s="18">
        <v>0</v>
      </c>
      <c r="EV75" s="317">
        <v>0</v>
      </c>
      <c r="EW75" s="105">
        <v>1</v>
      </c>
      <c r="EX75" s="18">
        <v>0</v>
      </c>
      <c r="EY75" s="317">
        <v>0</v>
      </c>
      <c r="EZ75" s="18">
        <v>0</v>
      </c>
      <c r="FA75" s="18">
        <v>0</v>
      </c>
      <c r="FB75" s="317">
        <v>0</v>
      </c>
      <c r="FC75" s="105">
        <v>1</v>
      </c>
      <c r="FD75" s="18">
        <v>0</v>
      </c>
      <c r="FE75" s="317">
        <v>0</v>
      </c>
      <c r="FF75" s="105">
        <v>20</v>
      </c>
      <c r="FG75" s="18">
        <v>0</v>
      </c>
      <c r="FH75" s="317">
        <v>0</v>
      </c>
      <c r="FI75" s="18">
        <v>0</v>
      </c>
      <c r="FJ75" s="18">
        <v>0</v>
      </c>
      <c r="FK75" s="317">
        <v>0</v>
      </c>
      <c r="FL75" s="18">
        <v>0</v>
      </c>
      <c r="FM75" s="18">
        <v>0</v>
      </c>
      <c r="FN75" s="317">
        <v>0</v>
      </c>
      <c r="FO75" s="646" t="s">
        <v>959</v>
      </c>
      <c r="FP75" s="531"/>
      <c r="FQ75" s="531"/>
      <c r="FR75" s="531"/>
      <c r="FS75" s="531"/>
      <c r="FT75" s="531"/>
      <c r="FU75" s="636" t="s">
        <v>960</v>
      </c>
      <c r="FV75" s="531"/>
      <c r="FW75" s="531"/>
      <c r="FX75" s="531"/>
      <c r="FY75" s="531"/>
      <c r="FZ75" s="531"/>
    </row>
    <row r="76" spans="1:182" ht="12.75">
      <c r="A76" s="93">
        <v>43907</v>
      </c>
      <c r="B76" s="14">
        <f t="shared" ref="B76:D76" si="71">SUM(F76,I76,O76,U76,AA76,AG76,AV76,AM76,AS76,AY76,BE76,BH76,BN76,BQ76,BT76,BW76,CC76,CL76,CR76,DA76,DG76,DM76,DP76,DS76,DV76,EE76,EH76,EN76,EQ76,EW76,FC76,FF76)</f>
        <v>491</v>
      </c>
      <c r="C76" s="34">
        <f t="shared" si="71"/>
        <v>11</v>
      </c>
      <c r="D76" s="73">
        <f t="shared" si="71"/>
        <v>48</v>
      </c>
      <c r="E76" s="350">
        <f t="shared" si="1"/>
        <v>432</v>
      </c>
      <c r="F76" s="105">
        <v>62</v>
      </c>
      <c r="G76" s="18">
        <v>0</v>
      </c>
      <c r="H76" s="317">
        <v>0</v>
      </c>
      <c r="I76" s="105">
        <v>60</v>
      </c>
      <c r="J76" s="139">
        <v>4</v>
      </c>
      <c r="K76" s="150">
        <v>12</v>
      </c>
      <c r="L76" s="18">
        <v>0</v>
      </c>
      <c r="M76" s="18">
        <v>0</v>
      </c>
      <c r="N76" s="317">
        <v>0</v>
      </c>
      <c r="O76" s="105">
        <v>1</v>
      </c>
      <c r="P76" s="18">
        <v>0</v>
      </c>
      <c r="Q76" s="317">
        <v>0</v>
      </c>
      <c r="R76" s="18">
        <v>0</v>
      </c>
      <c r="S76" s="18">
        <v>0</v>
      </c>
      <c r="T76" s="317">
        <v>0</v>
      </c>
      <c r="U76" s="105">
        <v>15</v>
      </c>
      <c r="V76" s="18">
        <v>0</v>
      </c>
      <c r="W76" s="317">
        <v>0</v>
      </c>
      <c r="X76" s="18">
        <v>0</v>
      </c>
      <c r="Y76" s="18">
        <v>0</v>
      </c>
      <c r="Z76" s="317">
        <v>0</v>
      </c>
      <c r="AA76" s="105">
        <v>10</v>
      </c>
      <c r="AB76" s="18">
        <v>0</v>
      </c>
      <c r="AC76" s="317">
        <v>0</v>
      </c>
      <c r="AD76" s="18">
        <v>0</v>
      </c>
      <c r="AE76" s="18">
        <v>0</v>
      </c>
      <c r="AF76" s="317">
        <v>0</v>
      </c>
      <c r="AG76" s="105">
        <v>5</v>
      </c>
      <c r="AH76" s="18">
        <v>0</v>
      </c>
      <c r="AI76" s="150">
        <v>1</v>
      </c>
      <c r="AJ76" s="18">
        <v>0</v>
      </c>
      <c r="AK76" s="18">
        <v>0</v>
      </c>
      <c r="AL76" s="317">
        <v>0</v>
      </c>
      <c r="AM76" s="105">
        <v>196</v>
      </c>
      <c r="AN76" s="139">
        <v>4</v>
      </c>
      <c r="AO76" s="150">
        <v>32</v>
      </c>
      <c r="AP76" s="18">
        <v>0</v>
      </c>
      <c r="AQ76" s="18">
        <v>0</v>
      </c>
      <c r="AR76" s="317">
        <v>0</v>
      </c>
      <c r="AS76" s="105">
        <v>1</v>
      </c>
      <c r="AT76" s="18">
        <v>0</v>
      </c>
      <c r="AU76" s="317">
        <v>0</v>
      </c>
      <c r="AV76" s="105">
        <v>5</v>
      </c>
      <c r="AW76" s="18">
        <v>0</v>
      </c>
      <c r="AX76" s="317">
        <v>0</v>
      </c>
      <c r="AY76" s="105">
        <v>1</v>
      </c>
      <c r="AZ76" s="18">
        <v>0</v>
      </c>
      <c r="BA76" s="317">
        <v>0</v>
      </c>
      <c r="BB76" s="18">
        <v>0</v>
      </c>
      <c r="BC76" s="18">
        <v>0</v>
      </c>
      <c r="BD76" s="317">
        <v>0</v>
      </c>
      <c r="BE76" s="105">
        <v>7</v>
      </c>
      <c r="BF76" s="18">
        <v>0</v>
      </c>
      <c r="BG76" s="317">
        <v>0</v>
      </c>
      <c r="BH76" s="105">
        <v>1</v>
      </c>
      <c r="BI76" s="18">
        <v>0</v>
      </c>
      <c r="BJ76" s="317">
        <v>0</v>
      </c>
      <c r="BK76" s="18">
        <v>0</v>
      </c>
      <c r="BL76" s="18">
        <v>0</v>
      </c>
      <c r="BM76" s="317">
        <v>0</v>
      </c>
      <c r="BN76" s="105">
        <v>1</v>
      </c>
      <c r="BO76" s="18">
        <v>0</v>
      </c>
      <c r="BP76" s="317">
        <v>0</v>
      </c>
      <c r="BQ76" s="105">
        <v>3</v>
      </c>
      <c r="BR76" s="18">
        <v>0</v>
      </c>
      <c r="BS76" s="317">
        <v>0</v>
      </c>
      <c r="BT76" s="105">
        <v>9</v>
      </c>
      <c r="BU76" s="18">
        <v>0</v>
      </c>
      <c r="BV76" s="317">
        <v>0</v>
      </c>
      <c r="BW76" s="18">
        <v>0</v>
      </c>
      <c r="BX76" s="18">
        <v>0</v>
      </c>
      <c r="BY76" s="317">
        <v>0</v>
      </c>
      <c r="BZ76" s="18">
        <v>0</v>
      </c>
      <c r="CA76" s="18">
        <v>0</v>
      </c>
      <c r="CB76" s="317">
        <v>0</v>
      </c>
      <c r="CC76" s="18">
        <v>0</v>
      </c>
      <c r="CD76" s="18">
        <v>0</v>
      </c>
      <c r="CE76" s="317">
        <v>0</v>
      </c>
      <c r="CF76" s="18">
        <v>0</v>
      </c>
      <c r="CG76" s="18">
        <v>0</v>
      </c>
      <c r="CH76" s="317">
        <v>0</v>
      </c>
      <c r="CI76" s="18">
        <v>0</v>
      </c>
      <c r="CJ76" s="18">
        <v>0</v>
      </c>
      <c r="CK76" s="317">
        <v>0</v>
      </c>
      <c r="CL76" s="105">
        <v>38</v>
      </c>
      <c r="CM76" s="139">
        <v>2</v>
      </c>
      <c r="CN76" s="150">
        <v>1</v>
      </c>
      <c r="CO76" s="18">
        <v>0</v>
      </c>
      <c r="CP76" s="18">
        <v>0</v>
      </c>
      <c r="CQ76" s="317">
        <v>0</v>
      </c>
      <c r="CR76" s="105">
        <v>1</v>
      </c>
      <c r="CS76" s="18">
        <v>0</v>
      </c>
      <c r="CT76" s="317">
        <v>0</v>
      </c>
      <c r="CU76" s="105">
        <v>2</v>
      </c>
      <c r="CV76" s="18">
        <v>0</v>
      </c>
      <c r="CW76" s="317">
        <v>0</v>
      </c>
      <c r="CX76" s="18">
        <v>0</v>
      </c>
      <c r="CY76" s="18">
        <v>0</v>
      </c>
      <c r="CZ76" s="317">
        <v>0</v>
      </c>
      <c r="DA76" s="105">
        <v>2</v>
      </c>
      <c r="DB76" s="18">
        <v>0</v>
      </c>
      <c r="DC76" s="317">
        <v>0</v>
      </c>
      <c r="DD76" s="18">
        <v>0</v>
      </c>
      <c r="DE76" s="18">
        <v>0</v>
      </c>
      <c r="DF76" s="317">
        <v>0</v>
      </c>
      <c r="DG76" s="105">
        <v>3</v>
      </c>
      <c r="DH76" s="18">
        <v>0</v>
      </c>
      <c r="DI76" s="317">
        <v>0</v>
      </c>
      <c r="DJ76" s="18">
        <v>0</v>
      </c>
      <c r="DK76" s="18">
        <v>0</v>
      </c>
      <c r="DL76" s="317">
        <v>0</v>
      </c>
      <c r="DM76" s="105">
        <v>1</v>
      </c>
      <c r="DN76" s="18">
        <v>0</v>
      </c>
      <c r="DO76" s="317">
        <v>0</v>
      </c>
      <c r="DP76" s="105">
        <v>3</v>
      </c>
      <c r="DQ76" s="18">
        <v>0</v>
      </c>
      <c r="DR76" s="317">
        <v>0</v>
      </c>
      <c r="DS76" s="105">
        <v>1</v>
      </c>
      <c r="DT76" s="18">
        <v>0</v>
      </c>
      <c r="DU76" s="317">
        <v>0</v>
      </c>
      <c r="DV76" s="105">
        <v>7</v>
      </c>
      <c r="DW76" s="18">
        <v>0</v>
      </c>
      <c r="DX76" s="317">
        <v>0</v>
      </c>
      <c r="DY76" s="18">
        <v>0</v>
      </c>
      <c r="DZ76" s="18">
        <v>0</v>
      </c>
      <c r="EA76" s="317">
        <v>0</v>
      </c>
      <c r="EB76" s="18">
        <v>0</v>
      </c>
      <c r="EC76" s="18">
        <v>0</v>
      </c>
      <c r="ED76" s="317">
        <v>0</v>
      </c>
      <c r="EE76" s="105">
        <v>26</v>
      </c>
      <c r="EF76" s="18">
        <v>0</v>
      </c>
      <c r="EG76" s="150">
        <v>2</v>
      </c>
      <c r="EH76" s="105">
        <v>4</v>
      </c>
      <c r="EI76" s="18">
        <v>0</v>
      </c>
      <c r="EJ76" s="317">
        <v>0</v>
      </c>
      <c r="EK76" s="18">
        <v>0</v>
      </c>
      <c r="EL76" s="18">
        <v>0</v>
      </c>
      <c r="EM76" s="317">
        <v>0</v>
      </c>
      <c r="EN76" s="105">
        <v>1</v>
      </c>
      <c r="EO76" s="18">
        <v>0</v>
      </c>
      <c r="EP76" s="317">
        <v>0</v>
      </c>
      <c r="EQ76" s="105">
        <v>1</v>
      </c>
      <c r="ER76" s="139">
        <v>1</v>
      </c>
      <c r="ES76" s="317">
        <v>0</v>
      </c>
      <c r="ET76" s="18">
        <v>0</v>
      </c>
      <c r="EU76" s="18">
        <v>0</v>
      </c>
      <c r="EV76" s="317">
        <v>0</v>
      </c>
      <c r="EW76" s="105">
        <v>1</v>
      </c>
      <c r="EX76" s="18">
        <v>0</v>
      </c>
      <c r="EY76" s="317">
        <v>0</v>
      </c>
      <c r="EZ76" s="18">
        <v>0</v>
      </c>
      <c r="FA76" s="18">
        <v>0</v>
      </c>
      <c r="FB76" s="317">
        <v>0</v>
      </c>
      <c r="FC76" s="105">
        <v>1</v>
      </c>
      <c r="FD76" s="18">
        <v>0</v>
      </c>
      <c r="FE76" s="317">
        <v>0</v>
      </c>
      <c r="FF76" s="105">
        <v>24</v>
      </c>
      <c r="FG76" s="18">
        <v>0</v>
      </c>
      <c r="FH76" s="317">
        <v>0</v>
      </c>
      <c r="FI76" s="18">
        <v>0</v>
      </c>
      <c r="FJ76" s="18">
        <v>0</v>
      </c>
      <c r="FK76" s="317">
        <v>0</v>
      </c>
      <c r="FL76" s="18">
        <v>0</v>
      </c>
      <c r="FM76" s="18">
        <v>0</v>
      </c>
      <c r="FN76" s="317">
        <v>0</v>
      </c>
      <c r="FO76" s="646" t="s">
        <v>963</v>
      </c>
      <c r="FP76" s="531"/>
      <c r="FQ76" s="531"/>
      <c r="FR76" s="531"/>
      <c r="FS76" s="531"/>
      <c r="FT76" s="531"/>
      <c r="FU76" s="645" t="s">
        <v>964</v>
      </c>
      <c r="FV76" s="531"/>
      <c r="FW76" s="531"/>
      <c r="FX76" s="531"/>
      <c r="FY76" s="531"/>
      <c r="FZ76" s="531"/>
    </row>
    <row r="77" spans="1:182" ht="12.75">
      <c r="A77" s="93">
        <v>43908</v>
      </c>
      <c r="B77" s="14">
        <f t="shared" ref="B77:D77" si="72">SUM(F77,I77,O77,U77,AA77,AG77,AJ77,AV77,AM77,AS77,AY77,BB77,BE77,BH77,BN77,BQ77,BT77,BW77,CC77,CL77,CR77,DA77,DG77,DM77,DP77,DS77,DV77,EE77,EH77,EN77,EQ77,EW77,FC77,FF77,FI77)</f>
        <v>606</v>
      </c>
      <c r="C77" s="34">
        <f t="shared" si="72"/>
        <v>16</v>
      </c>
      <c r="D77" s="73">
        <f t="shared" si="72"/>
        <v>49</v>
      </c>
      <c r="E77" s="350">
        <f t="shared" si="1"/>
        <v>541</v>
      </c>
      <c r="F77" s="105">
        <v>116</v>
      </c>
      <c r="G77" s="18">
        <v>0</v>
      </c>
      <c r="H77" s="317">
        <v>0</v>
      </c>
      <c r="I77" s="105">
        <v>72</v>
      </c>
      <c r="J77" s="139">
        <v>6</v>
      </c>
      <c r="K77" s="150">
        <v>12</v>
      </c>
      <c r="L77" s="18">
        <v>0</v>
      </c>
      <c r="M77" s="18">
        <v>0</v>
      </c>
      <c r="N77" s="317">
        <v>0</v>
      </c>
      <c r="O77" s="105">
        <v>2</v>
      </c>
      <c r="P77" s="18">
        <v>0</v>
      </c>
      <c r="Q77" s="317">
        <v>0</v>
      </c>
      <c r="R77" s="18">
        <v>0</v>
      </c>
      <c r="S77" s="18">
        <v>0</v>
      </c>
      <c r="T77" s="317">
        <v>0</v>
      </c>
      <c r="U77" s="105">
        <v>20</v>
      </c>
      <c r="V77" s="139">
        <v>1</v>
      </c>
      <c r="W77" s="317">
        <v>0</v>
      </c>
      <c r="X77" s="18">
        <v>0</v>
      </c>
      <c r="Y77" s="18">
        <v>0</v>
      </c>
      <c r="Z77" s="317">
        <v>0</v>
      </c>
      <c r="AA77" s="105">
        <v>10</v>
      </c>
      <c r="AB77" s="18">
        <v>0</v>
      </c>
      <c r="AC77" s="317">
        <v>0</v>
      </c>
      <c r="AD77" s="18">
        <v>0</v>
      </c>
      <c r="AE77" s="18">
        <v>0</v>
      </c>
      <c r="AF77" s="317">
        <v>0</v>
      </c>
      <c r="AG77" s="105">
        <v>6</v>
      </c>
      <c r="AH77" s="18">
        <v>0</v>
      </c>
      <c r="AI77" s="150">
        <v>1</v>
      </c>
      <c r="AJ77" s="105">
        <v>1</v>
      </c>
      <c r="AK77" s="18">
        <v>0</v>
      </c>
      <c r="AL77" s="317">
        <v>0</v>
      </c>
      <c r="AM77" s="105">
        <v>196</v>
      </c>
      <c r="AN77" s="139">
        <v>6</v>
      </c>
      <c r="AO77" s="150">
        <v>32</v>
      </c>
      <c r="AP77" s="18">
        <v>0</v>
      </c>
      <c r="AQ77" s="18">
        <v>0</v>
      </c>
      <c r="AR77" s="317">
        <v>0</v>
      </c>
      <c r="AS77" s="105">
        <v>1</v>
      </c>
      <c r="AT77" s="18">
        <v>0</v>
      </c>
      <c r="AU77" s="317">
        <v>0</v>
      </c>
      <c r="AV77" s="105">
        <v>6</v>
      </c>
      <c r="AW77" s="18">
        <v>0</v>
      </c>
      <c r="AX77" s="317">
        <v>0</v>
      </c>
      <c r="AY77" s="105">
        <v>1</v>
      </c>
      <c r="AZ77" s="18">
        <v>0</v>
      </c>
      <c r="BA77" s="317">
        <v>0</v>
      </c>
      <c r="BB77" s="105">
        <v>1</v>
      </c>
      <c r="BC77" s="18">
        <v>0</v>
      </c>
      <c r="BD77" s="317">
        <v>0</v>
      </c>
      <c r="BE77" s="105">
        <v>7</v>
      </c>
      <c r="BF77" s="18">
        <v>0</v>
      </c>
      <c r="BG77" s="317">
        <v>0</v>
      </c>
      <c r="BH77" s="105">
        <v>1</v>
      </c>
      <c r="BI77" s="18">
        <v>0</v>
      </c>
      <c r="BJ77" s="317">
        <v>0</v>
      </c>
      <c r="BK77" s="18">
        <v>0</v>
      </c>
      <c r="BL77" s="18">
        <v>0</v>
      </c>
      <c r="BM77" s="317">
        <v>0</v>
      </c>
      <c r="BN77" s="105">
        <v>4</v>
      </c>
      <c r="BO77" s="18">
        <v>0</v>
      </c>
      <c r="BP77" s="317">
        <v>0</v>
      </c>
      <c r="BQ77" s="105">
        <v>3</v>
      </c>
      <c r="BR77" s="18">
        <v>0</v>
      </c>
      <c r="BS77" s="317">
        <v>0</v>
      </c>
      <c r="BT77" s="105">
        <v>12</v>
      </c>
      <c r="BU77" s="18">
        <v>0</v>
      </c>
      <c r="BV77" s="317">
        <v>0</v>
      </c>
      <c r="BW77" s="18">
        <v>0</v>
      </c>
      <c r="BX77" s="18">
        <v>0</v>
      </c>
      <c r="BY77" s="317">
        <v>0</v>
      </c>
      <c r="BZ77" s="18">
        <v>0</v>
      </c>
      <c r="CA77" s="18">
        <v>0</v>
      </c>
      <c r="CB77" s="317">
        <v>0</v>
      </c>
      <c r="CC77" s="18">
        <v>0</v>
      </c>
      <c r="CD77" s="18">
        <v>0</v>
      </c>
      <c r="CE77" s="317">
        <v>0</v>
      </c>
      <c r="CF77" s="18">
        <v>0</v>
      </c>
      <c r="CG77" s="18">
        <v>0</v>
      </c>
      <c r="CH77" s="317">
        <v>0</v>
      </c>
      <c r="CI77" s="18">
        <v>0</v>
      </c>
      <c r="CJ77" s="18">
        <v>0</v>
      </c>
      <c r="CK77" s="317">
        <v>0</v>
      </c>
      <c r="CL77" s="105">
        <v>49</v>
      </c>
      <c r="CM77" s="139">
        <v>2</v>
      </c>
      <c r="CN77" s="150">
        <v>1</v>
      </c>
      <c r="CO77" s="18">
        <v>0</v>
      </c>
      <c r="CP77" s="18">
        <v>0</v>
      </c>
      <c r="CQ77" s="317">
        <v>0</v>
      </c>
      <c r="CR77" s="105">
        <v>1</v>
      </c>
      <c r="CS77" s="18">
        <v>0</v>
      </c>
      <c r="CT77" s="317">
        <v>0</v>
      </c>
      <c r="CU77" s="105">
        <v>3</v>
      </c>
      <c r="CV77" s="18">
        <v>0</v>
      </c>
      <c r="CW77" s="317">
        <v>0</v>
      </c>
      <c r="CX77" s="18">
        <v>0</v>
      </c>
      <c r="CY77" s="18">
        <v>0</v>
      </c>
      <c r="CZ77" s="317">
        <v>0</v>
      </c>
      <c r="DA77" s="105">
        <v>2</v>
      </c>
      <c r="DB77" s="18">
        <v>0</v>
      </c>
      <c r="DC77" s="317">
        <v>0</v>
      </c>
      <c r="DD77" s="18">
        <v>0</v>
      </c>
      <c r="DE77" s="18">
        <v>0</v>
      </c>
      <c r="DF77" s="317">
        <v>0</v>
      </c>
      <c r="DG77" s="105">
        <v>8</v>
      </c>
      <c r="DH77" s="18">
        <v>0</v>
      </c>
      <c r="DI77" s="150">
        <v>1</v>
      </c>
      <c r="DJ77" s="18">
        <v>0</v>
      </c>
      <c r="DK77" s="18">
        <v>0</v>
      </c>
      <c r="DL77" s="317">
        <v>0</v>
      </c>
      <c r="DM77" s="105">
        <v>1</v>
      </c>
      <c r="DN77" s="18">
        <v>0</v>
      </c>
      <c r="DO77" s="317">
        <v>0</v>
      </c>
      <c r="DP77" s="105">
        <v>4</v>
      </c>
      <c r="DQ77" s="18">
        <v>0</v>
      </c>
      <c r="DR77" s="317">
        <v>0</v>
      </c>
      <c r="DS77" s="105">
        <v>1</v>
      </c>
      <c r="DT77" s="18">
        <v>0</v>
      </c>
      <c r="DU77" s="317">
        <v>0</v>
      </c>
      <c r="DV77" s="105">
        <v>8</v>
      </c>
      <c r="DW77" s="18">
        <v>0</v>
      </c>
      <c r="DX77" s="317">
        <v>0</v>
      </c>
      <c r="DY77" s="18">
        <v>0</v>
      </c>
      <c r="DZ77" s="18">
        <v>0</v>
      </c>
      <c r="EA77" s="317">
        <v>0</v>
      </c>
      <c r="EB77" s="18">
        <v>0</v>
      </c>
      <c r="EC77" s="18">
        <v>0</v>
      </c>
      <c r="ED77" s="317">
        <v>0</v>
      </c>
      <c r="EE77" s="105">
        <v>31</v>
      </c>
      <c r="EF77" s="18">
        <v>0</v>
      </c>
      <c r="EG77" s="150">
        <v>2</v>
      </c>
      <c r="EH77" s="105">
        <v>4</v>
      </c>
      <c r="EI77" s="18">
        <v>0</v>
      </c>
      <c r="EJ77" s="317">
        <v>0</v>
      </c>
      <c r="EK77" s="18">
        <v>0</v>
      </c>
      <c r="EL77" s="18">
        <v>0</v>
      </c>
      <c r="EM77" s="317">
        <v>0</v>
      </c>
      <c r="EN77" s="105">
        <v>1</v>
      </c>
      <c r="EO77" s="18">
        <v>0</v>
      </c>
      <c r="EP77" s="317">
        <v>0</v>
      </c>
      <c r="EQ77" s="105">
        <v>2</v>
      </c>
      <c r="ER77" s="139">
        <v>1</v>
      </c>
      <c r="ES77" s="317">
        <v>0</v>
      </c>
      <c r="ET77" s="18">
        <v>0</v>
      </c>
      <c r="EU77" s="18">
        <v>0</v>
      </c>
      <c r="EV77" s="317">
        <v>0</v>
      </c>
      <c r="EW77" s="105">
        <v>3</v>
      </c>
      <c r="EX77" s="18">
        <v>0</v>
      </c>
      <c r="EY77" s="317">
        <v>0</v>
      </c>
      <c r="EZ77" s="18">
        <v>0</v>
      </c>
      <c r="FA77" s="18">
        <v>0</v>
      </c>
      <c r="FB77" s="317">
        <v>0</v>
      </c>
      <c r="FC77" s="105">
        <v>1</v>
      </c>
      <c r="FD77" s="18">
        <v>0</v>
      </c>
      <c r="FE77" s="317">
        <v>0</v>
      </c>
      <c r="FF77" s="105">
        <v>29</v>
      </c>
      <c r="FG77" s="18">
        <v>0</v>
      </c>
      <c r="FH77" s="317">
        <v>0</v>
      </c>
      <c r="FI77" s="105">
        <v>2</v>
      </c>
      <c r="FJ77" s="18">
        <v>0</v>
      </c>
      <c r="FK77" s="317">
        <v>0</v>
      </c>
      <c r="FL77" s="18">
        <v>0</v>
      </c>
      <c r="FM77" s="18">
        <v>0</v>
      </c>
      <c r="FN77" s="317">
        <v>0</v>
      </c>
      <c r="FO77" s="646" t="s">
        <v>967</v>
      </c>
      <c r="FP77" s="531"/>
      <c r="FQ77" s="531"/>
      <c r="FR77" s="531"/>
      <c r="FS77" s="531"/>
      <c r="FT77" s="531"/>
      <c r="FU77" s="636" t="s">
        <v>968</v>
      </c>
      <c r="FV77" s="531"/>
      <c r="FW77" s="531"/>
      <c r="FX77" s="531"/>
      <c r="FY77" s="531"/>
      <c r="FZ77" s="531"/>
    </row>
    <row r="78" spans="1:182" ht="12.75">
      <c r="A78" s="93">
        <v>43909</v>
      </c>
      <c r="B78" s="14">
        <f t="shared" ref="B78:D78" si="73">SUM(F78,I78,O78,U78,AA78,AG78,AJ78,AV78,AM78,AS78,AY78,BB78,BE78,BH78,BN78,BQ78,BT78,BW78,CC78,CL78,CO78,CR78,DA78,DD78,DG78,DM78,DP78,DS78,DV78,EE78,EH78,EN78,EQ78,EW78,FC78,FF78,FI78)</f>
        <v>793</v>
      </c>
      <c r="C78" s="34">
        <f t="shared" si="73"/>
        <v>19</v>
      </c>
      <c r="D78" s="73">
        <f t="shared" si="73"/>
        <v>61</v>
      </c>
      <c r="E78" s="350">
        <f t="shared" si="1"/>
        <v>713</v>
      </c>
      <c r="F78" s="105">
        <v>150</v>
      </c>
      <c r="G78" s="18">
        <v>0</v>
      </c>
      <c r="H78" s="317">
        <v>0</v>
      </c>
      <c r="I78" s="105">
        <v>87</v>
      </c>
      <c r="J78" s="139">
        <v>9</v>
      </c>
      <c r="K78" s="150">
        <v>24</v>
      </c>
      <c r="L78" s="18">
        <v>0</v>
      </c>
      <c r="M78" s="18">
        <v>0</v>
      </c>
      <c r="N78" s="317">
        <v>0</v>
      </c>
      <c r="O78" s="105">
        <v>2</v>
      </c>
      <c r="P78" s="18">
        <v>0</v>
      </c>
      <c r="Q78" s="317">
        <v>0</v>
      </c>
      <c r="R78" s="18">
        <v>0</v>
      </c>
      <c r="S78" s="18">
        <v>0</v>
      </c>
      <c r="T78" s="317">
        <v>0</v>
      </c>
      <c r="U78" s="105">
        <v>33</v>
      </c>
      <c r="V78" s="139">
        <v>1</v>
      </c>
      <c r="W78" s="317">
        <v>0</v>
      </c>
      <c r="X78" s="18">
        <v>0</v>
      </c>
      <c r="Y78" s="18">
        <v>0</v>
      </c>
      <c r="Z78" s="317">
        <v>0</v>
      </c>
      <c r="AA78" s="105">
        <v>13</v>
      </c>
      <c r="AB78" s="18">
        <v>0</v>
      </c>
      <c r="AC78" s="317">
        <v>0</v>
      </c>
      <c r="AD78" s="18">
        <v>0</v>
      </c>
      <c r="AE78" s="18">
        <v>0</v>
      </c>
      <c r="AF78" s="317">
        <v>0</v>
      </c>
      <c r="AG78" s="105">
        <v>9</v>
      </c>
      <c r="AH78" s="18">
        <v>0</v>
      </c>
      <c r="AI78" s="150">
        <v>1</v>
      </c>
      <c r="AJ78" s="105">
        <v>1</v>
      </c>
      <c r="AK78" s="18">
        <v>0</v>
      </c>
      <c r="AL78" s="317">
        <v>0</v>
      </c>
      <c r="AM78" s="105">
        <v>256</v>
      </c>
      <c r="AN78" s="139">
        <v>6</v>
      </c>
      <c r="AO78" s="150">
        <v>32</v>
      </c>
      <c r="AP78" s="18">
        <v>0</v>
      </c>
      <c r="AQ78" s="18">
        <v>0</v>
      </c>
      <c r="AR78" s="317">
        <v>0</v>
      </c>
      <c r="AS78" s="105">
        <v>1</v>
      </c>
      <c r="AT78" s="18">
        <v>0</v>
      </c>
      <c r="AU78" s="317">
        <v>0</v>
      </c>
      <c r="AV78" s="105">
        <v>6</v>
      </c>
      <c r="AW78" s="18">
        <v>0</v>
      </c>
      <c r="AX78" s="317">
        <v>0</v>
      </c>
      <c r="AY78" s="105">
        <v>1</v>
      </c>
      <c r="AZ78" s="18">
        <v>0</v>
      </c>
      <c r="BA78" s="317">
        <v>0</v>
      </c>
      <c r="BB78" s="105">
        <v>1</v>
      </c>
      <c r="BC78" s="18">
        <v>0</v>
      </c>
      <c r="BD78" s="317">
        <v>0</v>
      </c>
      <c r="BE78" s="105">
        <v>11</v>
      </c>
      <c r="BF78" s="18">
        <v>0</v>
      </c>
      <c r="BG78" s="317">
        <v>0</v>
      </c>
      <c r="BH78" s="105">
        <v>1</v>
      </c>
      <c r="BI78" s="18">
        <v>0</v>
      </c>
      <c r="BJ78" s="317">
        <v>0</v>
      </c>
      <c r="BK78" s="18">
        <v>0</v>
      </c>
      <c r="BL78" s="18">
        <v>0</v>
      </c>
      <c r="BM78" s="317">
        <v>0</v>
      </c>
      <c r="BN78" s="105">
        <v>6</v>
      </c>
      <c r="BO78" s="18">
        <v>0</v>
      </c>
      <c r="BP78" s="317">
        <v>0</v>
      </c>
      <c r="BQ78" s="105">
        <v>7</v>
      </c>
      <c r="BR78" s="18">
        <v>0</v>
      </c>
      <c r="BS78" s="317">
        <v>0</v>
      </c>
      <c r="BT78" s="105">
        <v>14</v>
      </c>
      <c r="BU78" s="18">
        <v>0</v>
      </c>
      <c r="BV78" s="317">
        <v>0</v>
      </c>
      <c r="BW78" s="18">
        <v>0</v>
      </c>
      <c r="BX78" s="18">
        <v>0</v>
      </c>
      <c r="BY78" s="317">
        <v>0</v>
      </c>
      <c r="BZ78" s="18">
        <v>0</v>
      </c>
      <c r="CA78" s="18">
        <v>0</v>
      </c>
      <c r="CB78" s="317">
        <v>0</v>
      </c>
      <c r="CC78" s="18">
        <v>0</v>
      </c>
      <c r="CD78" s="18">
        <v>0</v>
      </c>
      <c r="CE78" s="317">
        <v>0</v>
      </c>
      <c r="CF78" s="18">
        <v>0</v>
      </c>
      <c r="CG78" s="18">
        <v>0</v>
      </c>
      <c r="CH78" s="317">
        <v>0</v>
      </c>
      <c r="CI78" s="18">
        <v>0</v>
      </c>
      <c r="CJ78" s="18">
        <v>0</v>
      </c>
      <c r="CK78" s="317">
        <v>0</v>
      </c>
      <c r="CL78" s="105">
        <v>63</v>
      </c>
      <c r="CM78" s="139">
        <v>2</v>
      </c>
      <c r="CN78" s="150">
        <v>1</v>
      </c>
      <c r="CO78" s="105">
        <v>3</v>
      </c>
      <c r="CP78" s="18">
        <v>0</v>
      </c>
      <c r="CQ78" s="317">
        <v>0</v>
      </c>
      <c r="CR78" s="105">
        <v>2</v>
      </c>
      <c r="CS78" s="18">
        <v>0</v>
      </c>
      <c r="CT78" s="317">
        <v>0</v>
      </c>
      <c r="CU78" s="105">
        <v>3</v>
      </c>
      <c r="CV78" s="18">
        <v>0</v>
      </c>
      <c r="CW78" s="317">
        <v>0</v>
      </c>
      <c r="CX78" s="18">
        <v>0</v>
      </c>
      <c r="CY78" s="18">
        <v>0</v>
      </c>
      <c r="CZ78" s="317">
        <v>0</v>
      </c>
      <c r="DA78" s="105">
        <v>3</v>
      </c>
      <c r="DB78" s="18">
        <v>0</v>
      </c>
      <c r="DC78" s="317">
        <v>0</v>
      </c>
      <c r="DD78" s="105">
        <v>1</v>
      </c>
      <c r="DE78" s="18">
        <v>0</v>
      </c>
      <c r="DF78" s="317">
        <v>0</v>
      </c>
      <c r="DG78" s="105">
        <v>8</v>
      </c>
      <c r="DH78" s="18">
        <v>0</v>
      </c>
      <c r="DI78" s="150">
        <v>1</v>
      </c>
      <c r="DJ78" s="18">
        <v>0</v>
      </c>
      <c r="DK78" s="18">
        <v>0</v>
      </c>
      <c r="DL78" s="317">
        <v>0</v>
      </c>
      <c r="DM78" s="105">
        <v>1</v>
      </c>
      <c r="DN78" s="18">
        <v>0</v>
      </c>
      <c r="DO78" s="317">
        <v>0</v>
      </c>
      <c r="DP78" s="105">
        <v>14</v>
      </c>
      <c r="DQ78" s="18">
        <v>0</v>
      </c>
      <c r="DR78" s="317">
        <v>0</v>
      </c>
      <c r="DS78" s="105">
        <v>3</v>
      </c>
      <c r="DT78" s="18">
        <v>0</v>
      </c>
      <c r="DU78" s="317">
        <v>0</v>
      </c>
      <c r="DV78" s="105">
        <v>8</v>
      </c>
      <c r="DW78" s="18">
        <v>0</v>
      </c>
      <c r="DX78" s="317">
        <v>0</v>
      </c>
      <c r="DY78" s="18">
        <v>0</v>
      </c>
      <c r="DZ78" s="18">
        <v>0</v>
      </c>
      <c r="EA78" s="317">
        <v>0</v>
      </c>
      <c r="EB78" s="18">
        <v>0</v>
      </c>
      <c r="EC78" s="18">
        <v>0</v>
      </c>
      <c r="ED78" s="317">
        <v>0</v>
      </c>
      <c r="EE78" s="105">
        <v>31</v>
      </c>
      <c r="EF78" s="18">
        <v>0</v>
      </c>
      <c r="EG78" s="150">
        <v>2</v>
      </c>
      <c r="EH78" s="105">
        <v>6</v>
      </c>
      <c r="EI78" s="18">
        <v>0</v>
      </c>
      <c r="EJ78" s="317">
        <v>0</v>
      </c>
      <c r="EK78" s="18">
        <v>0</v>
      </c>
      <c r="EL78" s="18">
        <v>0</v>
      </c>
      <c r="EM78" s="317">
        <v>0</v>
      </c>
      <c r="EN78" s="105">
        <v>1</v>
      </c>
      <c r="EO78" s="18">
        <v>0</v>
      </c>
      <c r="EP78" s="317">
        <v>0</v>
      </c>
      <c r="EQ78" s="105">
        <v>2</v>
      </c>
      <c r="ER78" s="139">
        <v>1</v>
      </c>
      <c r="ES78" s="317">
        <v>0</v>
      </c>
      <c r="ET78" s="18">
        <v>0</v>
      </c>
      <c r="EU78" s="18">
        <v>0</v>
      </c>
      <c r="EV78" s="317">
        <v>0</v>
      </c>
      <c r="EW78" s="105">
        <v>6</v>
      </c>
      <c r="EX78" s="18">
        <v>0</v>
      </c>
      <c r="EY78" s="317">
        <v>0</v>
      </c>
      <c r="EZ78" s="105">
        <v>1</v>
      </c>
      <c r="FA78" s="18">
        <v>0</v>
      </c>
      <c r="FB78" s="317">
        <v>0</v>
      </c>
      <c r="FC78" s="105">
        <v>1</v>
      </c>
      <c r="FD78" s="18">
        <v>0</v>
      </c>
      <c r="FE78" s="317">
        <v>0</v>
      </c>
      <c r="FF78" s="105">
        <v>39</v>
      </c>
      <c r="FG78" s="18">
        <v>0</v>
      </c>
      <c r="FH78" s="317">
        <v>0</v>
      </c>
      <c r="FI78" s="105">
        <v>2</v>
      </c>
      <c r="FJ78" s="18">
        <v>0</v>
      </c>
      <c r="FK78" s="317">
        <v>0</v>
      </c>
      <c r="FL78" s="18">
        <v>0</v>
      </c>
      <c r="FM78" s="18">
        <v>0</v>
      </c>
      <c r="FN78" s="317">
        <v>0</v>
      </c>
      <c r="FO78" s="646" t="s">
        <v>969</v>
      </c>
      <c r="FP78" s="531"/>
      <c r="FQ78" s="531"/>
      <c r="FR78" s="531"/>
      <c r="FS78" s="531"/>
      <c r="FT78" s="531"/>
      <c r="FU78" s="636" t="s">
        <v>970</v>
      </c>
      <c r="FV78" s="531"/>
      <c r="FW78" s="531"/>
      <c r="FX78" s="531"/>
      <c r="FY78" s="531"/>
      <c r="FZ78" s="531"/>
    </row>
    <row r="79" spans="1:182" ht="12.75">
      <c r="A79" s="93">
        <v>43910</v>
      </c>
      <c r="B79" s="14">
        <f t="shared" ref="B79:D79" si="74">SUM(F79,I79,L79,O79,U79,AA79,AD79,AG79,AJ79,AV79,AM79,AS79,AY79,BB79,BE79,BH79,BN79,BQ79,BT79,BW79,CC79,CL79,CO79,CR79,CU79,DA79,DD79,DG79,DM79,DP79,DS79,DV79,EE79,EH79,EN79,EQ79,EW79,EZ79,FC79,FF79,FI79,FL79)</f>
        <v>1001</v>
      </c>
      <c r="C79" s="34">
        <f t="shared" si="74"/>
        <v>25</v>
      </c>
      <c r="D79" s="73">
        <f t="shared" si="74"/>
        <v>69</v>
      </c>
      <c r="E79" s="350">
        <f t="shared" si="1"/>
        <v>907</v>
      </c>
      <c r="F79" s="105">
        <v>202</v>
      </c>
      <c r="G79" s="18">
        <v>0</v>
      </c>
      <c r="H79" s="317">
        <v>0</v>
      </c>
      <c r="I79" s="105">
        <v>90</v>
      </c>
      <c r="J79" s="139">
        <v>11</v>
      </c>
      <c r="K79" s="150">
        <v>24</v>
      </c>
      <c r="L79" s="105">
        <v>1</v>
      </c>
      <c r="M79" s="18">
        <v>0</v>
      </c>
      <c r="N79" s="317">
        <v>0</v>
      </c>
      <c r="O79" s="105">
        <v>2</v>
      </c>
      <c r="P79" s="18">
        <v>0</v>
      </c>
      <c r="Q79" s="317">
        <v>0</v>
      </c>
      <c r="R79" s="18">
        <v>0</v>
      </c>
      <c r="S79" s="18">
        <v>0</v>
      </c>
      <c r="T79" s="317">
        <v>0</v>
      </c>
      <c r="U79" s="105">
        <v>40</v>
      </c>
      <c r="V79" s="139">
        <v>1</v>
      </c>
      <c r="W79" s="317">
        <v>0</v>
      </c>
      <c r="X79" s="18">
        <v>0</v>
      </c>
      <c r="Y79" s="18">
        <v>0</v>
      </c>
      <c r="Z79" s="317">
        <v>0</v>
      </c>
      <c r="AA79" s="105">
        <v>20</v>
      </c>
      <c r="AB79" s="18">
        <v>0</v>
      </c>
      <c r="AC79" s="317">
        <v>0</v>
      </c>
      <c r="AD79" s="105">
        <v>1</v>
      </c>
      <c r="AE79" s="18">
        <v>0</v>
      </c>
      <c r="AF79" s="317">
        <v>0</v>
      </c>
      <c r="AG79" s="105">
        <v>9</v>
      </c>
      <c r="AH79" s="18">
        <v>0</v>
      </c>
      <c r="AI79" s="150">
        <v>1</v>
      </c>
      <c r="AJ79" s="105">
        <v>1</v>
      </c>
      <c r="AK79" s="18">
        <v>0</v>
      </c>
      <c r="AL79" s="317">
        <v>0</v>
      </c>
      <c r="AM79" s="105">
        <v>285</v>
      </c>
      <c r="AN79" s="139">
        <v>8</v>
      </c>
      <c r="AO79" s="150">
        <v>39</v>
      </c>
      <c r="AP79" s="18">
        <v>0</v>
      </c>
      <c r="AQ79" s="18">
        <v>0</v>
      </c>
      <c r="AR79" s="317">
        <v>0</v>
      </c>
      <c r="AS79" s="105">
        <v>1</v>
      </c>
      <c r="AT79" s="18">
        <v>0</v>
      </c>
      <c r="AU79" s="317">
        <v>0</v>
      </c>
      <c r="AV79" s="105">
        <v>9</v>
      </c>
      <c r="AW79" s="18">
        <v>0</v>
      </c>
      <c r="AX79" s="317">
        <v>0</v>
      </c>
      <c r="AY79" s="105">
        <v>3</v>
      </c>
      <c r="AZ79" s="18">
        <v>0</v>
      </c>
      <c r="BA79" s="317">
        <v>0</v>
      </c>
      <c r="BB79" s="105">
        <v>1</v>
      </c>
      <c r="BC79" s="18">
        <v>0</v>
      </c>
      <c r="BD79" s="317">
        <v>0</v>
      </c>
      <c r="BE79" s="105">
        <v>16</v>
      </c>
      <c r="BF79" s="18">
        <v>0</v>
      </c>
      <c r="BG79" s="317">
        <v>0</v>
      </c>
      <c r="BH79" s="105">
        <v>1</v>
      </c>
      <c r="BI79" s="18">
        <v>0</v>
      </c>
      <c r="BJ79" s="317">
        <v>0</v>
      </c>
      <c r="BK79" s="18">
        <v>0</v>
      </c>
      <c r="BL79" s="18">
        <v>0</v>
      </c>
      <c r="BM79" s="317">
        <v>0</v>
      </c>
      <c r="BN79" s="105">
        <v>6</v>
      </c>
      <c r="BO79" s="18">
        <v>0</v>
      </c>
      <c r="BP79" s="317">
        <v>0</v>
      </c>
      <c r="BQ79" s="105">
        <v>7</v>
      </c>
      <c r="BR79" s="18">
        <v>0</v>
      </c>
      <c r="BS79" s="317">
        <v>0</v>
      </c>
      <c r="BT79" s="105">
        <v>28</v>
      </c>
      <c r="BU79" s="18">
        <v>0</v>
      </c>
      <c r="BV79" s="317">
        <v>0</v>
      </c>
      <c r="BW79" s="18">
        <v>0</v>
      </c>
      <c r="BX79" s="18">
        <v>0</v>
      </c>
      <c r="BY79" s="317">
        <v>0</v>
      </c>
      <c r="BZ79" s="105">
        <v>1</v>
      </c>
      <c r="CA79" s="18">
        <v>0</v>
      </c>
      <c r="CB79" s="317">
        <v>0</v>
      </c>
      <c r="CC79" s="105">
        <v>3</v>
      </c>
      <c r="CD79" s="18">
        <v>0</v>
      </c>
      <c r="CE79" s="317">
        <v>0</v>
      </c>
      <c r="CF79" s="18">
        <v>0</v>
      </c>
      <c r="CG79" s="18">
        <v>0</v>
      </c>
      <c r="CH79" s="317">
        <v>0</v>
      </c>
      <c r="CI79" s="18">
        <v>0</v>
      </c>
      <c r="CJ79" s="18">
        <v>0</v>
      </c>
      <c r="CK79" s="317">
        <v>0</v>
      </c>
      <c r="CL79" s="105">
        <v>77</v>
      </c>
      <c r="CM79" s="139">
        <v>3</v>
      </c>
      <c r="CN79" s="150">
        <v>1</v>
      </c>
      <c r="CO79" s="105">
        <v>12</v>
      </c>
      <c r="CP79" s="18">
        <v>0</v>
      </c>
      <c r="CQ79" s="317">
        <v>0</v>
      </c>
      <c r="CR79" s="105">
        <v>2</v>
      </c>
      <c r="CS79" s="18">
        <v>0</v>
      </c>
      <c r="CT79" s="317">
        <v>0</v>
      </c>
      <c r="CU79" s="105">
        <v>6</v>
      </c>
      <c r="CV79" s="18">
        <v>0</v>
      </c>
      <c r="CW79" s="317">
        <v>0</v>
      </c>
      <c r="CX79" s="18">
        <v>0</v>
      </c>
      <c r="CY79" s="18">
        <v>0</v>
      </c>
      <c r="CZ79" s="317">
        <v>0</v>
      </c>
      <c r="DA79" s="105">
        <v>3</v>
      </c>
      <c r="DB79" s="18">
        <v>0</v>
      </c>
      <c r="DC79" s="317">
        <v>0</v>
      </c>
      <c r="DD79" s="105">
        <v>1</v>
      </c>
      <c r="DE79" s="18">
        <v>0</v>
      </c>
      <c r="DF79" s="317">
        <v>0</v>
      </c>
      <c r="DG79" s="105">
        <v>12</v>
      </c>
      <c r="DH79" s="18">
        <v>0</v>
      </c>
      <c r="DI79" s="150">
        <v>1</v>
      </c>
      <c r="DJ79" s="18">
        <v>0</v>
      </c>
      <c r="DK79" s="18">
        <v>0</v>
      </c>
      <c r="DL79" s="317">
        <v>0</v>
      </c>
      <c r="DM79" s="105">
        <v>3</v>
      </c>
      <c r="DN79" s="18">
        <v>0</v>
      </c>
      <c r="DO79" s="317">
        <v>0</v>
      </c>
      <c r="DP79" s="105">
        <v>18</v>
      </c>
      <c r="DQ79" s="18">
        <v>0</v>
      </c>
      <c r="DR79" s="317">
        <v>0</v>
      </c>
      <c r="DS79" s="105">
        <v>3</v>
      </c>
      <c r="DT79" s="18">
        <v>0</v>
      </c>
      <c r="DU79" s="317">
        <v>0</v>
      </c>
      <c r="DV79" s="105">
        <v>17</v>
      </c>
      <c r="DW79" s="18">
        <v>0</v>
      </c>
      <c r="DX79" s="317">
        <v>0</v>
      </c>
      <c r="DY79" s="18">
        <v>0</v>
      </c>
      <c r="DZ79" s="18">
        <v>0</v>
      </c>
      <c r="EA79" s="317">
        <v>0</v>
      </c>
      <c r="EB79" s="18">
        <v>0</v>
      </c>
      <c r="EC79" s="18">
        <v>0</v>
      </c>
      <c r="ED79" s="317">
        <v>0</v>
      </c>
      <c r="EE79" s="105">
        <v>38</v>
      </c>
      <c r="EF79" s="18">
        <v>0</v>
      </c>
      <c r="EG79" s="150">
        <v>2</v>
      </c>
      <c r="EH79" s="105">
        <v>7</v>
      </c>
      <c r="EI79" s="18">
        <v>0</v>
      </c>
      <c r="EJ79" s="317">
        <v>0</v>
      </c>
      <c r="EK79" s="18">
        <v>0</v>
      </c>
      <c r="EL79" s="18">
        <v>0</v>
      </c>
      <c r="EM79" s="317">
        <v>0</v>
      </c>
      <c r="EN79" s="105">
        <v>1</v>
      </c>
      <c r="EO79" s="18">
        <v>0</v>
      </c>
      <c r="EP79" s="317">
        <v>0</v>
      </c>
      <c r="EQ79" s="105">
        <v>2</v>
      </c>
      <c r="ER79" s="139">
        <v>1</v>
      </c>
      <c r="ES79" s="317">
        <v>0</v>
      </c>
      <c r="ET79" s="18">
        <v>0</v>
      </c>
      <c r="EU79" s="18">
        <v>0</v>
      </c>
      <c r="EV79" s="317">
        <v>0</v>
      </c>
      <c r="EW79" s="105">
        <v>6</v>
      </c>
      <c r="EX79" s="18">
        <v>0</v>
      </c>
      <c r="EY79" s="317">
        <v>0</v>
      </c>
      <c r="EZ79" s="105">
        <v>1</v>
      </c>
      <c r="FA79" s="18">
        <v>0</v>
      </c>
      <c r="FB79" s="317">
        <v>0</v>
      </c>
      <c r="FC79" s="105">
        <v>9</v>
      </c>
      <c r="FD79" s="18">
        <v>0</v>
      </c>
      <c r="FE79" s="150">
        <v>1</v>
      </c>
      <c r="FF79" s="105">
        <v>54</v>
      </c>
      <c r="FG79" s="139">
        <v>1</v>
      </c>
      <c r="FH79" s="317">
        <v>0</v>
      </c>
      <c r="FI79" s="105">
        <v>2</v>
      </c>
      <c r="FJ79" s="18">
        <v>0</v>
      </c>
      <c r="FK79" s="317">
        <v>0</v>
      </c>
      <c r="FL79" s="105">
        <v>1</v>
      </c>
      <c r="FM79" s="18">
        <v>0</v>
      </c>
      <c r="FN79" s="317">
        <v>0</v>
      </c>
      <c r="FO79" s="646" t="s">
        <v>974</v>
      </c>
      <c r="FP79" s="531"/>
      <c r="FQ79" s="531"/>
      <c r="FR79" s="531"/>
      <c r="FS79" s="531"/>
      <c r="FT79" s="531"/>
      <c r="FU79" s="636" t="s">
        <v>975</v>
      </c>
      <c r="FV79" s="531"/>
      <c r="FW79" s="531"/>
      <c r="FX79" s="531"/>
      <c r="FY79" s="531"/>
      <c r="FZ79" s="531"/>
    </row>
    <row r="80" spans="1:182" ht="12.75">
      <c r="A80" s="93">
        <v>43911</v>
      </c>
      <c r="B80" s="14">
        <f t="shared" ref="B80:D80" si="75">SUM(F80,I80,L80,O80,U80,AA80,AD80,AG80,AJ80,AV80,AM80,AS80,AP80,AY80,BB80,BE80,BH80,BN80,BQ80,BT80,BW80,CC80,CL80,CO80,CR80,CU80,DA80,DD80,DG80,DM80,DP80,DS80,DV80,EE80,EH80,EN80,EQ80,EW80,EZ80,FC80,FF80,FI80,FL80)</f>
        <v>1220</v>
      </c>
      <c r="C80" s="34">
        <f t="shared" si="75"/>
        <v>35</v>
      </c>
      <c r="D80" s="73">
        <f t="shared" si="75"/>
        <v>81</v>
      </c>
      <c r="E80" s="350">
        <f t="shared" si="1"/>
        <v>1104</v>
      </c>
      <c r="F80" s="105">
        <v>240</v>
      </c>
      <c r="G80" s="18">
        <v>0</v>
      </c>
      <c r="H80" s="317">
        <v>0</v>
      </c>
      <c r="I80" s="105">
        <v>139</v>
      </c>
      <c r="J80" s="139">
        <v>15</v>
      </c>
      <c r="K80" s="150">
        <v>24</v>
      </c>
      <c r="L80" s="105">
        <v>2</v>
      </c>
      <c r="M80" s="18">
        <v>0</v>
      </c>
      <c r="N80" s="317">
        <v>0</v>
      </c>
      <c r="O80" s="105">
        <v>2</v>
      </c>
      <c r="P80" s="18">
        <v>0</v>
      </c>
      <c r="Q80" s="317">
        <v>0</v>
      </c>
      <c r="R80" s="18">
        <v>0</v>
      </c>
      <c r="S80" s="18">
        <v>0</v>
      </c>
      <c r="T80" s="317">
        <v>0</v>
      </c>
      <c r="U80" s="105">
        <v>64</v>
      </c>
      <c r="V80" s="139">
        <v>2</v>
      </c>
      <c r="W80" s="150">
        <v>5</v>
      </c>
      <c r="X80" s="18">
        <v>0</v>
      </c>
      <c r="Y80" s="18">
        <v>0</v>
      </c>
      <c r="Z80" s="317">
        <v>0</v>
      </c>
      <c r="AA80" s="105">
        <v>27</v>
      </c>
      <c r="AB80" s="18">
        <v>0</v>
      </c>
      <c r="AC80" s="317">
        <v>0</v>
      </c>
      <c r="AD80" s="105">
        <v>3</v>
      </c>
      <c r="AE80" s="18">
        <v>0</v>
      </c>
      <c r="AF80" s="317">
        <v>0</v>
      </c>
      <c r="AG80" s="105">
        <v>14</v>
      </c>
      <c r="AH80" s="18">
        <v>0</v>
      </c>
      <c r="AI80" s="150">
        <v>1</v>
      </c>
      <c r="AJ80" s="105">
        <v>1</v>
      </c>
      <c r="AK80" s="18">
        <v>0</v>
      </c>
      <c r="AL80" s="317">
        <v>0</v>
      </c>
      <c r="AM80" s="105">
        <v>294</v>
      </c>
      <c r="AN80" s="139">
        <v>10</v>
      </c>
      <c r="AO80" s="150">
        <v>41</v>
      </c>
      <c r="AP80" s="105">
        <v>1</v>
      </c>
      <c r="AQ80" s="18">
        <v>0</v>
      </c>
      <c r="AR80" s="317">
        <v>0</v>
      </c>
      <c r="AS80" s="105">
        <v>1</v>
      </c>
      <c r="AT80" s="18">
        <v>0</v>
      </c>
      <c r="AU80" s="317">
        <v>0</v>
      </c>
      <c r="AV80" s="105">
        <v>9</v>
      </c>
      <c r="AW80" s="18">
        <v>0</v>
      </c>
      <c r="AX80" s="317">
        <v>0</v>
      </c>
      <c r="AY80" s="105">
        <v>4</v>
      </c>
      <c r="AZ80" s="139">
        <v>1</v>
      </c>
      <c r="BA80" s="317">
        <v>0</v>
      </c>
      <c r="BB80" s="105">
        <v>1</v>
      </c>
      <c r="BC80" s="18">
        <v>0</v>
      </c>
      <c r="BD80" s="317">
        <v>0</v>
      </c>
      <c r="BE80" s="105">
        <v>19</v>
      </c>
      <c r="BF80" s="18">
        <v>0</v>
      </c>
      <c r="BG80" s="317">
        <v>0</v>
      </c>
      <c r="BH80" s="105">
        <v>2</v>
      </c>
      <c r="BI80" s="18">
        <v>0</v>
      </c>
      <c r="BJ80" s="317">
        <v>0</v>
      </c>
      <c r="BK80" s="18">
        <v>0</v>
      </c>
      <c r="BL80" s="18">
        <v>0</v>
      </c>
      <c r="BM80" s="317">
        <v>0</v>
      </c>
      <c r="BN80" s="105">
        <v>6</v>
      </c>
      <c r="BO80" s="18">
        <v>0</v>
      </c>
      <c r="BP80" s="317">
        <v>0</v>
      </c>
      <c r="BQ80" s="105">
        <v>7</v>
      </c>
      <c r="BR80" s="18">
        <v>0</v>
      </c>
      <c r="BS80" s="317">
        <v>0</v>
      </c>
      <c r="BT80" s="105">
        <v>45</v>
      </c>
      <c r="BU80" s="18">
        <v>0</v>
      </c>
      <c r="BV80" s="317">
        <v>0</v>
      </c>
      <c r="BW80" s="18">
        <v>0</v>
      </c>
      <c r="BX80" s="18">
        <v>0</v>
      </c>
      <c r="BY80" s="317">
        <v>0</v>
      </c>
      <c r="BZ80" s="105">
        <v>1</v>
      </c>
      <c r="CA80" s="18">
        <v>0</v>
      </c>
      <c r="CB80" s="317">
        <v>0</v>
      </c>
      <c r="CC80" s="105">
        <v>3</v>
      </c>
      <c r="CD80" s="18">
        <v>0</v>
      </c>
      <c r="CE80" s="317">
        <v>0</v>
      </c>
      <c r="CF80" s="18">
        <v>0</v>
      </c>
      <c r="CG80" s="18">
        <v>0</v>
      </c>
      <c r="CH80" s="317">
        <v>0</v>
      </c>
      <c r="CI80" s="18">
        <v>0</v>
      </c>
      <c r="CJ80" s="18">
        <v>0</v>
      </c>
      <c r="CK80" s="317">
        <v>0</v>
      </c>
      <c r="CL80" s="105">
        <v>96</v>
      </c>
      <c r="CM80" s="139">
        <v>3</v>
      </c>
      <c r="CN80" s="150">
        <v>3</v>
      </c>
      <c r="CO80" s="105">
        <v>14</v>
      </c>
      <c r="CP80" s="139">
        <v>1</v>
      </c>
      <c r="CQ80" s="317">
        <v>0</v>
      </c>
      <c r="CR80" s="105">
        <v>2</v>
      </c>
      <c r="CS80" s="18">
        <v>0</v>
      </c>
      <c r="CT80" s="317">
        <v>0</v>
      </c>
      <c r="CU80" s="105">
        <v>7</v>
      </c>
      <c r="CV80" s="18">
        <v>0</v>
      </c>
      <c r="CW80" s="317">
        <v>0</v>
      </c>
      <c r="CX80" s="18">
        <v>0</v>
      </c>
      <c r="CY80" s="18">
        <v>0</v>
      </c>
      <c r="CZ80" s="317">
        <v>0</v>
      </c>
      <c r="DA80" s="105">
        <v>3</v>
      </c>
      <c r="DB80" s="18">
        <v>0</v>
      </c>
      <c r="DC80" s="317">
        <v>0</v>
      </c>
      <c r="DD80" s="105">
        <v>1</v>
      </c>
      <c r="DE80" s="18">
        <v>0</v>
      </c>
      <c r="DF80" s="317">
        <v>0</v>
      </c>
      <c r="DG80" s="105">
        <v>22</v>
      </c>
      <c r="DH80" s="18">
        <v>0</v>
      </c>
      <c r="DI80" s="150">
        <v>1</v>
      </c>
      <c r="DJ80" s="18">
        <v>0</v>
      </c>
      <c r="DK80" s="18">
        <v>0</v>
      </c>
      <c r="DL80" s="317">
        <v>0</v>
      </c>
      <c r="DM80" s="105">
        <v>3</v>
      </c>
      <c r="DN80" s="18">
        <v>0</v>
      </c>
      <c r="DO80" s="317">
        <v>0</v>
      </c>
      <c r="DP80" s="105">
        <v>23</v>
      </c>
      <c r="DQ80" s="139">
        <v>1</v>
      </c>
      <c r="DR80" s="317">
        <v>0</v>
      </c>
      <c r="DS80" s="105">
        <v>3</v>
      </c>
      <c r="DT80" s="18">
        <v>0</v>
      </c>
      <c r="DU80" s="317">
        <v>0</v>
      </c>
      <c r="DV80" s="105">
        <v>17</v>
      </c>
      <c r="DW80" s="18">
        <v>0</v>
      </c>
      <c r="DX80" s="317">
        <v>0</v>
      </c>
      <c r="DY80" s="18">
        <v>0</v>
      </c>
      <c r="DZ80" s="18">
        <v>0</v>
      </c>
      <c r="EA80" s="317">
        <v>0</v>
      </c>
      <c r="EB80" s="18">
        <v>0</v>
      </c>
      <c r="EC80" s="18">
        <v>0</v>
      </c>
      <c r="ED80" s="317">
        <v>0</v>
      </c>
      <c r="EE80" s="105">
        <v>47</v>
      </c>
      <c r="EF80" s="18">
        <v>0</v>
      </c>
      <c r="EG80" s="150">
        <v>5</v>
      </c>
      <c r="EH80" s="105">
        <v>7</v>
      </c>
      <c r="EI80" s="18">
        <v>0</v>
      </c>
      <c r="EJ80" s="317">
        <v>0</v>
      </c>
      <c r="EK80" s="18">
        <v>0</v>
      </c>
      <c r="EL80" s="18">
        <v>0</v>
      </c>
      <c r="EM80" s="317">
        <v>0</v>
      </c>
      <c r="EN80" s="105">
        <v>1</v>
      </c>
      <c r="EO80" s="18">
        <v>0</v>
      </c>
      <c r="EP80" s="317">
        <v>0</v>
      </c>
      <c r="EQ80" s="105">
        <v>2</v>
      </c>
      <c r="ER80" s="139">
        <v>1</v>
      </c>
      <c r="ES80" s="317">
        <v>0</v>
      </c>
      <c r="ET80" s="18">
        <v>0</v>
      </c>
      <c r="EU80" s="18">
        <v>0</v>
      </c>
      <c r="EV80" s="317">
        <v>0</v>
      </c>
      <c r="EW80" s="105">
        <v>6</v>
      </c>
      <c r="EX80" s="18">
        <v>0</v>
      </c>
      <c r="EY80" s="317">
        <v>0</v>
      </c>
      <c r="EZ80" s="105">
        <v>1</v>
      </c>
      <c r="FA80" s="18">
        <v>0</v>
      </c>
      <c r="FB80" s="317">
        <v>0</v>
      </c>
      <c r="FC80" s="105">
        <v>16</v>
      </c>
      <c r="FD80" s="18">
        <v>0</v>
      </c>
      <c r="FE80" s="150">
        <v>1</v>
      </c>
      <c r="FF80" s="105">
        <v>60</v>
      </c>
      <c r="FG80" s="139">
        <v>1</v>
      </c>
      <c r="FH80" s="317">
        <v>0</v>
      </c>
      <c r="FI80" s="105">
        <v>2</v>
      </c>
      <c r="FJ80" s="18">
        <v>0</v>
      </c>
      <c r="FK80" s="317">
        <v>0</v>
      </c>
      <c r="FL80" s="105">
        <v>3</v>
      </c>
      <c r="FM80" s="18">
        <v>0</v>
      </c>
      <c r="FN80" s="317">
        <v>0</v>
      </c>
      <c r="FO80" s="651" t="s">
        <v>976</v>
      </c>
      <c r="FP80" s="531"/>
      <c r="FQ80" s="531"/>
      <c r="FR80" s="531"/>
      <c r="FS80" s="531"/>
      <c r="FT80" s="531"/>
      <c r="FU80" s="636" t="s">
        <v>977</v>
      </c>
      <c r="FV80" s="531"/>
      <c r="FW80" s="531"/>
      <c r="FX80" s="531"/>
      <c r="FY80" s="531"/>
      <c r="FZ80" s="531"/>
    </row>
    <row r="81" spans="1:182" ht="12.75">
      <c r="A81" s="93">
        <v>43912</v>
      </c>
      <c r="B81" s="14">
        <f t="shared" ref="B81:D81" si="76">SUM(F81,I81,L81,O81,U81,AA81,AD81,AG81,AJ81,AV81,AM81,AS81,AP81,AY81,BB81,BE81,BH81,BN81,BQ81,BT81,BW81,CC81,CL81,CO81,CR81,CU81,CX81,DA81,DD81,DG81,DJ81,DM81,DP81,DS81,DV81,EE81,EH81,EN81,EQ81,EW81,EZ81,FC81,FF81,FI81,FL81)</f>
        <v>1483</v>
      </c>
      <c r="C81" s="34">
        <f t="shared" si="76"/>
        <v>47</v>
      </c>
      <c r="D81" s="73">
        <f t="shared" si="76"/>
        <v>98</v>
      </c>
      <c r="E81" s="350">
        <f t="shared" si="1"/>
        <v>1338</v>
      </c>
      <c r="F81" s="105">
        <v>274</v>
      </c>
      <c r="G81" s="18">
        <v>0</v>
      </c>
      <c r="H81" s="317">
        <v>0</v>
      </c>
      <c r="I81" s="105">
        <v>201</v>
      </c>
      <c r="J81" s="139">
        <v>17</v>
      </c>
      <c r="K81" s="150">
        <v>24</v>
      </c>
      <c r="L81" s="105">
        <v>2</v>
      </c>
      <c r="M81" s="18">
        <v>0</v>
      </c>
      <c r="N81" s="317">
        <v>0</v>
      </c>
      <c r="O81" s="105">
        <v>2</v>
      </c>
      <c r="P81" s="18">
        <v>0</v>
      </c>
      <c r="Q81" s="317">
        <v>0</v>
      </c>
      <c r="R81" s="18">
        <v>0</v>
      </c>
      <c r="S81" s="18">
        <v>0</v>
      </c>
      <c r="T81" s="317">
        <v>0</v>
      </c>
      <c r="U81" s="105">
        <v>75</v>
      </c>
      <c r="V81" s="139">
        <v>4</v>
      </c>
      <c r="W81" s="150">
        <v>5</v>
      </c>
      <c r="X81" s="18">
        <v>0</v>
      </c>
      <c r="Y81" s="18">
        <v>0</v>
      </c>
      <c r="Z81" s="317">
        <v>0</v>
      </c>
      <c r="AA81" s="105">
        <v>40</v>
      </c>
      <c r="AB81" s="18">
        <v>0</v>
      </c>
      <c r="AC81" s="317">
        <v>0</v>
      </c>
      <c r="AD81" s="105">
        <v>3</v>
      </c>
      <c r="AE81" s="18">
        <v>0</v>
      </c>
      <c r="AF81" s="317">
        <v>0</v>
      </c>
      <c r="AG81" s="105">
        <v>14</v>
      </c>
      <c r="AH81" s="18">
        <v>0</v>
      </c>
      <c r="AI81" s="150">
        <v>1</v>
      </c>
      <c r="AJ81" s="105">
        <v>1</v>
      </c>
      <c r="AK81" s="18">
        <v>0</v>
      </c>
      <c r="AL81" s="317">
        <v>0</v>
      </c>
      <c r="AM81" s="105">
        <v>327</v>
      </c>
      <c r="AN81" s="139">
        <v>14</v>
      </c>
      <c r="AO81" s="150">
        <v>56</v>
      </c>
      <c r="AP81" s="105">
        <v>1</v>
      </c>
      <c r="AQ81" s="18">
        <v>0</v>
      </c>
      <c r="AR81" s="317">
        <v>0</v>
      </c>
      <c r="AS81" s="105">
        <v>4</v>
      </c>
      <c r="AT81" s="18">
        <v>0</v>
      </c>
      <c r="AU81" s="317">
        <v>0</v>
      </c>
      <c r="AV81" s="105">
        <v>11</v>
      </c>
      <c r="AW81" s="18">
        <v>0</v>
      </c>
      <c r="AX81" s="317">
        <v>0</v>
      </c>
      <c r="AY81" s="105">
        <v>5</v>
      </c>
      <c r="AZ81" s="139">
        <v>1</v>
      </c>
      <c r="BA81" s="317">
        <v>0</v>
      </c>
      <c r="BB81" s="105">
        <v>1</v>
      </c>
      <c r="BC81" s="18">
        <v>0</v>
      </c>
      <c r="BD81" s="317">
        <v>0</v>
      </c>
      <c r="BE81" s="105">
        <v>24</v>
      </c>
      <c r="BF81" s="139">
        <v>1</v>
      </c>
      <c r="BG81" s="317">
        <v>0</v>
      </c>
      <c r="BH81" s="105">
        <v>2</v>
      </c>
      <c r="BI81" s="18">
        <v>0</v>
      </c>
      <c r="BJ81" s="317">
        <v>0</v>
      </c>
      <c r="BK81" s="18">
        <v>0</v>
      </c>
      <c r="BL81" s="18">
        <v>0</v>
      </c>
      <c r="BM81" s="317">
        <v>0</v>
      </c>
      <c r="BN81" s="105">
        <v>6</v>
      </c>
      <c r="BO81" s="18">
        <v>0</v>
      </c>
      <c r="BP81" s="317">
        <v>0</v>
      </c>
      <c r="BQ81" s="105">
        <v>15</v>
      </c>
      <c r="BR81" s="18">
        <v>0</v>
      </c>
      <c r="BS81" s="317">
        <v>0</v>
      </c>
      <c r="BT81" s="105">
        <v>47</v>
      </c>
      <c r="BU81" s="18">
        <v>0</v>
      </c>
      <c r="BV81" s="317">
        <v>0</v>
      </c>
      <c r="BW81" s="18">
        <v>0</v>
      </c>
      <c r="BX81" s="18">
        <v>0</v>
      </c>
      <c r="BY81" s="317">
        <v>0</v>
      </c>
      <c r="BZ81" s="105">
        <v>1</v>
      </c>
      <c r="CA81" s="18">
        <v>0</v>
      </c>
      <c r="CB81" s="317">
        <v>0</v>
      </c>
      <c r="CC81" s="105">
        <v>3</v>
      </c>
      <c r="CD81" s="18">
        <v>0</v>
      </c>
      <c r="CE81" s="317">
        <v>0</v>
      </c>
      <c r="CF81" s="18">
        <v>0</v>
      </c>
      <c r="CG81" s="18">
        <v>0</v>
      </c>
      <c r="CH81" s="317">
        <v>0</v>
      </c>
      <c r="CI81" s="18">
        <v>0</v>
      </c>
      <c r="CJ81" s="18">
        <v>0</v>
      </c>
      <c r="CK81" s="317">
        <v>0</v>
      </c>
      <c r="CL81" s="105">
        <v>115</v>
      </c>
      <c r="CM81" s="139">
        <v>4</v>
      </c>
      <c r="CN81" s="150">
        <v>3</v>
      </c>
      <c r="CO81" s="105">
        <v>18</v>
      </c>
      <c r="CP81" s="139">
        <v>1</v>
      </c>
      <c r="CQ81" s="317">
        <v>0</v>
      </c>
      <c r="CR81" s="105">
        <v>2</v>
      </c>
      <c r="CS81" s="18">
        <v>0</v>
      </c>
      <c r="CT81" s="317">
        <v>0</v>
      </c>
      <c r="CU81" s="105">
        <v>11</v>
      </c>
      <c r="CV81" s="18">
        <v>0</v>
      </c>
      <c r="CW81" s="317">
        <v>0</v>
      </c>
      <c r="CX81" s="105">
        <v>1</v>
      </c>
      <c r="CY81" s="18">
        <v>0</v>
      </c>
      <c r="CZ81" s="317">
        <v>0</v>
      </c>
      <c r="DA81" s="105">
        <v>3</v>
      </c>
      <c r="DB81" s="18">
        <v>0</v>
      </c>
      <c r="DC81" s="317">
        <v>0</v>
      </c>
      <c r="DD81" s="105">
        <v>2</v>
      </c>
      <c r="DE81" s="18">
        <v>0</v>
      </c>
      <c r="DF81" s="317">
        <v>0</v>
      </c>
      <c r="DG81" s="105">
        <v>30</v>
      </c>
      <c r="DH81" s="18">
        <v>0</v>
      </c>
      <c r="DI81" s="150">
        <v>2</v>
      </c>
      <c r="DJ81" s="105">
        <v>1</v>
      </c>
      <c r="DK81" s="18">
        <v>0</v>
      </c>
      <c r="DL81" s="317">
        <v>0</v>
      </c>
      <c r="DM81" s="105">
        <v>3</v>
      </c>
      <c r="DN81" s="18">
        <v>0</v>
      </c>
      <c r="DO81" s="317">
        <v>0</v>
      </c>
      <c r="DP81" s="105">
        <v>30</v>
      </c>
      <c r="DQ81" s="139">
        <v>1</v>
      </c>
      <c r="DR81" s="317">
        <v>0</v>
      </c>
      <c r="DS81" s="105">
        <v>3</v>
      </c>
      <c r="DT81" s="18">
        <v>0</v>
      </c>
      <c r="DU81" s="317">
        <v>0</v>
      </c>
      <c r="DV81" s="105">
        <v>19</v>
      </c>
      <c r="DW81" s="18">
        <v>0</v>
      </c>
      <c r="DX81" s="317">
        <v>0</v>
      </c>
      <c r="DY81" s="18">
        <v>0</v>
      </c>
      <c r="DZ81" s="18">
        <v>0</v>
      </c>
      <c r="EA81" s="317">
        <v>0</v>
      </c>
      <c r="EB81" s="18">
        <v>0</v>
      </c>
      <c r="EC81" s="18">
        <v>0</v>
      </c>
      <c r="ED81" s="317">
        <v>0</v>
      </c>
      <c r="EE81" s="105">
        <v>67</v>
      </c>
      <c r="EF81" s="18">
        <v>0</v>
      </c>
      <c r="EG81" s="150">
        <v>5</v>
      </c>
      <c r="EH81" s="105">
        <v>7</v>
      </c>
      <c r="EI81" s="18">
        <v>0</v>
      </c>
      <c r="EJ81" s="317">
        <v>0</v>
      </c>
      <c r="EK81" s="18">
        <v>0</v>
      </c>
      <c r="EL81" s="18">
        <v>0</v>
      </c>
      <c r="EM81" s="317">
        <v>0</v>
      </c>
      <c r="EN81" s="105">
        <v>1</v>
      </c>
      <c r="EO81" s="18">
        <v>0</v>
      </c>
      <c r="EP81" s="317">
        <v>0</v>
      </c>
      <c r="EQ81" s="105">
        <v>2</v>
      </c>
      <c r="ER81" s="139">
        <v>1</v>
      </c>
      <c r="ES81" s="317">
        <v>0</v>
      </c>
      <c r="ET81" s="18">
        <v>0</v>
      </c>
      <c r="EU81" s="18">
        <v>0</v>
      </c>
      <c r="EV81" s="317">
        <v>0</v>
      </c>
      <c r="EW81" s="105">
        <v>12</v>
      </c>
      <c r="EX81" s="18">
        <v>0</v>
      </c>
      <c r="EY81" s="317">
        <v>0</v>
      </c>
      <c r="EZ81" s="105">
        <v>1</v>
      </c>
      <c r="FA81" s="18">
        <v>0</v>
      </c>
      <c r="FB81" s="317">
        <v>0</v>
      </c>
      <c r="FC81" s="105">
        <v>16</v>
      </c>
      <c r="FD81" s="18">
        <v>0</v>
      </c>
      <c r="FE81" s="150">
        <v>1</v>
      </c>
      <c r="FF81" s="105">
        <v>75</v>
      </c>
      <c r="FG81" s="139">
        <v>3</v>
      </c>
      <c r="FH81" s="150">
        <v>1</v>
      </c>
      <c r="FI81" s="105">
        <v>3</v>
      </c>
      <c r="FJ81" s="18">
        <v>0</v>
      </c>
      <c r="FK81" s="317">
        <v>0</v>
      </c>
      <c r="FL81" s="105">
        <v>3</v>
      </c>
      <c r="FM81" s="18">
        <v>0</v>
      </c>
      <c r="FN81" s="317">
        <v>0</v>
      </c>
      <c r="FO81" s="651" t="s">
        <v>980</v>
      </c>
      <c r="FP81" s="531"/>
      <c r="FQ81" s="531"/>
      <c r="FR81" s="531"/>
      <c r="FS81" s="531"/>
      <c r="FT81" s="531"/>
      <c r="FU81" s="636" t="s">
        <v>981</v>
      </c>
      <c r="FV81" s="531"/>
      <c r="FW81" s="531"/>
      <c r="FX81" s="531"/>
      <c r="FY81" s="531"/>
      <c r="FZ81" s="531"/>
    </row>
    <row r="82" spans="1:182" ht="12.75">
      <c r="A82" s="93">
        <v>43913</v>
      </c>
      <c r="B82" s="14">
        <f t="shared" ref="B82:D82" si="77">SUM(F82,I82,L82,O82,U82,AA82,AD82,AG82,AJ82,AV82,AM82,AS82,AP82,AY82,BB82,BE82,BH82,BN82,BQ82,BT82,BW82,CC82,CL82,CO82,CR82,CU82,CX82,DA82,DD82,DG82,DJ82,DM82,DP82,DS82,DV82,EE82,EH82,EN82,EQ82,EW82,EZ82,FC82,FF82,FI82,FL82)</f>
        <v>1873</v>
      </c>
      <c r="C82" s="34">
        <f t="shared" si="77"/>
        <v>56</v>
      </c>
      <c r="D82" s="73">
        <f t="shared" si="77"/>
        <v>122</v>
      </c>
      <c r="E82" s="350">
        <f t="shared" si="1"/>
        <v>1695</v>
      </c>
      <c r="F82" s="105">
        <v>402</v>
      </c>
      <c r="G82" s="18">
        <v>0</v>
      </c>
      <c r="H82" s="150">
        <v>4</v>
      </c>
      <c r="I82" s="105">
        <v>230</v>
      </c>
      <c r="J82" s="139">
        <v>17</v>
      </c>
      <c r="K82" s="150">
        <v>24</v>
      </c>
      <c r="L82" s="105">
        <v>3</v>
      </c>
      <c r="M82" s="18">
        <v>0</v>
      </c>
      <c r="N82" s="317">
        <v>0</v>
      </c>
      <c r="O82" s="105">
        <v>5</v>
      </c>
      <c r="P82" s="18">
        <v>0</v>
      </c>
      <c r="Q82" s="317">
        <v>0</v>
      </c>
      <c r="R82" s="18">
        <v>0</v>
      </c>
      <c r="S82" s="18">
        <v>0</v>
      </c>
      <c r="T82" s="317">
        <v>0</v>
      </c>
      <c r="U82" s="105">
        <v>99</v>
      </c>
      <c r="V82" s="139">
        <v>4</v>
      </c>
      <c r="W82" s="150">
        <v>5</v>
      </c>
      <c r="X82" s="18">
        <v>0</v>
      </c>
      <c r="Y82" s="18">
        <v>0</v>
      </c>
      <c r="Z82" s="317">
        <v>0</v>
      </c>
      <c r="AA82" s="105">
        <v>56</v>
      </c>
      <c r="AB82" s="18">
        <v>0</v>
      </c>
      <c r="AC82" s="150">
        <v>2</v>
      </c>
      <c r="AD82" s="105">
        <v>3</v>
      </c>
      <c r="AE82" s="18">
        <v>0</v>
      </c>
      <c r="AF82" s="317">
        <v>0</v>
      </c>
      <c r="AG82" s="105">
        <v>25</v>
      </c>
      <c r="AH82" s="18">
        <v>0</v>
      </c>
      <c r="AI82" s="150">
        <v>2</v>
      </c>
      <c r="AJ82" s="105">
        <v>3</v>
      </c>
      <c r="AK82" s="18">
        <v>0</v>
      </c>
      <c r="AL82" s="317">
        <v>0</v>
      </c>
      <c r="AM82" s="105">
        <v>366</v>
      </c>
      <c r="AN82" s="139">
        <v>19</v>
      </c>
      <c r="AO82" s="150">
        <v>68</v>
      </c>
      <c r="AP82" s="105">
        <v>1</v>
      </c>
      <c r="AQ82" s="18">
        <v>0</v>
      </c>
      <c r="AR82" s="317">
        <v>0</v>
      </c>
      <c r="AS82" s="105">
        <v>4</v>
      </c>
      <c r="AT82" s="18">
        <v>0</v>
      </c>
      <c r="AU82" s="317">
        <v>0</v>
      </c>
      <c r="AV82" s="105">
        <v>11</v>
      </c>
      <c r="AW82" s="18">
        <v>0</v>
      </c>
      <c r="AX82" s="317">
        <v>0</v>
      </c>
      <c r="AY82" s="105">
        <v>5</v>
      </c>
      <c r="AZ82" s="139">
        <v>1</v>
      </c>
      <c r="BA82" s="317">
        <v>0</v>
      </c>
      <c r="BB82" s="105">
        <v>2</v>
      </c>
      <c r="BC82" s="139">
        <v>1</v>
      </c>
      <c r="BD82" s="317">
        <v>0</v>
      </c>
      <c r="BE82" s="105">
        <v>27</v>
      </c>
      <c r="BF82" s="139">
        <v>2</v>
      </c>
      <c r="BG82" s="317">
        <v>0</v>
      </c>
      <c r="BH82" s="105">
        <v>4</v>
      </c>
      <c r="BI82" s="18">
        <v>0</v>
      </c>
      <c r="BJ82" s="317">
        <v>0</v>
      </c>
      <c r="BK82" s="18">
        <v>0</v>
      </c>
      <c r="BL82" s="18">
        <v>0</v>
      </c>
      <c r="BM82" s="317">
        <v>0</v>
      </c>
      <c r="BN82" s="105">
        <v>9</v>
      </c>
      <c r="BO82" s="18">
        <v>0</v>
      </c>
      <c r="BP82" s="317">
        <v>0</v>
      </c>
      <c r="BQ82" s="105">
        <v>16</v>
      </c>
      <c r="BR82" s="18">
        <v>0</v>
      </c>
      <c r="BS82" s="317">
        <v>0</v>
      </c>
      <c r="BT82" s="105">
        <v>47</v>
      </c>
      <c r="BU82" s="18">
        <v>0</v>
      </c>
      <c r="BV82" s="317">
        <v>0</v>
      </c>
      <c r="BW82" s="18">
        <v>0</v>
      </c>
      <c r="BX82" s="18">
        <v>0</v>
      </c>
      <c r="BY82" s="317">
        <v>0</v>
      </c>
      <c r="BZ82" s="105">
        <v>1</v>
      </c>
      <c r="CA82" s="18">
        <v>0</v>
      </c>
      <c r="CB82" s="317">
        <v>0</v>
      </c>
      <c r="CC82" s="105">
        <v>12</v>
      </c>
      <c r="CD82" s="18">
        <v>0</v>
      </c>
      <c r="CE82" s="317">
        <v>0</v>
      </c>
      <c r="CF82" s="18">
        <v>0</v>
      </c>
      <c r="CG82" s="18">
        <v>0</v>
      </c>
      <c r="CH82" s="317">
        <v>0</v>
      </c>
      <c r="CI82" s="18">
        <v>0</v>
      </c>
      <c r="CJ82" s="18">
        <v>0</v>
      </c>
      <c r="CK82" s="317">
        <v>0</v>
      </c>
      <c r="CL82" s="105">
        <v>143</v>
      </c>
      <c r="CM82" s="139">
        <v>4</v>
      </c>
      <c r="CN82" s="150">
        <v>5</v>
      </c>
      <c r="CO82" s="105">
        <v>36</v>
      </c>
      <c r="CP82" s="139">
        <v>2</v>
      </c>
      <c r="CQ82" s="317">
        <v>0</v>
      </c>
      <c r="CR82" s="105">
        <v>2</v>
      </c>
      <c r="CS82" s="18">
        <v>0</v>
      </c>
      <c r="CT82" s="317">
        <v>0</v>
      </c>
      <c r="CU82" s="105">
        <v>11</v>
      </c>
      <c r="CV82" s="18">
        <v>0</v>
      </c>
      <c r="CW82" s="317">
        <v>0</v>
      </c>
      <c r="CX82" s="105">
        <v>1</v>
      </c>
      <c r="CY82" s="18">
        <v>0</v>
      </c>
      <c r="CZ82" s="317">
        <v>0</v>
      </c>
      <c r="DA82" s="105">
        <v>4</v>
      </c>
      <c r="DB82" s="18">
        <v>0</v>
      </c>
      <c r="DC82" s="317">
        <v>0</v>
      </c>
      <c r="DD82" s="105">
        <v>3</v>
      </c>
      <c r="DE82" s="18">
        <v>0</v>
      </c>
      <c r="DF82" s="317">
        <v>0</v>
      </c>
      <c r="DG82" s="105">
        <v>40</v>
      </c>
      <c r="DH82" s="139">
        <v>1</v>
      </c>
      <c r="DI82" s="150">
        <v>2</v>
      </c>
      <c r="DJ82" s="105">
        <v>9</v>
      </c>
      <c r="DK82" s="18">
        <v>0</v>
      </c>
      <c r="DL82" s="317">
        <v>0</v>
      </c>
      <c r="DM82" s="105">
        <v>3</v>
      </c>
      <c r="DN82" s="18">
        <v>0</v>
      </c>
      <c r="DO82" s="317">
        <v>0</v>
      </c>
      <c r="DP82" s="105">
        <v>36</v>
      </c>
      <c r="DQ82" s="139">
        <v>1</v>
      </c>
      <c r="DR82" s="317">
        <v>0</v>
      </c>
      <c r="DS82" s="105">
        <v>4</v>
      </c>
      <c r="DT82" s="18">
        <v>0</v>
      </c>
      <c r="DU82" s="317">
        <v>0</v>
      </c>
      <c r="DV82" s="105">
        <v>36</v>
      </c>
      <c r="DW82" s="18">
        <v>0</v>
      </c>
      <c r="DX82" s="317">
        <v>0</v>
      </c>
      <c r="DY82" s="18">
        <v>0</v>
      </c>
      <c r="DZ82" s="18">
        <v>0</v>
      </c>
      <c r="EA82" s="317">
        <v>0</v>
      </c>
      <c r="EB82" s="18">
        <v>0</v>
      </c>
      <c r="EC82" s="18">
        <v>0</v>
      </c>
      <c r="ED82" s="317">
        <v>0</v>
      </c>
      <c r="EE82" s="105">
        <v>79</v>
      </c>
      <c r="EF82" s="18">
        <v>0</v>
      </c>
      <c r="EG82" s="150">
        <v>8</v>
      </c>
      <c r="EH82" s="105">
        <v>7</v>
      </c>
      <c r="EI82" s="18">
        <v>0</v>
      </c>
      <c r="EJ82" s="317">
        <v>0</v>
      </c>
      <c r="EK82" s="18">
        <v>0</v>
      </c>
      <c r="EL82" s="18">
        <v>0</v>
      </c>
      <c r="EM82" s="317">
        <v>0</v>
      </c>
      <c r="EN82" s="105">
        <v>1</v>
      </c>
      <c r="EO82" s="18">
        <v>0</v>
      </c>
      <c r="EP82" s="317">
        <v>0</v>
      </c>
      <c r="EQ82" s="105">
        <v>2</v>
      </c>
      <c r="ER82" s="139">
        <v>1</v>
      </c>
      <c r="ES82" s="317">
        <v>0</v>
      </c>
      <c r="ET82" s="18">
        <v>0</v>
      </c>
      <c r="EU82" s="18">
        <v>0</v>
      </c>
      <c r="EV82" s="317">
        <v>0</v>
      </c>
      <c r="EW82" s="105">
        <v>12</v>
      </c>
      <c r="EX82" s="18">
        <v>0</v>
      </c>
      <c r="EY82" s="317">
        <v>0</v>
      </c>
      <c r="EZ82" s="105">
        <v>1</v>
      </c>
      <c r="FA82" s="18">
        <v>0</v>
      </c>
      <c r="FB82" s="317">
        <v>0</v>
      </c>
      <c r="FC82" s="105">
        <v>18</v>
      </c>
      <c r="FD82" s="18">
        <v>0</v>
      </c>
      <c r="FE82" s="150">
        <v>1</v>
      </c>
      <c r="FF82" s="105">
        <v>89</v>
      </c>
      <c r="FG82" s="139">
        <v>3</v>
      </c>
      <c r="FH82" s="150">
        <v>1</v>
      </c>
      <c r="FI82" s="105">
        <v>3</v>
      </c>
      <c r="FJ82" s="18">
        <v>0</v>
      </c>
      <c r="FK82" s="317">
        <v>0</v>
      </c>
      <c r="FL82" s="105">
        <v>3</v>
      </c>
      <c r="FM82" s="18">
        <v>0</v>
      </c>
      <c r="FN82" s="317">
        <v>0</v>
      </c>
      <c r="FO82" s="651" t="s">
        <v>983</v>
      </c>
      <c r="FP82" s="531"/>
      <c r="FQ82" s="531"/>
      <c r="FR82" s="531"/>
      <c r="FS82" s="531"/>
      <c r="FT82" s="531"/>
      <c r="FU82" s="636" t="s">
        <v>984</v>
      </c>
      <c r="FV82" s="531"/>
      <c r="FW82" s="531"/>
      <c r="FX82" s="531"/>
      <c r="FY82" s="531"/>
      <c r="FZ82" s="531"/>
    </row>
    <row r="83" spans="1:182" ht="12.75">
      <c r="A83" s="93">
        <v>43914</v>
      </c>
      <c r="B83" s="14">
        <f t="shared" ref="B83:D83" si="78">SUM(F83,I83,L83,O83,U83,AA83,AD83,AG83,AJ83,AV83,AM83,AS83,AP83,AY83,BB83,BE83,BH83,BN83,BQ83,BT83,BW83,CC83,CL83,CO83,CR83,CU83,CX83,DA83,DD83,DG83,DJ83,DM83,DP83,DS83,DV83,EE83,EH83,EN83,EQ83,EW83,EZ83,FC83,FF83,FI83,FL83)</f>
        <v>2305</v>
      </c>
      <c r="C83" s="34">
        <f t="shared" si="78"/>
        <v>62</v>
      </c>
      <c r="D83" s="73">
        <f t="shared" si="78"/>
        <v>139</v>
      </c>
      <c r="E83" s="350">
        <f t="shared" si="1"/>
        <v>2104</v>
      </c>
      <c r="F83" s="105">
        <v>554</v>
      </c>
      <c r="G83" s="18">
        <v>0</v>
      </c>
      <c r="H83" s="150">
        <v>4</v>
      </c>
      <c r="I83" s="105">
        <v>264</v>
      </c>
      <c r="J83" s="139">
        <v>19</v>
      </c>
      <c r="K83" s="150">
        <v>24</v>
      </c>
      <c r="L83" s="105">
        <v>3</v>
      </c>
      <c r="M83" s="18">
        <v>0</v>
      </c>
      <c r="N83" s="317">
        <v>0</v>
      </c>
      <c r="O83" s="105">
        <v>6</v>
      </c>
      <c r="P83" s="18">
        <v>0</v>
      </c>
      <c r="Q83" s="317">
        <v>0</v>
      </c>
      <c r="R83" s="18">
        <v>0</v>
      </c>
      <c r="S83" s="18">
        <v>0</v>
      </c>
      <c r="T83" s="317">
        <v>0</v>
      </c>
      <c r="U83" s="105">
        <v>114</v>
      </c>
      <c r="V83" s="139">
        <v>4</v>
      </c>
      <c r="W83" s="150">
        <v>7</v>
      </c>
      <c r="X83" s="18">
        <v>0</v>
      </c>
      <c r="Y83" s="18">
        <v>0</v>
      </c>
      <c r="Z83" s="317">
        <v>0</v>
      </c>
      <c r="AA83" s="105">
        <v>66</v>
      </c>
      <c r="AB83" s="18">
        <v>0</v>
      </c>
      <c r="AC83" s="150">
        <v>2</v>
      </c>
      <c r="AD83" s="105">
        <v>3</v>
      </c>
      <c r="AE83" s="139">
        <v>1</v>
      </c>
      <c r="AF83" s="317">
        <v>0</v>
      </c>
      <c r="AG83" s="105">
        <v>73</v>
      </c>
      <c r="AH83" s="18">
        <v>0</v>
      </c>
      <c r="AI83" s="150">
        <v>2</v>
      </c>
      <c r="AJ83" s="105">
        <v>3</v>
      </c>
      <c r="AK83" s="18">
        <v>0</v>
      </c>
      <c r="AL83" s="317">
        <v>0</v>
      </c>
      <c r="AM83" s="105">
        <v>402</v>
      </c>
      <c r="AN83" s="139">
        <v>20</v>
      </c>
      <c r="AO83" s="150">
        <v>80</v>
      </c>
      <c r="AP83" s="105">
        <v>1</v>
      </c>
      <c r="AQ83" s="18">
        <v>0</v>
      </c>
      <c r="AR83" s="317">
        <v>0</v>
      </c>
      <c r="AS83" s="105">
        <v>4</v>
      </c>
      <c r="AT83" s="18">
        <v>0</v>
      </c>
      <c r="AU83" s="317">
        <v>0</v>
      </c>
      <c r="AV83" s="105">
        <v>12</v>
      </c>
      <c r="AW83" s="18">
        <v>0</v>
      </c>
      <c r="AX83" s="317">
        <v>0</v>
      </c>
      <c r="AY83" s="105">
        <v>6</v>
      </c>
      <c r="AZ83" s="139">
        <v>1</v>
      </c>
      <c r="BA83" s="317">
        <v>0</v>
      </c>
      <c r="BB83" s="105">
        <v>3</v>
      </c>
      <c r="BC83" s="139">
        <v>1</v>
      </c>
      <c r="BD83" s="317">
        <v>0</v>
      </c>
      <c r="BE83" s="105">
        <v>53</v>
      </c>
      <c r="BF83" s="139">
        <v>2</v>
      </c>
      <c r="BG83" s="317">
        <v>0</v>
      </c>
      <c r="BH83" s="105">
        <v>4</v>
      </c>
      <c r="BI83" s="18">
        <v>0</v>
      </c>
      <c r="BJ83" s="317">
        <v>0</v>
      </c>
      <c r="BK83" s="18">
        <v>0</v>
      </c>
      <c r="BL83" s="18">
        <v>0</v>
      </c>
      <c r="BM83" s="317">
        <v>0</v>
      </c>
      <c r="BN83" s="105">
        <v>9</v>
      </c>
      <c r="BO83" s="18">
        <v>0</v>
      </c>
      <c r="BP83" s="317">
        <v>0</v>
      </c>
      <c r="BQ83" s="105">
        <v>25</v>
      </c>
      <c r="BR83" s="18">
        <v>0</v>
      </c>
      <c r="BS83" s="317">
        <v>0</v>
      </c>
      <c r="BT83" s="105">
        <v>47</v>
      </c>
      <c r="BU83" s="18">
        <v>0</v>
      </c>
      <c r="BV83" s="317">
        <v>0</v>
      </c>
      <c r="BW83" s="105">
        <v>1</v>
      </c>
      <c r="BX83" s="18">
        <v>0</v>
      </c>
      <c r="BY83" s="317">
        <v>0</v>
      </c>
      <c r="BZ83" s="105">
        <v>1</v>
      </c>
      <c r="CA83" s="18">
        <v>0</v>
      </c>
      <c r="CB83" s="317">
        <v>0</v>
      </c>
      <c r="CC83" s="105">
        <v>17</v>
      </c>
      <c r="CD83" s="18">
        <v>0</v>
      </c>
      <c r="CE83" s="317">
        <v>0</v>
      </c>
      <c r="CF83" s="18">
        <v>0</v>
      </c>
      <c r="CG83" s="18">
        <v>0</v>
      </c>
      <c r="CH83" s="317">
        <v>0</v>
      </c>
      <c r="CI83" s="18">
        <v>0</v>
      </c>
      <c r="CJ83" s="18">
        <v>0</v>
      </c>
      <c r="CK83" s="317">
        <v>0</v>
      </c>
      <c r="CL83" s="105">
        <v>170</v>
      </c>
      <c r="CM83" s="139">
        <v>5</v>
      </c>
      <c r="CN83" s="150">
        <v>6</v>
      </c>
      <c r="CO83" s="105">
        <v>42</v>
      </c>
      <c r="CP83" s="139">
        <v>2</v>
      </c>
      <c r="CQ83" s="317">
        <v>0</v>
      </c>
      <c r="CR83" s="105">
        <v>2</v>
      </c>
      <c r="CS83" s="18">
        <v>0</v>
      </c>
      <c r="CT83" s="317">
        <v>0</v>
      </c>
      <c r="CU83" s="105">
        <v>11</v>
      </c>
      <c r="CV83" s="18">
        <v>0</v>
      </c>
      <c r="CW83" s="317">
        <v>0</v>
      </c>
      <c r="CX83" s="105">
        <v>3</v>
      </c>
      <c r="CY83" s="18">
        <v>0</v>
      </c>
      <c r="CZ83" s="317">
        <v>0</v>
      </c>
      <c r="DA83" s="105">
        <v>7</v>
      </c>
      <c r="DB83" s="18">
        <v>0</v>
      </c>
      <c r="DC83" s="150">
        <v>2</v>
      </c>
      <c r="DD83" s="105">
        <v>3</v>
      </c>
      <c r="DE83" s="18">
        <v>0</v>
      </c>
      <c r="DF83" s="317">
        <v>0</v>
      </c>
      <c r="DG83" s="105">
        <v>44</v>
      </c>
      <c r="DH83" s="139">
        <v>1</v>
      </c>
      <c r="DI83" s="150">
        <v>2</v>
      </c>
      <c r="DJ83" s="105">
        <v>9</v>
      </c>
      <c r="DK83" s="18">
        <v>0</v>
      </c>
      <c r="DL83" s="317">
        <v>0</v>
      </c>
      <c r="DM83" s="105">
        <v>3</v>
      </c>
      <c r="DN83" s="18">
        <v>0</v>
      </c>
      <c r="DO83" s="317">
        <v>0</v>
      </c>
      <c r="DP83" s="105">
        <v>45</v>
      </c>
      <c r="DQ83" s="139">
        <v>2</v>
      </c>
      <c r="DR83" s="317">
        <v>0</v>
      </c>
      <c r="DS83" s="105">
        <v>4</v>
      </c>
      <c r="DT83" s="18">
        <v>0</v>
      </c>
      <c r="DU83" s="317">
        <v>0</v>
      </c>
      <c r="DV83" s="105">
        <v>40</v>
      </c>
      <c r="DW83" s="18">
        <v>0</v>
      </c>
      <c r="DX83" s="317">
        <v>0</v>
      </c>
      <c r="DY83" s="18">
        <v>0</v>
      </c>
      <c r="DZ83" s="18">
        <v>0</v>
      </c>
      <c r="EA83" s="317">
        <v>0</v>
      </c>
      <c r="EB83" s="18">
        <v>0</v>
      </c>
      <c r="EC83" s="18">
        <v>0</v>
      </c>
      <c r="ED83" s="317">
        <v>0</v>
      </c>
      <c r="EE83" s="105">
        <v>86</v>
      </c>
      <c r="EF83" s="18">
        <v>0</v>
      </c>
      <c r="EG83" s="150">
        <v>8</v>
      </c>
      <c r="EH83" s="105">
        <v>7</v>
      </c>
      <c r="EI83" s="18">
        <v>0</v>
      </c>
      <c r="EJ83" s="317">
        <v>0</v>
      </c>
      <c r="EK83" s="18">
        <v>0</v>
      </c>
      <c r="EL83" s="18">
        <v>0</v>
      </c>
      <c r="EM83" s="317">
        <v>0</v>
      </c>
      <c r="EN83" s="105">
        <v>1</v>
      </c>
      <c r="EO83" s="18">
        <v>0</v>
      </c>
      <c r="EP83" s="317">
        <v>0</v>
      </c>
      <c r="EQ83" s="105">
        <v>3</v>
      </c>
      <c r="ER83" s="139">
        <v>1</v>
      </c>
      <c r="ES83" s="317">
        <v>0</v>
      </c>
      <c r="ET83" s="18">
        <v>0</v>
      </c>
      <c r="EU83" s="18">
        <v>0</v>
      </c>
      <c r="EV83" s="317">
        <v>0</v>
      </c>
      <c r="EW83" s="105">
        <v>12</v>
      </c>
      <c r="EX83" s="18">
        <v>0</v>
      </c>
      <c r="EY83" s="317">
        <v>0</v>
      </c>
      <c r="EZ83" s="105">
        <v>3</v>
      </c>
      <c r="FA83" s="18">
        <v>0</v>
      </c>
      <c r="FB83" s="317">
        <v>0</v>
      </c>
      <c r="FC83" s="105">
        <v>20</v>
      </c>
      <c r="FD83" s="18">
        <v>0</v>
      </c>
      <c r="FE83" s="150">
        <v>1</v>
      </c>
      <c r="FF83" s="105">
        <v>114</v>
      </c>
      <c r="FG83" s="139">
        <v>3</v>
      </c>
      <c r="FH83" s="150">
        <v>1</v>
      </c>
      <c r="FI83" s="105">
        <v>3</v>
      </c>
      <c r="FJ83" s="18">
        <v>0</v>
      </c>
      <c r="FK83" s="317">
        <v>0</v>
      </c>
      <c r="FL83" s="105">
        <v>3</v>
      </c>
      <c r="FM83" s="18">
        <v>0</v>
      </c>
      <c r="FN83" s="317">
        <v>0</v>
      </c>
      <c r="FO83" s="649" t="s">
        <v>988</v>
      </c>
      <c r="FP83" s="531"/>
      <c r="FQ83" s="531"/>
      <c r="FR83" s="531"/>
      <c r="FS83" s="531"/>
      <c r="FT83" s="531"/>
      <c r="FU83" s="636" t="s">
        <v>989</v>
      </c>
      <c r="FV83" s="531"/>
      <c r="FW83" s="531"/>
      <c r="FX83" s="531"/>
      <c r="FY83" s="531"/>
      <c r="FZ83" s="531"/>
    </row>
    <row r="84" spans="1:182" ht="12.75">
      <c r="A84" s="93">
        <v>43915</v>
      </c>
      <c r="B84" s="14">
        <f t="shared" ref="B84:D84" si="79">SUM(F84,I84,L84,O84,U84,AA84,AD84,AG84,AJ84,AM84,AP84,AS84,AV84,AY84,BB84,BE84,BH84,BK84,BN84,BQ84,BT84,BW84,BZ84,CC84,CI84,CL84,CO84,CR84,CU84,CX84,DA84,DD84,DG84,DJ84,DM84,DP84,DS84,DV84,EE84,EH84,EN84,EQ84,EW84,EZ84,FC84,FF84,FI84,FL84)</f>
        <v>2829</v>
      </c>
      <c r="C84" s="34">
        <f t="shared" si="79"/>
        <v>73</v>
      </c>
      <c r="D84" s="73">
        <f t="shared" si="79"/>
        <v>174</v>
      </c>
      <c r="E84" s="350">
        <f t="shared" si="1"/>
        <v>2582</v>
      </c>
      <c r="F84" s="105">
        <v>709</v>
      </c>
      <c r="G84" s="18">
        <v>0</v>
      </c>
      <c r="H84" s="150">
        <v>12</v>
      </c>
      <c r="I84" s="105">
        <v>302</v>
      </c>
      <c r="J84" s="139">
        <v>21</v>
      </c>
      <c r="K84" s="150">
        <v>29</v>
      </c>
      <c r="L84" s="105">
        <v>3</v>
      </c>
      <c r="M84" s="18">
        <v>0</v>
      </c>
      <c r="N84" s="317">
        <v>0</v>
      </c>
      <c r="O84" s="105">
        <v>6</v>
      </c>
      <c r="P84" s="18">
        <v>0</v>
      </c>
      <c r="Q84" s="317">
        <v>0</v>
      </c>
      <c r="R84" s="18">
        <v>0</v>
      </c>
      <c r="S84" s="18">
        <v>0</v>
      </c>
      <c r="T84" s="317">
        <v>0</v>
      </c>
      <c r="U84" s="105">
        <v>146</v>
      </c>
      <c r="V84" s="139">
        <v>4</v>
      </c>
      <c r="W84" s="150">
        <v>10</v>
      </c>
      <c r="X84" s="18">
        <v>0</v>
      </c>
      <c r="Y84" s="18">
        <v>0</v>
      </c>
      <c r="Z84" s="317">
        <v>0</v>
      </c>
      <c r="AA84" s="105">
        <v>75</v>
      </c>
      <c r="AB84" s="139">
        <v>1</v>
      </c>
      <c r="AC84" s="150">
        <v>2</v>
      </c>
      <c r="AD84" s="105">
        <v>4</v>
      </c>
      <c r="AE84" s="139">
        <v>1</v>
      </c>
      <c r="AF84" s="317">
        <v>0</v>
      </c>
      <c r="AG84" s="105">
        <v>80</v>
      </c>
      <c r="AH84" s="18">
        <v>0</v>
      </c>
      <c r="AI84" s="150">
        <v>3</v>
      </c>
      <c r="AJ84" s="105">
        <v>11</v>
      </c>
      <c r="AK84" s="18">
        <v>0</v>
      </c>
      <c r="AL84" s="317">
        <v>0</v>
      </c>
      <c r="AM84" s="105">
        <v>456</v>
      </c>
      <c r="AN84" s="139">
        <v>21</v>
      </c>
      <c r="AO84" s="150">
        <v>95</v>
      </c>
      <c r="AP84" s="105">
        <v>4</v>
      </c>
      <c r="AQ84" s="18">
        <v>0</v>
      </c>
      <c r="AR84" s="317">
        <v>0</v>
      </c>
      <c r="AS84" s="105">
        <v>4</v>
      </c>
      <c r="AT84" s="18">
        <v>0</v>
      </c>
      <c r="AU84" s="317">
        <v>0</v>
      </c>
      <c r="AV84" s="105">
        <v>12</v>
      </c>
      <c r="AW84" s="18">
        <v>0</v>
      </c>
      <c r="AX84" s="317">
        <v>0</v>
      </c>
      <c r="AY84" s="105">
        <v>6</v>
      </c>
      <c r="AZ84" s="139">
        <v>1</v>
      </c>
      <c r="BA84" s="317">
        <v>0</v>
      </c>
      <c r="BB84" s="105">
        <v>3</v>
      </c>
      <c r="BC84" s="139">
        <v>1</v>
      </c>
      <c r="BD84" s="317">
        <v>0</v>
      </c>
      <c r="BE84" s="105">
        <v>93</v>
      </c>
      <c r="BF84" s="139">
        <v>4</v>
      </c>
      <c r="BG84" s="317">
        <v>0</v>
      </c>
      <c r="BH84" s="105">
        <v>4</v>
      </c>
      <c r="BI84" s="18">
        <v>0</v>
      </c>
      <c r="BJ84" s="317">
        <v>0</v>
      </c>
      <c r="BK84" s="105">
        <v>2</v>
      </c>
      <c r="BL84" s="18">
        <v>0</v>
      </c>
      <c r="BM84" s="317">
        <v>0</v>
      </c>
      <c r="BN84" s="105">
        <v>9</v>
      </c>
      <c r="BO84" s="18">
        <v>0</v>
      </c>
      <c r="BP84" s="317">
        <v>0</v>
      </c>
      <c r="BQ84" s="105">
        <v>28</v>
      </c>
      <c r="BR84" s="18">
        <v>0</v>
      </c>
      <c r="BS84" s="150">
        <v>1</v>
      </c>
      <c r="BT84" s="105">
        <v>47</v>
      </c>
      <c r="BU84" s="18">
        <v>0</v>
      </c>
      <c r="BV84" s="317">
        <v>0</v>
      </c>
      <c r="BW84" s="105">
        <v>1</v>
      </c>
      <c r="BX84" s="18">
        <v>0</v>
      </c>
      <c r="BY84" s="317">
        <v>0</v>
      </c>
      <c r="BZ84" s="105">
        <v>1</v>
      </c>
      <c r="CA84" s="18">
        <v>0</v>
      </c>
      <c r="CB84" s="317">
        <v>0</v>
      </c>
      <c r="CC84" s="105">
        <v>19</v>
      </c>
      <c r="CD84" s="18">
        <v>0</v>
      </c>
      <c r="CE84" s="317">
        <v>0</v>
      </c>
      <c r="CF84" s="18">
        <v>0</v>
      </c>
      <c r="CG84" s="18">
        <v>0</v>
      </c>
      <c r="CH84" s="317">
        <v>0</v>
      </c>
      <c r="CI84" s="105">
        <v>2</v>
      </c>
      <c r="CJ84" s="18">
        <v>0</v>
      </c>
      <c r="CK84" s="317">
        <v>0</v>
      </c>
      <c r="CL84" s="105">
        <v>225</v>
      </c>
      <c r="CM84" s="139">
        <v>6</v>
      </c>
      <c r="CN84" s="150">
        <v>7</v>
      </c>
      <c r="CO84" s="105">
        <v>48</v>
      </c>
      <c r="CP84" s="139">
        <v>2</v>
      </c>
      <c r="CQ84" s="317">
        <v>0</v>
      </c>
      <c r="CR84" s="105">
        <v>2</v>
      </c>
      <c r="CS84" s="18">
        <v>0</v>
      </c>
      <c r="CT84" s="317">
        <v>0</v>
      </c>
      <c r="CU84" s="105">
        <v>11</v>
      </c>
      <c r="CV84" s="18">
        <v>0</v>
      </c>
      <c r="CW84" s="317">
        <v>0</v>
      </c>
      <c r="CX84" s="105">
        <v>5</v>
      </c>
      <c r="CY84" s="18">
        <v>0</v>
      </c>
      <c r="CZ84" s="317">
        <v>0</v>
      </c>
      <c r="DA84" s="105">
        <v>7</v>
      </c>
      <c r="DB84" s="18">
        <v>0</v>
      </c>
      <c r="DC84" s="150">
        <v>2</v>
      </c>
      <c r="DD84" s="105">
        <v>7</v>
      </c>
      <c r="DE84" s="139">
        <v>1</v>
      </c>
      <c r="DF84" s="317">
        <v>0</v>
      </c>
      <c r="DG84" s="105">
        <v>51</v>
      </c>
      <c r="DH84" s="139">
        <v>1</v>
      </c>
      <c r="DI84" s="150">
        <v>2</v>
      </c>
      <c r="DJ84" s="105">
        <v>14</v>
      </c>
      <c r="DK84" s="18">
        <v>0</v>
      </c>
      <c r="DL84" s="317">
        <v>0</v>
      </c>
      <c r="DM84" s="105">
        <v>3</v>
      </c>
      <c r="DN84" s="18">
        <v>0</v>
      </c>
      <c r="DO84" s="317">
        <v>0</v>
      </c>
      <c r="DP84" s="105">
        <v>48</v>
      </c>
      <c r="DQ84" s="139">
        <v>2</v>
      </c>
      <c r="DR84" s="317">
        <v>0</v>
      </c>
      <c r="DS84" s="105">
        <v>4</v>
      </c>
      <c r="DT84" s="18">
        <v>0</v>
      </c>
      <c r="DU84" s="317">
        <v>0</v>
      </c>
      <c r="DV84" s="105">
        <v>41</v>
      </c>
      <c r="DW84" s="18">
        <v>0</v>
      </c>
      <c r="DX84" s="317">
        <v>0</v>
      </c>
      <c r="DY84" s="18">
        <v>0</v>
      </c>
      <c r="DZ84" s="18">
        <v>0</v>
      </c>
      <c r="EA84" s="317">
        <v>0</v>
      </c>
      <c r="EB84" s="18">
        <v>0</v>
      </c>
      <c r="EC84" s="18">
        <v>0</v>
      </c>
      <c r="ED84" s="317">
        <v>0</v>
      </c>
      <c r="EE84" s="105">
        <v>99</v>
      </c>
      <c r="EF84" s="18">
        <v>0</v>
      </c>
      <c r="EG84" s="150">
        <v>8</v>
      </c>
      <c r="EH84" s="105">
        <v>7</v>
      </c>
      <c r="EI84" s="18">
        <v>0</v>
      </c>
      <c r="EJ84" s="317">
        <v>0</v>
      </c>
      <c r="EK84" s="18">
        <v>0</v>
      </c>
      <c r="EL84" s="18">
        <v>0</v>
      </c>
      <c r="EM84" s="317">
        <v>0</v>
      </c>
      <c r="EN84" s="105">
        <v>1</v>
      </c>
      <c r="EO84" s="18">
        <v>0</v>
      </c>
      <c r="EP84" s="317">
        <v>0</v>
      </c>
      <c r="EQ84" s="105">
        <v>3</v>
      </c>
      <c r="ER84" s="139">
        <v>1</v>
      </c>
      <c r="ES84" s="317">
        <v>0</v>
      </c>
      <c r="ET84" s="18">
        <v>0</v>
      </c>
      <c r="EU84" s="18">
        <v>0</v>
      </c>
      <c r="EV84" s="317">
        <v>0</v>
      </c>
      <c r="EW84" s="105">
        <v>12</v>
      </c>
      <c r="EX84" s="18">
        <v>0</v>
      </c>
      <c r="EY84" s="317">
        <v>0</v>
      </c>
      <c r="EZ84" s="105">
        <v>3</v>
      </c>
      <c r="FA84" s="18">
        <v>0</v>
      </c>
      <c r="FB84" s="317">
        <v>0</v>
      </c>
      <c r="FC84" s="105">
        <v>23</v>
      </c>
      <c r="FD84" s="18">
        <v>0</v>
      </c>
      <c r="FE84" s="150">
        <v>1</v>
      </c>
      <c r="FF84" s="105">
        <v>173</v>
      </c>
      <c r="FG84" s="139">
        <v>5</v>
      </c>
      <c r="FH84" s="150">
        <v>2</v>
      </c>
      <c r="FI84" s="105">
        <v>12</v>
      </c>
      <c r="FJ84" s="18">
        <v>0</v>
      </c>
      <c r="FK84" s="317">
        <v>0</v>
      </c>
      <c r="FL84" s="105">
        <v>3</v>
      </c>
      <c r="FM84" s="139">
        <v>1</v>
      </c>
      <c r="FN84" s="317">
        <v>0</v>
      </c>
      <c r="FO84" s="649" t="s">
        <v>992</v>
      </c>
      <c r="FP84" s="531"/>
      <c r="FQ84" s="531"/>
      <c r="FR84" s="531"/>
      <c r="FS84" s="531"/>
      <c r="FT84" s="531"/>
      <c r="FU84" s="636" t="s">
        <v>993</v>
      </c>
      <c r="FV84" s="531"/>
      <c r="FW84" s="531"/>
      <c r="FX84" s="531"/>
      <c r="FY84" s="531"/>
      <c r="FZ84" s="531"/>
    </row>
    <row r="85" spans="1:182" ht="12.75">
      <c r="A85" s="93">
        <v>43916</v>
      </c>
      <c r="B85" s="14">
        <f t="shared" ref="B85:D85" si="80">SUM(F85,I85,L85,O85,U85,AA85,AD85,AG85,AJ85,AM85,AP85,AS85,AV85,AY85,BB85,BE85,BH85,BK85,BN85,BQ85,BT85,BW85,BZ85,CC85,CI85,CL85,CO85,CR85,CU85,CX85,DA85,DD85,DG85,DJ85,DM85,DP85,DS85,DV85,EE85,EH85,EN85,EQ85,EW85,EZ85,FC85,FF85,FI85,FL85)</f>
        <v>3376</v>
      </c>
      <c r="C85" s="34">
        <f t="shared" si="80"/>
        <v>90</v>
      </c>
      <c r="D85" s="73">
        <f t="shared" si="80"/>
        <v>184</v>
      </c>
      <c r="E85" s="350">
        <f t="shared" si="1"/>
        <v>3102</v>
      </c>
      <c r="F85" s="105">
        <v>927</v>
      </c>
      <c r="G85" s="18">
        <v>0</v>
      </c>
      <c r="H85" s="150">
        <v>12</v>
      </c>
      <c r="I85" s="105">
        <v>367</v>
      </c>
      <c r="J85" s="139">
        <v>25</v>
      </c>
      <c r="K85" s="150">
        <v>29</v>
      </c>
      <c r="L85" s="105">
        <v>4</v>
      </c>
      <c r="M85" s="18">
        <v>0</v>
      </c>
      <c r="N85" s="317">
        <v>0</v>
      </c>
      <c r="O85" s="105">
        <v>6</v>
      </c>
      <c r="P85" s="18">
        <v>0</v>
      </c>
      <c r="Q85" s="317">
        <v>0</v>
      </c>
      <c r="R85" s="18">
        <v>0</v>
      </c>
      <c r="S85" s="18">
        <v>0</v>
      </c>
      <c r="T85" s="317">
        <v>0</v>
      </c>
      <c r="U85" s="105">
        <v>152</v>
      </c>
      <c r="V85" s="139">
        <v>7</v>
      </c>
      <c r="W85" s="150">
        <v>10</v>
      </c>
      <c r="X85" s="18">
        <v>0</v>
      </c>
      <c r="Y85" s="18">
        <v>0</v>
      </c>
      <c r="Z85" s="317">
        <v>0</v>
      </c>
      <c r="AA85" s="105">
        <v>75</v>
      </c>
      <c r="AB85" s="139">
        <v>1</v>
      </c>
      <c r="AC85" s="150">
        <v>2</v>
      </c>
      <c r="AD85" s="105">
        <v>4</v>
      </c>
      <c r="AE85" s="139">
        <v>1</v>
      </c>
      <c r="AF85" s="317">
        <v>0</v>
      </c>
      <c r="AG85" s="105">
        <v>96</v>
      </c>
      <c r="AH85" s="18">
        <v>0</v>
      </c>
      <c r="AI85" s="150">
        <v>3</v>
      </c>
      <c r="AJ85" s="105">
        <v>11</v>
      </c>
      <c r="AK85" s="18">
        <v>0</v>
      </c>
      <c r="AL85" s="317">
        <v>0</v>
      </c>
      <c r="AM85" s="105">
        <v>495</v>
      </c>
      <c r="AN85" s="139">
        <v>24</v>
      </c>
      <c r="AO85" s="150">
        <v>102</v>
      </c>
      <c r="AP85" s="105">
        <v>6</v>
      </c>
      <c r="AQ85" s="18">
        <v>0</v>
      </c>
      <c r="AR85" s="317">
        <v>0</v>
      </c>
      <c r="AS85" s="105">
        <v>6</v>
      </c>
      <c r="AT85" s="18">
        <v>0</v>
      </c>
      <c r="AU85" s="317">
        <v>0</v>
      </c>
      <c r="AV85" s="105">
        <v>12</v>
      </c>
      <c r="AW85" s="18">
        <v>0</v>
      </c>
      <c r="AX85" s="317">
        <v>0</v>
      </c>
      <c r="AY85" s="105">
        <v>7</v>
      </c>
      <c r="AZ85" s="139">
        <v>1</v>
      </c>
      <c r="BA85" s="317">
        <v>0</v>
      </c>
      <c r="BB85" s="105">
        <v>3</v>
      </c>
      <c r="BC85" s="139">
        <v>1</v>
      </c>
      <c r="BD85" s="317">
        <v>0</v>
      </c>
      <c r="BE85" s="105">
        <v>132</v>
      </c>
      <c r="BF85" s="139">
        <v>4</v>
      </c>
      <c r="BG85" s="150">
        <v>1</v>
      </c>
      <c r="BH85" s="105">
        <v>4</v>
      </c>
      <c r="BI85" s="18">
        <v>0</v>
      </c>
      <c r="BJ85" s="317">
        <v>0</v>
      </c>
      <c r="BK85" s="105">
        <v>2</v>
      </c>
      <c r="BL85" s="18">
        <v>0</v>
      </c>
      <c r="BM85" s="317">
        <v>0</v>
      </c>
      <c r="BN85" s="105">
        <v>12</v>
      </c>
      <c r="BO85" s="18">
        <v>0</v>
      </c>
      <c r="BP85" s="317">
        <v>0</v>
      </c>
      <c r="BQ85" s="105">
        <v>31</v>
      </c>
      <c r="BR85" s="139">
        <v>1</v>
      </c>
      <c r="BS85" s="150">
        <v>1</v>
      </c>
      <c r="BT85" s="105">
        <v>47</v>
      </c>
      <c r="BU85" s="18">
        <v>0</v>
      </c>
      <c r="BV85" s="317">
        <v>0</v>
      </c>
      <c r="BW85" s="105">
        <v>3</v>
      </c>
      <c r="BX85" s="18">
        <v>0</v>
      </c>
      <c r="BY85" s="317">
        <v>0</v>
      </c>
      <c r="BZ85" s="105">
        <v>1</v>
      </c>
      <c r="CA85" s="18">
        <v>0</v>
      </c>
      <c r="CB85" s="317">
        <v>0</v>
      </c>
      <c r="CC85" s="105">
        <v>23</v>
      </c>
      <c r="CD85" s="18">
        <v>0</v>
      </c>
      <c r="CE85" s="317">
        <v>0</v>
      </c>
      <c r="CF85" s="18">
        <v>0</v>
      </c>
      <c r="CG85" s="18">
        <v>0</v>
      </c>
      <c r="CH85" s="317">
        <v>0</v>
      </c>
      <c r="CI85" s="105">
        <v>4</v>
      </c>
      <c r="CJ85" s="18">
        <v>0</v>
      </c>
      <c r="CK85" s="317">
        <v>0</v>
      </c>
      <c r="CL85" s="105">
        <v>275</v>
      </c>
      <c r="CM85" s="139">
        <v>10</v>
      </c>
      <c r="CN85" s="150">
        <v>8</v>
      </c>
      <c r="CO85" s="105">
        <v>81</v>
      </c>
      <c r="CP85" s="139">
        <v>2</v>
      </c>
      <c r="CQ85" s="317">
        <v>0</v>
      </c>
      <c r="CR85" s="105">
        <v>3</v>
      </c>
      <c r="CS85" s="18">
        <v>0</v>
      </c>
      <c r="CT85" s="317">
        <v>0</v>
      </c>
      <c r="CU85" s="105">
        <v>11</v>
      </c>
      <c r="CV85" s="18">
        <v>0</v>
      </c>
      <c r="CW85" s="317">
        <v>0</v>
      </c>
      <c r="CX85" s="105">
        <v>7</v>
      </c>
      <c r="CY85" s="18">
        <v>0</v>
      </c>
      <c r="CZ85" s="317">
        <v>0</v>
      </c>
      <c r="DA85" s="105">
        <v>8</v>
      </c>
      <c r="DB85" s="18">
        <v>0</v>
      </c>
      <c r="DC85" s="150">
        <v>2</v>
      </c>
      <c r="DD85" s="105">
        <v>7</v>
      </c>
      <c r="DE85" s="139">
        <v>1</v>
      </c>
      <c r="DF85" s="317">
        <v>0</v>
      </c>
      <c r="DG85" s="105">
        <v>65</v>
      </c>
      <c r="DH85" s="139">
        <v>1</v>
      </c>
      <c r="DI85" s="150">
        <v>2</v>
      </c>
      <c r="DJ85" s="105">
        <v>14</v>
      </c>
      <c r="DK85" s="18">
        <v>0</v>
      </c>
      <c r="DL85" s="317">
        <v>0</v>
      </c>
      <c r="DM85" s="105">
        <v>3</v>
      </c>
      <c r="DN85" s="18">
        <v>0</v>
      </c>
      <c r="DO85" s="317">
        <v>0</v>
      </c>
      <c r="DP85" s="105">
        <v>51</v>
      </c>
      <c r="DQ85" s="139">
        <v>3</v>
      </c>
      <c r="DR85" s="317">
        <v>0</v>
      </c>
      <c r="DS85" s="105">
        <v>4</v>
      </c>
      <c r="DT85" s="18">
        <v>0</v>
      </c>
      <c r="DU85" s="317">
        <v>0</v>
      </c>
      <c r="DV85" s="105">
        <v>41</v>
      </c>
      <c r="DW85" s="18">
        <v>0</v>
      </c>
      <c r="DX85" s="317">
        <v>0</v>
      </c>
      <c r="DY85" s="18">
        <v>0</v>
      </c>
      <c r="DZ85" s="18">
        <v>0</v>
      </c>
      <c r="EA85" s="317">
        <v>0</v>
      </c>
      <c r="EB85" s="18">
        <v>0</v>
      </c>
      <c r="EC85" s="18">
        <v>0</v>
      </c>
      <c r="ED85" s="317">
        <v>0</v>
      </c>
      <c r="EE85" s="105">
        <v>105</v>
      </c>
      <c r="EF85" s="18">
        <v>0</v>
      </c>
      <c r="EG85" s="150">
        <v>9</v>
      </c>
      <c r="EH85" s="105">
        <v>7</v>
      </c>
      <c r="EI85" s="18">
        <v>0</v>
      </c>
      <c r="EJ85" s="317">
        <v>0</v>
      </c>
      <c r="EK85" s="18">
        <v>0</v>
      </c>
      <c r="EL85" s="18">
        <v>0</v>
      </c>
      <c r="EM85" s="317">
        <v>0</v>
      </c>
      <c r="EN85" s="105">
        <v>2</v>
      </c>
      <c r="EO85" s="18">
        <v>0</v>
      </c>
      <c r="EP85" s="317">
        <v>0</v>
      </c>
      <c r="EQ85" s="105">
        <v>3</v>
      </c>
      <c r="ER85" s="139">
        <v>1</v>
      </c>
      <c r="ES85" s="317">
        <v>0</v>
      </c>
      <c r="ET85" s="18">
        <v>0</v>
      </c>
      <c r="EU85" s="18">
        <v>0</v>
      </c>
      <c r="EV85" s="317">
        <v>0</v>
      </c>
      <c r="EW85" s="105">
        <v>13</v>
      </c>
      <c r="EX85" s="18">
        <v>0</v>
      </c>
      <c r="EY85" s="317">
        <v>0</v>
      </c>
      <c r="EZ85" s="105">
        <v>3</v>
      </c>
      <c r="FA85" s="18">
        <v>0</v>
      </c>
      <c r="FB85" s="317">
        <v>0</v>
      </c>
      <c r="FC85" s="105">
        <v>24</v>
      </c>
      <c r="FD85" s="18">
        <v>0</v>
      </c>
      <c r="FE85" s="150">
        <v>1</v>
      </c>
      <c r="FF85" s="105">
        <v>200</v>
      </c>
      <c r="FG85" s="139">
        <v>6</v>
      </c>
      <c r="FH85" s="150">
        <v>2</v>
      </c>
      <c r="FI85" s="105">
        <v>16</v>
      </c>
      <c r="FJ85" s="18">
        <v>0</v>
      </c>
      <c r="FK85" s="317">
        <v>0</v>
      </c>
      <c r="FL85" s="105">
        <v>3</v>
      </c>
      <c r="FM85" s="139">
        <v>1</v>
      </c>
      <c r="FN85" s="317">
        <v>0</v>
      </c>
      <c r="FO85" s="649" t="s">
        <v>997</v>
      </c>
      <c r="FP85" s="531"/>
      <c r="FQ85" s="531"/>
      <c r="FR85" s="531"/>
      <c r="FS85" s="531"/>
      <c r="FT85" s="531"/>
      <c r="FU85" s="645" t="s">
        <v>998</v>
      </c>
      <c r="FV85" s="531"/>
      <c r="FW85" s="531"/>
      <c r="FX85" s="531"/>
      <c r="FY85" s="531"/>
      <c r="FZ85" s="531"/>
    </row>
    <row r="86" spans="1:182" ht="12.75">
      <c r="A86" s="93">
        <v>43917</v>
      </c>
      <c r="B86" s="14">
        <f t="shared" ref="B86:D86" si="81">SUM(F86,I86,L86,O86,U86,AA86,AD86,AG86,AJ86,AM86,AP86,AS86,AV86,AY86,BB86,BE86,BH86,BK86,BN86,BQ86,BT86,BW86,BZ86,CC86,CI86,CL86,CO86,CR86,CU86,CX86,DA86,DD86,DG86,DJ86,DM86,DP86,DS86,DV86,EE86,EH86,EN86,EQ86,EW86,EZ86,FC86,FF86,FI86,FL86)</f>
        <v>3943</v>
      </c>
      <c r="C86" s="34">
        <f t="shared" si="81"/>
        <v>114</v>
      </c>
      <c r="D86" s="73">
        <f t="shared" si="81"/>
        <v>208</v>
      </c>
      <c r="E86" s="350">
        <f t="shared" si="1"/>
        <v>3621</v>
      </c>
      <c r="F86" s="105">
        <v>1170</v>
      </c>
      <c r="G86" s="139">
        <v>1</v>
      </c>
      <c r="H86" s="150">
        <v>12</v>
      </c>
      <c r="I86" s="105">
        <v>409</v>
      </c>
      <c r="J86" s="139">
        <v>26</v>
      </c>
      <c r="K86" s="150">
        <v>29</v>
      </c>
      <c r="L86" s="105">
        <v>4</v>
      </c>
      <c r="M86" s="18">
        <v>0</v>
      </c>
      <c r="N86" s="317">
        <v>0</v>
      </c>
      <c r="O86" s="105">
        <v>6</v>
      </c>
      <c r="P86" s="18">
        <v>0</v>
      </c>
      <c r="Q86" s="317">
        <v>0</v>
      </c>
      <c r="R86" s="18">
        <v>0</v>
      </c>
      <c r="S86" s="18">
        <v>0</v>
      </c>
      <c r="T86" s="317">
        <v>0</v>
      </c>
      <c r="U86" s="105">
        <v>180</v>
      </c>
      <c r="V86" s="139">
        <v>9</v>
      </c>
      <c r="W86" s="150">
        <v>10</v>
      </c>
      <c r="X86" s="18">
        <v>0</v>
      </c>
      <c r="Y86" s="18">
        <v>0</v>
      </c>
      <c r="Z86" s="317">
        <v>0</v>
      </c>
      <c r="AA86" s="105">
        <v>91</v>
      </c>
      <c r="AB86" s="139">
        <v>2</v>
      </c>
      <c r="AC86" s="150">
        <v>2</v>
      </c>
      <c r="AD86" s="105">
        <v>5</v>
      </c>
      <c r="AE86" s="139">
        <v>1</v>
      </c>
      <c r="AF86" s="317">
        <v>0</v>
      </c>
      <c r="AG86" s="105">
        <v>101</v>
      </c>
      <c r="AH86" s="18">
        <v>0</v>
      </c>
      <c r="AI86" s="150">
        <v>3</v>
      </c>
      <c r="AJ86" s="105">
        <v>12</v>
      </c>
      <c r="AK86" s="18">
        <v>0</v>
      </c>
      <c r="AL86" s="317">
        <v>0</v>
      </c>
      <c r="AM86" s="105">
        <v>536</v>
      </c>
      <c r="AN86" s="139">
        <v>30</v>
      </c>
      <c r="AO86" s="150">
        <v>116</v>
      </c>
      <c r="AP86" s="105">
        <v>6</v>
      </c>
      <c r="AQ86" s="18">
        <v>0</v>
      </c>
      <c r="AR86" s="317">
        <v>0</v>
      </c>
      <c r="AS86" s="105">
        <v>9</v>
      </c>
      <c r="AT86" s="18">
        <v>0</v>
      </c>
      <c r="AU86" s="317">
        <v>0</v>
      </c>
      <c r="AV86" s="105">
        <v>16</v>
      </c>
      <c r="AW86" s="18">
        <v>0</v>
      </c>
      <c r="AX86" s="317">
        <v>0</v>
      </c>
      <c r="AY86" s="105">
        <v>7</v>
      </c>
      <c r="AZ86" s="139">
        <v>1</v>
      </c>
      <c r="BA86" s="317">
        <v>0</v>
      </c>
      <c r="BB86" s="105">
        <v>3</v>
      </c>
      <c r="BC86" s="139">
        <v>1</v>
      </c>
      <c r="BD86" s="317">
        <v>0</v>
      </c>
      <c r="BE86" s="105">
        <v>137</v>
      </c>
      <c r="BF86" s="139">
        <v>4</v>
      </c>
      <c r="BG86" s="150">
        <v>2</v>
      </c>
      <c r="BH86" s="105">
        <v>8</v>
      </c>
      <c r="BI86" s="18">
        <v>0</v>
      </c>
      <c r="BJ86" s="317">
        <v>0</v>
      </c>
      <c r="BK86" s="105">
        <v>2</v>
      </c>
      <c r="BL86" s="18">
        <v>0</v>
      </c>
      <c r="BM86" s="317">
        <v>0</v>
      </c>
      <c r="BN86" s="105">
        <v>12</v>
      </c>
      <c r="BO86" s="18">
        <v>0</v>
      </c>
      <c r="BP86" s="317">
        <v>0</v>
      </c>
      <c r="BQ86" s="105">
        <v>31</v>
      </c>
      <c r="BR86" s="139">
        <v>1</v>
      </c>
      <c r="BS86" s="150">
        <v>1</v>
      </c>
      <c r="BT86" s="105">
        <v>47</v>
      </c>
      <c r="BU86" s="18">
        <v>0</v>
      </c>
      <c r="BV86" s="317">
        <v>0</v>
      </c>
      <c r="BW86" s="105">
        <v>3</v>
      </c>
      <c r="BX86" s="18">
        <v>0</v>
      </c>
      <c r="BY86" s="317">
        <v>0</v>
      </c>
      <c r="BZ86" s="105">
        <v>1</v>
      </c>
      <c r="CA86" s="18">
        <v>0</v>
      </c>
      <c r="CB86" s="317">
        <v>0</v>
      </c>
      <c r="CC86" s="105">
        <v>26</v>
      </c>
      <c r="CD86" s="18">
        <v>0</v>
      </c>
      <c r="CE86" s="317">
        <v>0</v>
      </c>
      <c r="CF86" s="18">
        <v>0</v>
      </c>
      <c r="CG86" s="18">
        <v>0</v>
      </c>
      <c r="CH86" s="317">
        <v>0</v>
      </c>
      <c r="CI86" s="105">
        <v>11</v>
      </c>
      <c r="CJ86" s="18">
        <v>0</v>
      </c>
      <c r="CK86" s="317">
        <v>0</v>
      </c>
      <c r="CL86" s="105">
        <v>345</v>
      </c>
      <c r="CM86" s="139">
        <v>23</v>
      </c>
      <c r="CN86" s="150">
        <v>11</v>
      </c>
      <c r="CO86" s="105">
        <v>94</v>
      </c>
      <c r="CP86" s="139">
        <v>2</v>
      </c>
      <c r="CQ86" s="317">
        <v>0</v>
      </c>
      <c r="CR86" s="105">
        <v>3</v>
      </c>
      <c r="CS86" s="18">
        <v>0</v>
      </c>
      <c r="CT86" s="317">
        <v>0</v>
      </c>
      <c r="CU86" s="105">
        <v>11</v>
      </c>
      <c r="CV86" s="18">
        <v>0</v>
      </c>
      <c r="CW86" s="317">
        <v>0</v>
      </c>
      <c r="CX86" s="105">
        <v>7</v>
      </c>
      <c r="CY86" s="18">
        <v>0</v>
      </c>
      <c r="CZ86" s="317">
        <v>0</v>
      </c>
      <c r="DA86" s="105">
        <v>8</v>
      </c>
      <c r="DB86" s="18">
        <v>0</v>
      </c>
      <c r="DC86" s="150">
        <v>2</v>
      </c>
      <c r="DD86" s="105">
        <v>10</v>
      </c>
      <c r="DE86" s="139">
        <v>1</v>
      </c>
      <c r="DF86" s="317">
        <v>0</v>
      </c>
      <c r="DG86" s="105">
        <v>70</v>
      </c>
      <c r="DH86" s="139">
        <v>1</v>
      </c>
      <c r="DI86" s="150">
        <v>3</v>
      </c>
      <c r="DJ86" s="105">
        <v>23</v>
      </c>
      <c r="DK86" s="18">
        <v>0</v>
      </c>
      <c r="DL86" s="317">
        <v>0</v>
      </c>
      <c r="DM86" s="105">
        <v>3</v>
      </c>
      <c r="DN86" s="18">
        <v>0</v>
      </c>
      <c r="DO86" s="317">
        <v>0</v>
      </c>
      <c r="DP86" s="105">
        <v>51</v>
      </c>
      <c r="DQ86" s="139">
        <v>3</v>
      </c>
      <c r="DR86" s="150">
        <v>2</v>
      </c>
      <c r="DS86" s="105">
        <v>4</v>
      </c>
      <c r="DT86" s="18">
        <v>0</v>
      </c>
      <c r="DU86" s="317">
        <v>0</v>
      </c>
      <c r="DV86" s="105">
        <v>54</v>
      </c>
      <c r="DW86" s="18">
        <v>0</v>
      </c>
      <c r="DX86" s="317">
        <v>0</v>
      </c>
      <c r="DY86" s="18">
        <v>0</v>
      </c>
      <c r="DZ86" s="18">
        <v>0</v>
      </c>
      <c r="EA86" s="317">
        <v>0</v>
      </c>
      <c r="EB86" s="18">
        <v>0</v>
      </c>
      <c r="EC86" s="18">
        <v>0</v>
      </c>
      <c r="ED86" s="317">
        <v>0</v>
      </c>
      <c r="EE86" s="105">
        <v>119</v>
      </c>
      <c r="EF86" s="18">
        <v>0</v>
      </c>
      <c r="EG86" s="150">
        <v>11</v>
      </c>
      <c r="EH86" s="105">
        <v>7</v>
      </c>
      <c r="EI86" s="18">
        <v>0</v>
      </c>
      <c r="EJ86" s="317">
        <v>0</v>
      </c>
      <c r="EK86" s="18">
        <v>0</v>
      </c>
      <c r="EL86" s="18">
        <v>0</v>
      </c>
      <c r="EM86" s="317">
        <v>0</v>
      </c>
      <c r="EN86" s="105">
        <v>3</v>
      </c>
      <c r="EO86" s="18">
        <v>0</v>
      </c>
      <c r="EP86" s="317">
        <v>0</v>
      </c>
      <c r="EQ86" s="105">
        <v>3</v>
      </c>
      <c r="ER86" s="139">
        <v>1</v>
      </c>
      <c r="ES86" s="317">
        <v>0</v>
      </c>
      <c r="ET86" s="18">
        <v>0</v>
      </c>
      <c r="EU86" s="18">
        <v>0</v>
      </c>
      <c r="EV86" s="317">
        <v>0</v>
      </c>
      <c r="EW86" s="105">
        <v>13</v>
      </c>
      <c r="EX86" s="18">
        <v>0</v>
      </c>
      <c r="EY86" s="150">
        <v>1</v>
      </c>
      <c r="EZ86" s="105">
        <v>3</v>
      </c>
      <c r="FA86" s="18">
        <v>0</v>
      </c>
      <c r="FB86" s="317">
        <v>0</v>
      </c>
      <c r="FC86" s="105">
        <v>25</v>
      </c>
      <c r="FD86" s="18">
        <v>0</v>
      </c>
      <c r="FE86" s="150">
        <v>1</v>
      </c>
      <c r="FF86" s="105">
        <v>227</v>
      </c>
      <c r="FG86" s="139">
        <v>6</v>
      </c>
      <c r="FH86" s="150">
        <v>2</v>
      </c>
      <c r="FI86" s="105">
        <v>22</v>
      </c>
      <c r="FJ86" s="18">
        <v>0</v>
      </c>
      <c r="FK86" s="317">
        <v>0</v>
      </c>
      <c r="FL86" s="105">
        <v>5</v>
      </c>
      <c r="FM86" s="139">
        <v>1</v>
      </c>
      <c r="FN86" s="317">
        <v>0</v>
      </c>
      <c r="FO86" s="649" t="s">
        <v>1003</v>
      </c>
      <c r="FP86" s="531"/>
      <c r="FQ86" s="531"/>
      <c r="FR86" s="531"/>
      <c r="FS86" s="531"/>
      <c r="FT86" s="531"/>
      <c r="FU86" s="645" t="s">
        <v>1004</v>
      </c>
      <c r="FV86" s="531"/>
      <c r="FW86" s="531"/>
      <c r="FX86" s="531"/>
      <c r="FY86" s="531"/>
      <c r="FZ86" s="531"/>
    </row>
    <row r="87" spans="1:182" ht="12.75">
      <c r="A87" s="93">
        <v>43918</v>
      </c>
      <c r="B87" s="14">
        <f t="shared" ref="B87:D87" si="82">SUM(F87,I87,L87,O87,U87,AA87,AD87,AG87,AJ87,AM87,AP87,AS87,AV87,AY87,BB87,BE87,BH87,BK87,BN87,BQ87,BT87,BW87,BZ87,CC87,CI87,CL87,CO87,CR87,CU87,CX87,DA87,DD87,DG87,DJ87,DM87,DP87,DS87,DV87,EE87,EH87,EN87,EQ87,EW87,EZ87,FC87,FF87,FI87,FL87)</f>
        <v>4248</v>
      </c>
      <c r="C87" s="34">
        <f t="shared" si="82"/>
        <v>134</v>
      </c>
      <c r="D87" s="73">
        <f t="shared" si="82"/>
        <v>253</v>
      </c>
      <c r="E87" s="350">
        <f t="shared" si="1"/>
        <v>3861</v>
      </c>
      <c r="F87" s="105">
        <v>1187</v>
      </c>
      <c r="G87" s="139">
        <v>1</v>
      </c>
      <c r="H87" s="150">
        <v>31</v>
      </c>
      <c r="I87" s="105">
        <v>454</v>
      </c>
      <c r="J87" s="139">
        <v>29</v>
      </c>
      <c r="K87" s="150">
        <v>31</v>
      </c>
      <c r="L87" s="105">
        <v>5</v>
      </c>
      <c r="M87" s="18">
        <v>0</v>
      </c>
      <c r="N87" s="317">
        <v>0</v>
      </c>
      <c r="O87" s="105">
        <v>6</v>
      </c>
      <c r="P87" s="18">
        <v>0</v>
      </c>
      <c r="Q87" s="317">
        <v>0</v>
      </c>
      <c r="R87" s="18">
        <v>0</v>
      </c>
      <c r="S87" s="18">
        <v>0</v>
      </c>
      <c r="T87" s="317">
        <v>0</v>
      </c>
      <c r="U87" s="105">
        <v>207</v>
      </c>
      <c r="V87" s="139">
        <v>11</v>
      </c>
      <c r="W87" s="150">
        <v>21</v>
      </c>
      <c r="X87" s="18">
        <v>0</v>
      </c>
      <c r="Y87" s="18">
        <v>0</v>
      </c>
      <c r="Z87" s="317">
        <v>0</v>
      </c>
      <c r="AA87" s="105">
        <v>91</v>
      </c>
      <c r="AB87" s="139">
        <v>2</v>
      </c>
      <c r="AC87" s="150">
        <v>2</v>
      </c>
      <c r="AD87" s="105">
        <v>5</v>
      </c>
      <c r="AE87" s="139">
        <v>1</v>
      </c>
      <c r="AF87" s="317">
        <v>0</v>
      </c>
      <c r="AG87" s="105">
        <v>101</v>
      </c>
      <c r="AH87" s="18">
        <v>0</v>
      </c>
      <c r="AI87" s="150">
        <v>3</v>
      </c>
      <c r="AJ87" s="105">
        <v>12</v>
      </c>
      <c r="AK87" s="18">
        <v>0</v>
      </c>
      <c r="AL87" s="317">
        <v>0</v>
      </c>
      <c r="AM87" s="105">
        <v>576</v>
      </c>
      <c r="AN87" s="139">
        <v>36</v>
      </c>
      <c r="AO87" s="150">
        <v>121</v>
      </c>
      <c r="AP87" s="105">
        <v>6</v>
      </c>
      <c r="AQ87" s="18">
        <v>0</v>
      </c>
      <c r="AR87" s="317">
        <v>0</v>
      </c>
      <c r="AS87" s="105">
        <v>9</v>
      </c>
      <c r="AT87" s="18">
        <v>0</v>
      </c>
      <c r="AU87" s="317">
        <v>0</v>
      </c>
      <c r="AV87" s="105">
        <v>16</v>
      </c>
      <c r="AW87" s="18">
        <v>0</v>
      </c>
      <c r="AX87" s="150">
        <v>1</v>
      </c>
      <c r="AY87" s="105">
        <v>7</v>
      </c>
      <c r="AZ87" s="139">
        <v>1</v>
      </c>
      <c r="BA87" s="317">
        <v>0</v>
      </c>
      <c r="BB87" s="105">
        <v>3</v>
      </c>
      <c r="BC87" s="139">
        <v>1</v>
      </c>
      <c r="BD87" s="317">
        <v>0</v>
      </c>
      <c r="BE87" s="105">
        <v>141</v>
      </c>
      <c r="BF87" s="139">
        <v>5</v>
      </c>
      <c r="BG87" s="150">
        <v>2</v>
      </c>
      <c r="BH87" s="105">
        <v>8</v>
      </c>
      <c r="BI87" s="18">
        <v>0</v>
      </c>
      <c r="BJ87" s="317">
        <v>0</v>
      </c>
      <c r="BK87" s="105">
        <v>2</v>
      </c>
      <c r="BL87" s="18">
        <v>0</v>
      </c>
      <c r="BM87" s="317">
        <v>0</v>
      </c>
      <c r="BN87" s="105">
        <v>12</v>
      </c>
      <c r="BO87" s="18">
        <v>0</v>
      </c>
      <c r="BP87" s="317">
        <v>0</v>
      </c>
      <c r="BQ87" s="105">
        <v>38</v>
      </c>
      <c r="BR87" s="139">
        <v>1</v>
      </c>
      <c r="BS87" s="150">
        <v>1</v>
      </c>
      <c r="BT87" s="105">
        <v>47</v>
      </c>
      <c r="BU87" s="18">
        <v>0</v>
      </c>
      <c r="BV87" s="317">
        <v>0</v>
      </c>
      <c r="BW87" s="105">
        <v>3</v>
      </c>
      <c r="BX87" s="18">
        <v>0</v>
      </c>
      <c r="BY87" s="317">
        <v>0</v>
      </c>
      <c r="BZ87" s="105">
        <v>3</v>
      </c>
      <c r="CA87" s="18">
        <v>0</v>
      </c>
      <c r="CB87" s="317">
        <v>0</v>
      </c>
      <c r="CC87" s="105">
        <v>26</v>
      </c>
      <c r="CD87" s="18">
        <v>0</v>
      </c>
      <c r="CE87" s="317">
        <v>0</v>
      </c>
      <c r="CF87" s="18">
        <v>0</v>
      </c>
      <c r="CG87" s="18">
        <v>0</v>
      </c>
      <c r="CH87" s="317">
        <v>0</v>
      </c>
      <c r="CI87" s="105">
        <v>18</v>
      </c>
      <c r="CJ87" s="18">
        <v>0</v>
      </c>
      <c r="CK87" s="317">
        <v>0</v>
      </c>
      <c r="CL87" s="105">
        <v>390</v>
      </c>
      <c r="CM87" s="139">
        <v>25</v>
      </c>
      <c r="CN87" s="150">
        <v>11</v>
      </c>
      <c r="CO87" s="105">
        <v>102</v>
      </c>
      <c r="CP87" s="139">
        <v>2</v>
      </c>
      <c r="CQ87" s="317">
        <v>0</v>
      </c>
      <c r="CR87" s="105">
        <v>5</v>
      </c>
      <c r="CS87" s="18">
        <v>0</v>
      </c>
      <c r="CT87" s="317">
        <v>0</v>
      </c>
      <c r="CU87" s="105">
        <v>11</v>
      </c>
      <c r="CV87" s="18">
        <v>0</v>
      </c>
      <c r="CW87" s="317">
        <v>0</v>
      </c>
      <c r="CX87" s="105">
        <v>8</v>
      </c>
      <c r="CY87" s="18">
        <v>0</v>
      </c>
      <c r="CZ87" s="317">
        <v>0</v>
      </c>
      <c r="DA87" s="105">
        <v>8</v>
      </c>
      <c r="DB87" s="18">
        <v>0</v>
      </c>
      <c r="DC87" s="150">
        <v>2</v>
      </c>
      <c r="DD87" s="105">
        <v>10</v>
      </c>
      <c r="DE87" s="139">
        <v>1</v>
      </c>
      <c r="DF87" s="317">
        <v>0</v>
      </c>
      <c r="DG87" s="105">
        <v>89</v>
      </c>
      <c r="DH87" s="139">
        <v>1</v>
      </c>
      <c r="DI87" s="150">
        <v>3</v>
      </c>
      <c r="DJ87" s="105">
        <v>30</v>
      </c>
      <c r="DK87" s="18">
        <v>0</v>
      </c>
      <c r="DL87" s="317">
        <v>0</v>
      </c>
      <c r="DM87" s="105">
        <v>3</v>
      </c>
      <c r="DN87" s="18">
        <v>0</v>
      </c>
      <c r="DO87" s="317">
        <v>0</v>
      </c>
      <c r="DP87" s="105">
        <v>65</v>
      </c>
      <c r="DQ87" s="139">
        <v>6</v>
      </c>
      <c r="DR87" s="150">
        <v>2</v>
      </c>
      <c r="DS87" s="105">
        <v>4</v>
      </c>
      <c r="DT87" s="18">
        <v>0</v>
      </c>
      <c r="DU87" s="317">
        <v>0</v>
      </c>
      <c r="DV87" s="105">
        <v>60</v>
      </c>
      <c r="DW87" s="18">
        <v>0</v>
      </c>
      <c r="DX87" s="317">
        <v>0</v>
      </c>
      <c r="DY87" s="18">
        <v>0</v>
      </c>
      <c r="DZ87" s="18">
        <v>0</v>
      </c>
      <c r="EA87" s="317">
        <v>0</v>
      </c>
      <c r="EB87" s="18">
        <v>0</v>
      </c>
      <c r="EC87" s="18">
        <v>0</v>
      </c>
      <c r="ED87" s="317">
        <v>0</v>
      </c>
      <c r="EE87" s="105">
        <v>130</v>
      </c>
      <c r="EF87" s="18">
        <v>0</v>
      </c>
      <c r="EG87" s="150">
        <v>18</v>
      </c>
      <c r="EH87" s="105">
        <v>8</v>
      </c>
      <c r="EI87" s="18">
        <v>0</v>
      </c>
      <c r="EJ87" s="317">
        <v>0</v>
      </c>
      <c r="EK87" s="18">
        <v>0</v>
      </c>
      <c r="EL87" s="18">
        <v>0</v>
      </c>
      <c r="EM87" s="317">
        <v>0</v>
      </c>
      <c r="EN87" s="105">
        <v>3</v>
      </c>
      <c r="EO87" s="18">
        <v>0</v>
      </c>
      <c r="EP87" s="317">
        <v>0</v>
      </c>
      <c r="EQ87" s="105">
        <v>5</v>
      </c>
      <c r="ER87" s="139">
        <v>1</v>
      </c>
      <c r="ES87" s="317">
        <v>0</v>
      </c>
      <c r="ET87" s="18">
        <v>0</v>
      </c>
      <c r="EU87" s="18">
        <v>0</v>
      </c>
      <c r="EV87" s="317">
        <v>0</v>
      </c>
      <c r="EW87" s="105">
        <v>14</v>
      </c>
      <c r="EX87" s="18">
        <v>0</v>
      </c>
      <c r="EY87" s="150">
        <v>1</v>
      </c>
      <c r="EZ87" s="105">
        <v>3</v>
      </c>
      <c r="FA87" s="18">
        <v>0</v>
      </c>
      <c r="FB87" s="317">
        <v>0</v>
      </c>
      <c r="FC87" s="105">
        <v>25</v>
      </c>
      <c r="FD87" s="139">
        <v>1</v>
      </c>
      <c r="FE87" s="150">
        <v>1</v>
      </c>
      <c r="FF87" s="105">
        <v>257</v>
      </c>
      <c r="FG87" s="139">
        <v>8</v>
      </c>
      <c r="FH87" s="150">
        <v>2</v>
      </c>
      <c r="FI87" s="105">
        <v>28</v>
      </c>
      <c r="FJ87" s="18">
        <v>0</v>
      </c>
      <c r="FK87" s="317">
        <v>0</v>
      </c>
      <c r="FL87" s="105">
        <v>7</v>
      </c>
      <c r="FM87" s="139">
        <v>1</v>
      </c>
      <c r="FN87" s="317">
        <v>0</v>
      </c>
      <c r="FO87" s="649" t="s">
        <v>1009</v>
      </c>
      <c r="FP87" s="531"/>
      <c r="FQ87" s="531"/>
      <c r="FR87" s="531"/>
      <c r="FS87" s="531"/>
      <c r="FT87" s="531"/>
      <c r="FU87" s="645" t="s">
        <v>1010</v>
      </c>
      <c r="FV87" s="531"/>
      <c r="FW87" s="531"/>
      <c r="FX87" s="531"/>
      <c r="FY87" s="531"/>
      <c r="FZ87" s="531"/>
    </row>
    <row r="88" spans="1:182" ht="12.75">
      <c r="A88" s="93">
        <v>43919</v>
      </c>
      <c r="B88" s="14">
        <f t="shared" ref="B88:D88" si="83">SUM(F88,I88,L88,O88,U88,AA88,AD88,AG88,AJ88,AM88,AP88,AS88,AV88,AY88,BB88,BE88,BH88,BK88,BN88,BQ88,BT88,BW88,BZ88,CC88,CI88,CL88,CO88,CR88,CU88,CX88,DA88,DD88,DG88,DJ88,DM88,DP88,DS88,DV88,EE88,EH88,EN88,EQ88,EW88,EZ88,FC88,FF88,FI88,FL88)</f>
        <v>4731</v>
      </c>
      <c r="C88" s="34">
        <f t="shared" si="83"/>
        <v>145</v>
      </c>
      <c r="D88" s="73">
        <f t="shared" si="83"/>
        <v>277</v>
      </c>
      <c r="E88" s="350">
        <f t="shared" si="1"/>
        <v>4309</v>
      </c>
      <c r="F88" s="105">
        <v>1280</v>
      </c>
      <c r="G88" s="139">
        <v>2</v>
      </c>
      <c r="H88" s="150">
        <v>31</v>
      </c>
      <c r="I88" s="105">
        <v>511</v>
      </c>
      <c r="J88" s="139">
        <v>31</v>
      </c>
      <c r="K88" s="150">
        <v>31</v>
      </c>
      <c r="L88" s="105">
        <v>7</v>
      </c>
      <c r="M88" s="18">
        <v>0</v>
      </c>
      <c r="N88" s="317">
        <v>0</v>
      </c>
      <c r="O88" s="105">
        <v>6</v>
      </c>
      <c r="P88" s="18">
        <v>0</v>
      </c>
      <c r="Q88" s="317">
        <v>0</v>
      </c>
      <c r="R88" s="18">
        <v>0</v>
      </c>
      <c r="S88" s="18">
        <v>0</v>
      </c>
      <c r="T88" s="317">
        <v>0</v>
      </c>
      <c r="U88" s="105">
        <v>222</v>
      </c>
      <c r="V88" s="139">
        <v>12</v>
      </c>
      <c r="W88" s="150">
        <v>23</v>
      </c>
      <c r="X88" s="18">
        <v>0</v>
      </c>
      <c r="Y88" s="18">
        <v>0</v>
      </c>
      <c r="Z88" s="317">
        <v>0</v>
      </c>
      <c r="AA88" s="105">
        <v>91</v>
      </c>
      <c r="AB88" s="139">
        <v>2</v>
      </c>
      <c r="AC88" s="150">
        <v>2</v>
      </c>
      <c r="AD88" s="105">
        <v>6</v>
      </c>
      <c r="AE88" s="139">
        <v>1</v>
      </c>
      <c r="AF88" s="317">
        <v>0</v>
      </c>
      <c r="AG88" s="105">
        <v>140</v>
      </c>
      <c r="AH88" s="139">
        <v>1</v>
      </c>
      <c r="AI88" s="150">
        <v>3</v>
      </c>
      <c r="AJ88" s="105">
        <v>18</v>
      </c>
      <c r="AK88" s="18">
        <v>0</v>
      </c>
      <c r="AL88" s="317">
        <v>0</v>
      </c>
      <c r="AM88" s="105">
        <v>609</v>
      </c>
      <c r="AN88" s="139">
        <v>40</v>
      </c>
      <c r="AO88" s="150">
        <v>132</v>
      </c>
      <c r="AP88" s="105">
        <v>12</v>
      </c>
      <c r="AQ88" s="18">
        <v>0</v>
      </c>
      <c r="AR88" s="317">
        <v>0</v>
      </c>
      <c r="AS88" s="105">
        <v>9</v>
      </c>
      <c r="AT88" s="18">
        <v>0</v>
      </c>
      <c r="AU88" s="317">
        <v>0</v>
      </c>
      <c r="AV88" s="105">
        <v>21</v>
      </c>
      <c r="AW88" s="18">
        <v>0</v>
      </c>
      <c r="AX88" s="150">
        <v>1</v>
      </c>
      <c r="AY88" s="105">
        <v>7</v>
      </c>
      <c r="AZ88" s="139">
        <v>1</v>
      </c>
      <c r="BA88" s="317">
        <v>0</v>
      </c>
      <c r="BB88" s="105">
        <v>4</v>
      </c>
      <c r="BC88" s="139">
        <v>1</v>
      </c>
      <c r="BD88" s="317">
        <v>0</v>
      </c>
      <c r="BE88" s="105">
        <v>152</v>
      </c>
      <c r="BF88" s="139">
        <v>5</v>
      </c>
      <c r="BG88" s="150">
        <v>2</v>
      </c>
      <c r="BH88" s="105">
        <v>16</v>
      </c>
      <c r="BI88" s="18">
        <v>0</v>
      </c>
      <c r="BJ88" s="317">
        <v>0</v>
      </c>
      <c r="BK88" s="105">
        <v>2</v>
      </c>
      <c r="BL88" s="18">
        <v>0</v>
      </c>
      <c r="BM88" s="317">
        <v>0</v>
      </c>
      <c r="BN88" s="105">
        <v>12</v>
      </c>
      <c r="BO88" s="18">
        <v>0</v>
      </c>
      <c r="BP88" s="317">
        <v>0</v>
      </c>
      <c r="BQ88" s="105">
        <v>42</v>
      </c>
      <c r="BR88" s="139">
        <v>1</v>
      </c>
      <c r="BS88" s="150">
        <v>1</v>
      </c>
      <c r="BT88" s="105">
        <v>47</v>
      </c>
      <c r="BU88" s="18">
        <v>0</v>
      </c>
      <c r="BV88" s="317">
        <v>0</v>
      </c>
      <c r="BW88" s="105">
        <v>3</v>
      </c>
      <c r="BX88" s="18">
        <v>0</v>
      </c>
      <c r="BY88" s="317">
        <v>0</v>
      </c>
      <c r="BZ88" s="105">
        <v>8</v>
      </c>
      <c r="CA88" s="18">
        <v>0</v>
      </c>
      <c r="CB88" s="317">
        <v>0</v>
      </c>
      <c r="CC88" s="105">
        <v>39</v>
      </c>
      <c r="CD88" s="18">
        <v>0</v>
      </c>
      <c r="CE88" s="317">
        <v>0</v>
      </c>
      <c r="CF88" s="18">
        <v>0</v>
      </c>
      <c r="CG88" s="18">
        <v>0</v>
      </c>
      <c r="CH88" s="317">
        <v>0</v>
      </c>
      <c r="CI88" s="105">
        <v>18</v>
      </c>
      <c r="CJ88" s="139">
        <v>1</v>
      </c>
      <c r="CK88" s="317">
        <v>0</v>
      </c>
      <c r="CL88" s="105">
        <v>463</v>
      </c>
      <c r="CM88" s="139">
        <v>26</v>
      </c>
      <c r="CN88" s="150">
        <v>13</v>
      </c>
      <c r="CO88" s="105">
        <v>107</v>
      </c>
      <c r="CP88" s="139">
        <v>2</v>
      </c>
      <c r="CQ88" s="317">
        <v>0</v>
      </c>
      <c r="CR88" s="105">
        <v>5</v>
      </c>
      <c r="CS88" s="18">
        <v>0</v>
      </c>
      <c r="CT88" s="317">
        <v>0</v>
      </c>
      <c r="CU88" s="105">
        <v>11</v>
      </c>
      <c r="CV88" s="18">
        <v>0</v>
      </c>
      <c r="CW88" s="317">
        <v>0</v>
      </c>
      <c r="CX88" s="105">
        <v>8</v>
      </c>
      <c r="CY88" s="18">
        <v>0</v>
      </c>
      <c r="CZ88" s="317">
        <v>0</v>
      </c>
      <c r="DA88" s="105">
        <v>11</v>
      </c>
      <c r="DB88" s="18">
        <v>0</v>
      </c>
      <c r="DC88" s="150">
        <v>2</v>
      </c>
      <c r="DD88" s="105">
        <v>18</v>
      </c>
      <c r="DE88" s="139">
        <v>1</v>
      </c>
      <c r="DF88" s="317">
        <v>0</v>
      </c>
      <c r="DG88" s="105">
        <v>97</v>
      </c>
      <c r="DH88" s="139">
        <v>1</v>
      </c>
      <c r="DI88" s="150">
        <v>3</v>
      </c>
      <c r="DJ88" s="105">
        <v>33</v>
      </c>
      <c r="DK88" s="18">
        <v>0</v>
      </c>
      <c r="DL88" s="317">
        <v>0</v>
      </c>
      <c r="DM88" s="105">
        <v>3</v>
      </c>
      <c r="DN88" s="18">
        <v>0</v>
      </c>
      <c r="DO88" s="317">
        <v>0</v>
      </c>
      <c r="DP88" s="105">
        <v>65</v>
      </c>
      <c r="DQ88" s="139">
        <v>6</v>
      </c>
      <c r="DR88" s="150">
        <v>2</v>
      </c>
      <c r="DS88" s="105">
        <v>19</v>
      </c>
      <c r="DT88" s="18">
        <v>0</v>
      </c>
      <c r="DU88" s="317">
        <v>0</v>
      </c>
      <c r="DV88" s="105">
        <v>60</v>
      </c>
      <c r="DW88" s="18">
        <v>0</v>
      </c>
      <c r="DX88" s="317">
        <v>0</v>
      </c>
      <c r="DY88" s="18">
        <v>0</v>
      </c>
      <c r="DZ88" s="18">
        <v>0</v>
      </c>
      <c r="EA88" s="317">
        <v>0</v>
      </c>
      <c r="EB88" s="18">
        <v>0</v>
      </c>
      <c r="EC88" s="18">
        <v>0</v>
      </c>
      <c r="ED88" s="317">
        <v>0</v>
      </c>
      <c r="EE88" s="105">
        <v>142</v>
      </c>
      <c r="EF88" s="18">
        <v>0</v>
      </c>
      <c r="EG88" s="150">
        <v>27</v>
      </c>
      <c r="EH88" s="105">
        <v>8</v>
      </c>
      <c r="EI88" s="18">
        <v>0</v>
      </c>
      <c r="EJ88" s="317">
        <v>0</v>
      </c>
      <c r="EK88" s="18">
        <v>0</v>
      </c>
      <c r="EL88" s="18">
        <v>0</v>
      </c>
      <c r="EM88" s="317">
        <v>0</v>
      </c>
      <c r="EN88" s="105">
        <v>3</v>
      </c>
      <c r="EO88" s="18">
        <v>0</v>
      </c>
      <c r="EP88" s="317">
        <v>0</v>
      </c>
      <c r="EQ88" s="105">
        <v>6</v>
      </c>
      <c r="ER88" s="139">
        <v>1</v>
      </c>
      <c r="ES88" s="317">
        <v>0</v>
      </c>
      <c r="ET88" s="18">
        <v>0</v>
      </c>
      <c r="EU88" s="18">
        <v>0</v>
      </c>
      <c r="EV88" s="317">
        <v>0</v>
      </c>
      <c r="EW88" s="105">
        <v>14</v>
      </c>
      <c r="EX88" s="18">
        <v>0</v>
      </c>
      <c r="EY88" s="150">
        <v>1</v>
      </c>
      <c r="EZ88" s="105">
        <v>3</v>
      </c>
      <c r="FA88" s="18">
        <v>0</v>
      </c>
      <c r="FB88" s="317">
        <v>0</v>
      </c>
      <c r="FC88" s="105">
        <v>25</v>
      </c>
      <c r="FD88" s="139">
        <v>1</v>
      </c>
      <c r="FE88" s="150">
        <v>1</v>
      </c>
      <c r="FF88" s="105">
        <v>312</v>
      </c>
      <c r="FG88" s="139">
        <v>8</v>
      </c>
      <c r="FH88" s="150">
        <v>2</v>
      </c>
      <c r="FI88" s="105">
        <v>29</v>
      </c>
      <c r="FJ88" s="18">
        <v>0</v>
      </c>
      <c r="FK88" s="317">
        <v>0</v>
      </c>
      <c r="FL88" s="105">
        <v>7</v>
      </c>
      <c r="FM88" s="139">
        <v>1</v>
      </c>
      <c r="FN88" s="317">
        <v>0</v>
      </c>
      <c r="FO88" s="649" t="s">
        <v>1014</v>
      </c>
      <c r="FP88" s="531"/>
      <c r="FQ88" s="531"/>
      <c r="FR88" s="531"/>
      <c r="FS88" s="531"/>
      <c r="FT88" s="531"/>
      <c r="FU88" s="636" t="s">
        <v>1015</v>
      </c>
      <c r="FV88" s="531"/>
      <c r="FW88" s="531"/>
      <c r="FX88" s="531"/>
      <c r="FY88" s="531"/>
      <c r="FZ88" s="531"/>
    </row>
    <row r="89" spans="1:182" ht="12.75">
      <c r="A89" s="93">
        <v>43920</v>
      </c>
      <c r="B89" s="14">
        <f t="shared" ref="B89:D89" si="84">SUM(F89,I89,L89,O89,U89,R89,AA89,AD89,AG89,AJ89,AM89,AP89,AS89,AV89,AY89,BB89,BE89,BH89,BK89,BN89,BQ89,BT89,BW89,BZ89,CC89,CI89,CL89,CO89,CR89,CU89,CX89,DA89,DD89,DG89,DJ89,DM89,DP89,DS89,DV89,EE89,EH89,EN89,EQ89,EW89,EZ89,FC89,FF89,FI89,FL89)</f>
        <v>5202</v>
      </c>
      <c r="C89" s="34">
        <f t="shared" si="84"/>
        <v>168</v>
      </c>
      <c r="D89" s="73">
        <f t="shared" si="84"/>
        <v>316</v>
      </c>
      <c r="E89" s="350">
        <f t="shared" si="1"/>
        <v>4718</v>
      </c>
      <c r="F89" s="105">
        <v>1326</v>
      </c>
      <c r="G89" s="139">
        <v>3</v>
      </c>
      <c r="H89" s="150">
        <v>31</v>
      </c>
      <c r="I89" s="105">
        <v>584</v>
      </c>
      <c r="J89" s="139">
        <v>31</v>
      </c>
      <c r="K89" s="150">
        <v>37</v>
      </c>
      <c r="L89" s="105">
        <v>7</v>
      </c>
      <c r="M89" s="139">
        <v>2</v>
      </c>
      <c r="N89" s="317">
        <v>0</v>
      </c>
      <c r="O89" s="105">
        <v>6</v>
      </c>
      <c r="P89" s="18">
        <v>0</v>
      </c>
      <c r="Q89" s="317">
        <v>0</v>
      </c>
      <c r="R89" s="105">
        <v>3</v>
      </c>
      <c r="S89" s="18">
        <v>0</v>
      </c>
      <c r="T89" s="317">
        <v>0</v>
      </c>
      <c r="U89" s="105">
        <v>246</v>
      </c>
      <c r="V89" s="139">
        <v>12</v>
      </c>
      <c r="W89" s="150">
        <v>31</v>
      </c>
      <c r="X89" s="18">
        <v>0</v>
      </c>
      <c r="Y89" s="18">
        <v>0</v>
      </c>
      <c r="Z89" s="317">
        <v>0</v>
      </c>
      <c r="AA89" s="105">
        <v>139</v>
      </c>
      <c r="AB89" s="139">
        <v>6</v>
      </c>
      <c r="AC89" s="150">
        <v>5</v>
      </c>
      <c r="AD89" s="105">
        <v>6</v>
      </c>
      <c r="AE89" s="139">
        <v>1</v>
      </c>
      <c r="AF89" s="317">
        <v>0</v>
      </c>
      <c r="AG89" s="105">
        <v>165</v>
      </c>
      <c r="AH89" s="139">
        <v>1</v>
      </c>
      <c r="AI89" s="150">
        <v>4</v>
      </c>
      <c r="AJ89" s="105">
        <v>18</v>
      </c>
      <c r="AK89" s="18">
        <v>0</v>
      </c>
      <c r="AL89" s="317">
        <v>0</v>
      </c>
      <c r="AM89" s="105">
        <v>656</v>
      </c>
      <c r="AN89" s="139">
        <v>41</v>
      </c>
      <c r="AO89" s="150">
        <v>150</v>
      </c>
      <c r="AP89" s="105">
        <v>12</v>
      </c>
      <c r="AQ89" s="18">
        <v>0</v>
      </c>
      <c r="AR89" s="317">
        <v>0</v>
      </c>
      <c r="AS89" s="105">
        <v>9</v>
      </c>
      <c r="AT89" s="18">
        <v>0</v>
      </c>
      <c r="AU89" s="317">
        <v>0</v>
      </c>
      <c r="AV89" s="105">
        <v>23</v>
      </c>
      <c r="AW89" s="18">
        <v>0</v>
      </c>
      <c r="AX89" s="150">
        <v>2</v>
      </c>
      <c r="AY89" s="105">
        <v>7</v>
      </c>
      <c r="AZ89" s="139">
        <v>1</v>
      </c>
      <c r="BA89" s="317">
        <v>0</v>
      </c>
      <c r="BB89" s="105">
        <v>4</v>
      </c>
      <c r="BC89" s="139">
        <v>1</v>
      </c>
      <c r="BD89" s="317">
        <v>0</v>
      </c>
      <c r="BE89" s="105">
        <v>152</v>
      </c>
      <c r="BF89" s="139">
        <v>5</v>
      </c>
      <c r="BG89" s="150">
        <v>3</v>
      </c>
      <c r="BH89" s="105">
        <v>22</v>
      </c>
      <c r="BI89" s="18">
        <v>0</v>
      </c>
      <c r="BJ89" s="317">
        <v>0</v>
      </c>
      <c r="BK89" s="105">
        <v>8</v>
      </c>
      <c r="BL89" s="18">
        <v>0</v>
      </c>
      <c r="BM89" s="317">
        <v>0</v>
      </c>
      <c r="BN89" s="105">
        <v>12</v>
      </c>
      <c r="BO89" s="18">
        <v>0</v>
      </c>
      <c r="BP89" s="317">
        <v>0</v>
      </c>
      <c r="BQ89" s="105">
        <v>50</v>
      </c>
      <c r="BR89" s="139">
        <v>1</v>
      </c>
      <c r="BS89" s="150">
        <v>1</v>
      </c>
      <c r="BT89" s="105">
        <v>47</v>
      </c>
      <c r="BU89" s="18">
        <v>0</v>
      </c>
      <c r="BV89" s="317">
        <v>0</v>
      </c>
      <c r="BW89" s="105">
        <v>3</v>
      </c>
      <c r="BX89" s="18">
        <v>0</v>
      </c>
      <c r="BY89" s="317">
        <v>0</v>
      </c>
      <c r="BZ89" s="105">
        <v>8</v>
      </c>
      <c r="CA89" s="18">
        <v>0</v>
      </c>
      <c r="CB89" s="317">
        <v>0</v>
      </c>
      <c r="CC89" s="105">
        <v>43</v>
      </c>
      <c r="CD89" s="18">
        <v>0</v>
      </c>
      <c r="CE89" s="317">
        <v>0</v>
      </c>
      <c r="CF89" s="18">
        <v>0</v>
      </c>
      <c r="CG89" s="18">
        <v>0</v>
      </c>
      <c r="CH89" s="317">
        <v>0</v>
      </c>
      <c r="CI89" s="105">
        <v>25</v>
      </c>
      <c r="CJ89" s="139">
        <v>2</v>
      </c>
      <c r="CK89" s="317">
        <v>0</v>
      </c>
      <c r="CL89" s="105">
        <v>534</v>
      </c>
      <c r="CM89" s="139">
        <v>33</v>
      </c>
      <c r="CN89" s="150">
        <v>14</v>
      </c>
      <c r="CO89" s="105">
        <v>128</v>
      </c>
      <c r="CP89" s="139">
        <v>3</v>
      </c>
      <c r="CQ89" s="317">
        <v>0</v>
      </c>
      <c r="CR89" s="105">
        <v>5</v>
      </c>
      <c r="CS89" s="18">
        <v>0</v>
      </c>
      <c r="CT89" s="317">
        <v>0</v>
      </c>
      <c r="CU89" s="105">
        <v>11</v>
      </c>
      <c r="CV89" s="18">
        <v>0</v>
      </c>
      <c r="CW89" s="317">
        <v>0</v>
      </c>
      <c r="CX89" s="105">
        <v>8</v>
      </c>
      <c r="CY89" s="18">
        <v>0</v>
      </c>
      <c r="CZ89" s="317">
        <v>0</v>
      </c>
      <c r="DA89" s="105">
        <v>11</v>
      </c>
      <c r="DB89" s="18">
        <v>0</v>
      </c>
      <c r="DC89" s="150">
        <v>2</v>
      </c>
      <c r="DD89" s="105">
        <v>22</v>
      </c>
      <c r="DE89" s="139">
        <v>3</v>
      </c>
      <c r="DF89" s="317">
        <v>0</v>
      </c>
      <c r="DG89" s="105">
        <v>111</v>
      </c>
      <c r="DH89" s="139">
        <v>2</v>
      </c>
      <c r="DI89" s="150">
        <v>3</v>
      </c>
      <c r="DJ89" s="105">
        <v>33</v>
      </c>
      <c r="DK89" s="18">
        <v>0</v>
      </c>
      <c r="DL89" s="317">
        <v>0</v>
      </c>
      <c r="DM89" s="105">
        <v>3</v>
      </c>
      <c r="DN89" s="18">
        <v>0</v>
      </c>
      <c r="DO89" s="317">
        <v>0</v>
      </c>
      <c r="DP89" s="105">
        <v>81</v>
      </c>
      <c r="DQ89" s="139">
        <v>8</v>
      </c>
      <c r="DR89" s="150">
        <v>2</v>
      </c>
      <c r="DS89" s="105">
        <v>19</v>
      </c>
      <c r="DT89" s="18">
        <v>0</v>
      </c>
      <c r="DU89" s="317">
        <v>0</v>
      </c>
      <c r="DV89" s="105">
        <v>70</v>
      </c>
      <c r="DW89" s="18">
        <v>0</v>
      </c>
      <c r="DX89" s="317">
        <v>0</v>
      </c>
      <c r="DY89" s="18">
        <v>0</v>
      </c>
      <c r="DZ89" s="18">
        <v>0</v>
      </c>
      <c r="EA89" s="317">
        <v>0</v>
      </c>
      <c r="EB89" s="18">
        <v>0</v>
      </c>
      <c r="EC89" s="18">
        <v>0</v>
      </c>
      <c r="ED89" s="317">
        <v>0</v>
      </c>
      <c r="EE89" s="105">
        <v>162</v>
      </c>
      <c r="EF89" s="18">
        <v>0</v>
      </c>
      <c r="EG89" s="150">
        <v>27</v>
      </c>
      <c r="EH89" s="105">
        <v>8</v>
      </c>
      <c r="EI89" s="18">
        <v>0</v>
      </c>
      <c r="EJ89" s="317">
        <v>0</v>
      </c>
      <c r="EK89" s="18">
        <v>0</v>
      </c>
      <c r="EL89" s="18">
        <v>0</v>
      </c>
      <c r="EM89" s="317">
        <v>0</v>
      </c>
      <c r="EN89" s="105">
        <v>3</v>
      </c>
      <c r="EO89" s="18">
        <v>0</v>
      </c>
      <c r="EP89" s="317">
        <v>0</v>
      </c>
      <c r="EQ89" s="105">
        <v>6</v>
      </c>
      <c r="ER89" s="139">
        <v>2</v>
      </c>
      <c r="ES89" s="317">
        <v>0</v>
      </c>
      <c r="ET89" s="18">
        <v>0</v>
      </c>
      <c r="EU89" s="18">
        <v>0</v>
      </c>
      <c r="EV89" s="317">
        <v>0</v>
      </c>
      <c r="EW89" s="105">
        <v>19</v>
      </c>
      <c r="EX89" s="18">
        <v>0</v>
      </c>
      <c r="EY89" s="150">
        <v>1</v>
      </c>
      <c r="EZ89" s="105">
        <v>3</v>
      </c>
      <c r="FA89" s="18">
        <v>0</v>
      </c>
      <c r="FB89" s="317">
        <v>0</v>
      </c>
      <c r="FC89" s="105">
        <v>30</v>
      </c>
      <c r="FD89" s="139">
        <v>1</v>
      </c>
      <c r="FE89" s="150">
        <v>1</v>
      </c>
      <c r="FF89" s="105">
        <v>312</v>
      </c>
      <c r="FG89" s="139">
        <v>8</v>
      </c>
      <c r="FH89" s="150">
        <v>2</v>
      </c>
      <c r="FI89" s="105">
        <v>35</v>
      </c>
      <c r="FJ89" s="18">
        <v>0</v>
      </c>
      <c r="FK89" s="317">
        <v>0</v>
      </c>
      <c r="FL89" s="105">
        <v>7</v>
      </c>
      <c r="FM89" s="139">
        <v>1</v>
      </c>
      <c r="FN89" s="317">
        <v>0</v>
      </c>
      <c r="FO89" s="649" t="s">
        <v>1018</v>
      </c>
      <c r="FP89" s="531"/>
      <c r="FQ89" s="531"/>
      <c r="FR89" s="531"/>
      <c r="FS89" s="531"/>
      <c r="FT89" s="531"/>
      <c r="FU89" s="636" t="s">
        <v>278</v>
      </c>
      <c r="FV89" s="531"/>
      <c r="FW89" s="531"/>
      <c r="FX89" s="531"/>
      <c r="FY89" s="531"/>
      <c r="FZ89" s="531"/>
    </row>
    <row r="90" spans="1:182" ht="12.75">
      <c r="A90" s="81">
        <v>43921</v>
      </c>
      <c r="B90" s="21">
        <f t="shared" ref="B90:D90" si="85">SUM(F90,I90,L90,O90,U90,R90,X90,AA90,AD90,AG90,AJ90,AM90,AP90,AS90,AV90,AY90,BB90,BE90,BH90,BK90,BN90,BQ90,BT90,BW90,BZ90,CC90,CI90,CL90,CO90,CR90,CU90,CX90,DA90,DD90,DG90,DJ90,DM90,DP90,DS90,DV90,EE90,EH90,EK90,EN90,EQ90,EW90,EZ90,FC90,FF90,FI90,FL90)</f>
        <v>5829</v>
      </c>
      <c r="C90" s="78">
        <f t="shared" si="85"/>
        <v>201</v>
      </c>
      <c r="D90" s="79">
        <f t="shared" si="85"/>
        <v>371</v>
      </c>
      <c r="E90" s="353">
        <f t="shared" si="1"/>
        <v>5257</v>
      </c>
      <c r="F90" s="116">
        <v>1353</v>
      </c>
      <c r="G90" s="163">
        <v>5</v>
      </c>
      <c r="H90" s="162">
        <v>31</v>
      </c>
      <c r="I90" s="116">
        <v>716</v>
      </c>
      <c r="J90" s="163">
        <v>44</v>
      </c>
      <c r="K90" s="162">
        <v>37</v>
      </c>
      <c r="L90" s="116">
        <v>7</v>
      </c>
      <c r="M90" s="163">
        <v>2</v>
      </c>
      <c r="N90" s="162">
        <v>1</v>
      </c>
      <c r="O90" s="116">
        <v>9</v>
      </c>
      <c r="P90" s="27">
        <v>0</v>
      </c>
      <c r="Q90" s="162">
        <v>1</v>
      </c>
      <c r="R90" s="116">
        <v>4</v>
      </c>
      <c r="S90" s="163">
        <v>1</v>
      </c>
      <c r="T90" s="354">
        <v>0</v>
      </c>
      <c r="U90" s="116">
        <v>261</v>
      </c>
      <c r="V90" s="163">
        <v>14</v>
      </c>
      <c r="W90" s="162">
        <v>32</v>
      </c>
      <c r="X90" s="116">
        <v>2</v>
      </c>
      <c r="Y90" s="27">
        <v>0</v>
      </c>
      <c r="Z90" s="354">
        <v>0</v>
      </c>
      <c r="AA90" s="116">
        <v>193</v>
      </c>
      <c r="AB90" s="163">
        <v>6</v>
      </c>
      <c r="AC90" s="162">
        <v>5</v>
      </c>
      <c r="AD90" s="116">
        <v>6</v>
      </c>
      <c r="AE90" s="163">
        <v>1</v>
      </c>
      <c r="AF90" s="354">
        <v>0</v>
      </c>
      <c r="AG90" s="116">
        <v>168</v>
      </c>
      <c r="AH90" s="163">
        <v>1</v>
      </c>
      <c r="AI90" s="162">
        <v>6</v>
      </c>
      <c r="AJ90" s="116">
        <v>30</v>
      </c>
      <c r="AK90" s="27">
        <v>0</v>
      </c>
      <c r="AL90" s="354">
        <v>0</v>
      </c>
      <c r="AM90" s="116">
        <v>710</v>
      </c>
      <c r="AN90" s="163">
        <v>46</v>
      </c>
      <c r="AO90" s="162">
        <v>157</v>
      </c>
      <c r="AP90" s="116">
        <v>15</v>
      </c>
      <c r="AQ90" s="27">
        <v>0</v>
      </c>
      <c r="AR90" s="354">
        <v>0</v>
      </c>
      <c r="AS90" s="116">
        <v>9</v>
      </c>
      <c r="AT90" s="27">
        <v>0</v>
      </c>
      <c r="AU90" s="354">
        <v>0</v>
      </c>
      <c r="AV90" s="116">
        <v>26</v>
      </c>
      <c r="AW90" s="27">
        <v>0</v>
      </c>
      <c r="AX90" s="162">
        <v>2</v>
      </c>
      <c r="AY90" s="116">
        <v>16</v>
      </c>
      <c r="AZ90" s="163">
        <v>1</v>
      </c>
      <c r="BA90" s="354">
        <v>0</v>
      </c>
      <c r="BB90" s="116">
        <v>4</v>
      </c>
      <c r="BC90" s="163">
        <v>1</v>
      </c>
      <c r="BD90" s="354">
        <v>0</v>
      </c>
      <c r="BE90" s="116">
        <v>161</v>
      </c>
      <c r="BF90" s="163">
        <v>5</v>
      </c>
      <c r="BG90" s="162">
        <v>3</v>
      </c>
      <c r="BH90" s="116">
        <v>22</v>
      </c>
      <c r="BI90" s="27">
        <v>0</v>
      </c>
      <c r="BJ90" s="354">
        <v>0</v>
      </c>
      <c r="BK90" s="116">
        <v>8</v>
      </c>
      <c r="BL90" s="27">
        <v>0</v>
      </c>
      <c r="BM90" s="354">
        <v>0</v>
      </c>
      <c r="BN90" s="116">
        <v>12</v>
      </c>
      <c r="BO90" s="27">
        <v>0</v>
      </c>
      <c r="BP90" s="162">
        <v>1</v>
      </c>
      <c r="BQ90" s="116">
        <v>59</v>
      </c>
      <c r="BR90" s="163">
        <v>1</v>
      </c>
      <c r="BS90" s="162">
        <v>1</v>
      </c>
      <c r="BT90" s="116">
        <v>47</v>
      </c>
      <c r="BU90" s="27">
        <v>0</v>
      </c>
      <c r="BV90" s="354">
        <v>0</v>
      </c>
      <c r="BW90" s="116">
        <v>3</v>
      </c>
      <c r="BX90" s="27">
        <v>0</v>
      </c>
      <c r="BY90" s="354">
        <v>0</v>
      </c>
      <c r="BZ90" s="116">
        <v>10</v>
      </c>
      <c r="CA90" s="27">
        <v>0</v>
      </c>
      <c r="CB90" s="354">
        <v>0</v>
      </c>
      <c r="CC90" s="116">
        <v>57</v>
      </c>
      <c r="CD90" s="27">
        <v>0</v>
      </c>
      <c r="CE90" s="354">
        <v>0</v>
      </c>
      <c r="CF90" s="27">
        <v>0</v>
      </c>
      <c r="CG90" s="27">
        <v>0</v>
      </c>
      <c r="CH90" s="354">
        <v>0</v>
      </c>
      <c r="CI90" s="116">
        <v>28</v>
      </c>
      <c r="CJ90" s="163">
        <v>2</v>
      </c>
      <c r="CK90" s="354">
        <v>0</v>
      </c>
      <c r="CL90" s="116">
        <v>617</v>
      </c>
      <c r="CM90" s="163">
        <v>36</v>
      </c>
      <c r="CN90" s="162">
        <v>24</v>
      </c>
      <c r="CO90" s="116">
        <v>143</v>
      </c>
      <c r="CP90" s="163">
        <v>5</v>
      </c>
      <c r="CQ90" s="354">
        <v>0</v>
      </c>
      <c r="CR90" s="116">
        <v>6</v>
      </c>
      <c r="CS90" s="163">
        <v>1</v>
      </c>
      <c r="CT90" s="162">
        <v>2</v>
      </c>
      <c r="CU90" s="116">
        <v>11</v>
      </c>
      <c r="CV90" s="163">
        <v>1</v>
      </c>
      <c r="CW90" s="354">
        <v>0</v>
      </c>
      <c r="CX90" s="116">
        <v>8</v>
      </c>
      <c r="CY90" s="27">
        <v>0</v>
      </c>
      <c r="CZ90" s="354">
        <v>0</v>
      </c>
      <c r="DA90" s="116">
        <v>11</v>
      </c>
      <c r="DB90" s="27">
        <v>0</v>
      </c>
      <c r="DC90" s="162">
        <v>2</v>
      </c>
      <c r="DD90" s="116">
        <v>27</v>
      </c>
      <c r="DE90" s="163">
        <v>3</v>
      </c>
      <c r="DF90" s="354">
        <v>0</v>
      </c>
      <c r="DG90" s="116">
        <v>135</v>
      </c>
      <c r="DH90" s="163">
        <v>2</v>
      </c>
      <c r="DI90" s="162">
        <v>8</v>
      </c>
      <c r="DJ90" s="116">
        <v>44</v>
      </c>
      <c r="DK90" s="27">
        <v>0</v>
      </c>
      <c r="DL90" s="354">
        <v>0</v>
      </c>
      <c r="DM90" s="116">
        <v>3</v>
      </c>
      <c r="DN90" s="27">
        <v>0</v>
      </c>
      <c r="DO90" s="354">
        <v>0</v>
      </c>
      <c r="DP90" s="116">
        <v>98</v>
      </c>
      <c r="DQ90" s="163">
        <v>8</v>
      </c>
      <c r="DR90" s="162">
        <v>2</v>
      </c>
      <c r="DS90" s="116">
        <v>19</v>
      </c>
      <c r="DT90" s="27">
        <v>0</v>
      </c>
      <c r="DU90" s="354">
        <v>0</v>
      </c>
      <c r="DV90" s="116">
        <v>75</v>
      </c>
      <c r="DW90" s="27">
        <v>0</v>
      </c>
      <c r="DX90" s="354">
        <v>0</v>
      </c>
      <c r="DY90" s="27">
        <v>0</v>
      </c>
      <c r="DZ90" s="27">
        <v>0</v>
      </c>
      <c r="EA90" s="354">
        <v>0</v>
      </c>
      <c r="EB90" s="27">
        <v>0</v>
      </c>
      <c r="EC90" s="27">
        <v>0</v>
      </c>
      <c r="ED90" s="354">
        <v>0</v>
      </c>
      <c r="EE90" s="116">
        <v>175</v>
      </c>
      <c r="EF90" s="27">
        <v>0</v>
      </c>
      <c r="EG90" s="162">
        <v>40</v>
      </c>
      <c r="EH90" s="116">
        <v>10</v>
      </c>
      <c r="EI90" s="27">
        <v>0</v>
      </c>
      <c r="EJ90" s="354">
        <v>0</v>
      </c>
      <c r="EK90" s="116">
        <v>2</v>
      </c>
      <c r="EL90" s="27">
        <v>0</v>
      </c>
      <c r="EM90" s="354">
        <v>0</v>
      </c>
      <c r="EN90" s="116">
        <v>5</v>
      </c>
      <c r="EO90" s="27">
        <v>0</v>
      </c>
      <c r="EP90" s="162">
        <v>1</v>
      </c>
      <c r="EQ90" s="116">
        <v>7</v>
      </c>
      <c r="ER90" s="163">
        <v>2</v>
      </c>
      <c r="ES90" s="162">
        <v>1</v>
      </c>
      <c r="ET90" s="27">
        <v>0</v>
      </c>
      <c r="EU90" s="27">
        <v>0</v>
      </c>
      <c r="EV90" s="354">
        <v>0</v>
      </c>
      <c r="EW90" s="116">
        <v>19</v>
      </c>
      <c r="EX90" s="163">
        <v>1</v>
      </c>
      <c r="EY90" s="162">
        <v>1</v>
      </c>
      <c r="EZ90" s="116">
        <v>7</v>
      </c>
      <c r="FA90" s="27">
        <v>0</v>
      </c>
      <c r="FB90" s="354">
        <v>0</v>
      </c>
      <c r="FC90" s="116">
        <v>34</v>
      </c>
      <c r="FD90" s="163">
        <v>1</v>
      </c>
      <c r="FE90" s="162">
        <v>10</v>
      </c>
      <c r="FF90" s="116">
        <v>394</v>
      </c>
      <c r="FG90" s="163">
        <v>10</v>
      </c>
      <c r="FH90" s="162">
        <v>3</v>
      </c>
      <c r="FI90" s="116">
        <v>35</v>
      </c>
      <c r="FJ90" s="27">
        <v>0</v>
      </c>
      <c r="FK90" s="354">
        <v>0</v>
      </c>
      <c r="FL90" s="116">
        <v>8</v>
      </c>
      <c r="FM90" s="163">
        <v>1</v>
      </c>
      <c r="FN90" s="354">
        <v>0</v>
      </c>
      <c r="FO90" s="650" t="s">
        <v>1024</v>
      </c>
      <c r="FP90" s="639"/>
      <c r="FQ90" s="639"/>
      <c r="FR90" s="639"/>
      <c r="FS90" s="639"/>
      <c r="FT90" s="639"/>
      <c r="FU90" s="647" t="s">
        <v>1025</v>
      </c>
      <c r="FV90" s="639"/>
      <c r="FW90" s="639"/>
      <c r="FX90" s="639"/>
      <c r="FY90" s="639"/>
      <c r="FZ90" s="639"/>
    </row>
    <row r="91" spans="1:182" ht="12.75">
      <c r="A91" s="93">
        <v>43922</v>
      </c>
      <c r="B91" s="14">
        <f t="shared" ref="B91:D91" si="86">SUM(F91,I91,L91,O91,U91,R91,X91,AA91,AD91,AG91,AJ91,AM91,AP91,AS91,AV91,AY91,BB91,BE91,BH91,BK91,BN91,BQ91,BT91,BW91,BZ91,CC91,CI91,CL91,CO91,CR91,CU91,CX91,DA91,DD91,DG91,DJ91,DM91,DP91,DS91,DV91,EE91,EH91,EK91,EN91,EQ91,EW91,EZ91,FC91,FF91,FI91,FL91)</f>
        <v>6380</v>
      </c>
      <c r="C91" s="34">
        <f t="shared" si="86"/>
        <v>235</v>
      </c>
      <c r="D91" s="73">
        <f t="shared" si="86"/>
        <v>470</v>
      </c>
      <c r="E91" s="350">
        <f t="shared" si="1"/>
        <v>5675</v>
      </c>
      <c r="F91" s="105">
        <v>1380</v>
      </c>
      <c r="G91" s="139">
        <v>5</v>
      </c>
      <c r="H91" s="150">
        <v>50</v>
      </c>
      <c r="I91" s="105">
        <v>847</v>
      </c>
      <c r="J91" s="139">
        <v>58</v>
      </c>
      <c r="K91" s="150">
        <v>61</v>
      </c>
      <c r="L91" s="105">
        <v>7</v>
      </c>
      <c r="M91" s="139">
        <v>2</v>
      </c>
      <c r="N91" s="150">
        <v>1</v>
      </c>
      <c r="O91" s="105">
        <v>9</v>
      </c>
      <c r="P91" s="18">
        <v>0</v>
      </c>
      <c r="Q91" s="150">
        <v>1</v>
      </c>
      <c r="R91" s="105">
        <v>4</v>
      </c>
      <c r="S91" s="139">
        <v>1</v>
      </c>
      <c r="T91" s="317">
        <v>0</v>
      </c>
      <c r="U91" s="105">
        <v>282</v>
      </c>
      <c r="V91" s="139">
        <v>16</v>
      </c>
      <c r="W91" s="150">
        <v>46</v>
      </c>
      <c r="X91" s="105">
        <v>2</v>
      </c>
      <c r="Y91" s="18">
        <v>0</v>
      </c>
      <c r="Z91" s="317">
        <v>0</v>
      </c>
      <c r="AA91" s="105">
        <v>233</v>
      </c>
      <c r="AB91" s="139">
        <v>6</v>
      </c>
      <c r="AC91" s="150">
        <v>10</v>
      </c>
      <c r="AD91" s="105">
        <v>6</v>
      </c>
      <c r="AE91" s="139">
        <v>1</v>
      </c>
      <c r="AF91" s="317">
        <v>0</v>
      </c>
      <c r="AG91" s="105">
        <v>179</v>
      </c>
      <c r="AH91" s="139">
        <v>1</v>
      </c>
      <c r="AI91" s="150">
        <v>7</v>
      </c>
      <c r="AJ91" s="105">
        <v>33</v>
      </c>
      <c r="AK91" s="18">
        <v>0</v>
      </c>
      <c r="AL91" s="317">
        <v>0</v>
      </c>
      <c r="AM91" s="105">
        <v>779</v>
      </c>
      <c r="AN91" s="139">
        <v>52</v>
      </c>
      <c r="AO91" s="150">
        <v>179</v>
      </c>
      <c r="AP91" s="105">
        <v>15</v>
      </c>
      <c r="AQ91" s="18">
        <v>0</v>
      </c>
      <c r="AR91" s="317">
        <v>0</v>
      </c>
      <c r="AS91" s="105">
        <v>9</v>
      </c>
      <c r="AT91" s="18">
        <v>0</v>
      </c>
      <c r="AU91" s="317">
        <v>0</v>
      </c>
      <c r="AV91" s="105">
        <v>29</v>
      </c>
      <c r="AW91" s="18">
        <v>0</v>
      </c>
      <c r="AX91" s="150">
        <v>2</v>
      </c>
      <c r="AY91" s="105">
        <v>18</v>
      </c>
      <c r="AZ91" s="139">
        <v>1</v>
      </c>
      <c r="BA91" s="317">
        <v>0</v>
      </c>
      <c r="BB91" s="105">
        <v>4</v>
      </c>
      <c r="BC91" s="139">
        <v>1</v>
      </c>
      <c r="BD91" s="317">
        <v>0</v>
      </c>
      <c r="BE91" s="105">
        <v>195</v>
      </c>
      <c r="BF91" s="139">
        <v>5</v>
      </c>
      <c r="BG91" s="150">
        <v>3</v>
      </c>
      <c r="BH91" s="105">
        <v>30</v>
      </c>
      <c r="BI91" s="18">
        <v>0</v>
      </c>
      <c r="BJ91" s="317">
        <v>0</v>
      </c>
      <c r="BK91" s="105">
        <v>8</v>
      </c>
      <c r="BL91" s="18">
        <v>0</v>
      </c>
      <c r="BM91" s="317">
        <v>0</v>
      </c>
      <c r="BN91" s="105">
        <v>15</v>
      </c>
      <c r="BO91" s="18">
        <v>0</v>
      </c>
      <c r="BP91" s="150">
        <v>1</v>
      </c>
      <c r="BQ91" s="105">
        <v>81</v>
      </c>
      <c r="BR91" s="139">
        <v>1</v>
      </c>
      <c r="BS91" s="150">
        <v>3</v>
      </c>
      <c r="BT91" s="105">
        <v>47</v>
      </c>
      <c r="BU91" s="18">
        <v>0</v>
      </c>
      <c r="BV91" s="317">
        <v>0</v>
      </c>
      <c r="BW91" s="105">
        <v>6</v>
      </c>
      <c r="BX91" s="18">
        <v>0</v>
      </c>
      <c r="BY91" s="317">
        <v>0</v>
      </c>
      <c r="BZ91" s="105">
        <v>10</v>
      </c>
      <c r="CA91" s="18">
        <v>0</v>
      </c>
      <c r="CB91" s="317">
        <v>0</v>
      </c>
      <c r="CC91" s="105">
        <v>57</v>
      </c>
      <c r="CD91" s="18">
        <v>0</v>
      </c>
      <c r="CE91" s="317">
        <v>0</v>
      </c>
      <c r="CF91" s="18">
        <v>0</v>
      </c>
      <c r="CG91" s="18">
        <v>0</v>
      </c>
      <c r="CH91" s="317">
        <v>0</v>
      </c>
      <c r="CI91" s="105">
        <v>31</v>
      </c>
      <c r="CJ91" s="139">
        <v>3</v>
      </c>
      <c r="CK91" s="317">
        <v>0</v>
      </c>
      <c r="CL91" s="105">
        <v>654</v>
      </c>
      <c r="CM91" s="139">
        <v>39</v>
      </c>
      <c r="CN91" s="150">
        <v>26</v>
      </c>
      <c r="CO91" s="105">
        <v>161</v>
      </c>
      <c r="CP91" s="139">
        <v>6</v>
      </c>
      <c r="CQ91" s="317">
        <v>0</v>
      </c>
      <c r="CR91" s="105">
        <v>6</v>
      </c>
      <c r="CS91" s="139">
        <v>1</v>
      </c>
      <c r="CT91" s="150">
        <v>2</v>
      </c>
      <c r="CU91" s="105">
        <v>11</v>
      </c>
      <c r="CV91" s="139">
        <v>1</v>
      </c>
      <c r="CW91" s="317">
        <v>0</v>
      </c>
      <c r="CX91" s="105">
        <v>10</v>
      </c>
      <c r="CY91" s="18">
        <v>0</v>
      </c>
      <c r="CZ91" s="317">
        <v>0</v>
      </c>
      <c r="DA91" s="105">
        <v>14</v>
      </c>
      <c r="DB91" s="18">
        <v>0</v>
      </c>
      <c r="DC91" s="150">
        <v>2</v>
      </c>
      <c r="DD91" s="105">
        <v>34</v>
      </c>
      <c r="DE91" s="139">
        <v>3</v>
      </c>
      <c r="DF91" s="317">
        <v>0</v>
      </c>
      <c r="DG91" s="105">
        <v>174</v>
      </c>
      <c r="DH91" s="139">
        <v>2</v>
      </c>
      <c r="DI91" s="150">
        <v>9</v>
      </c>
      <c r="DJ91" s="105">
        <v>44</v>
      </c>
      <c r="DK91" s="18">
        <v>0</v>
      </c>
      <c r="DL91" s="317">
        <v>0</v>
      </c>
      <c r="DM91" s="105">
        <v>3</v>
      </c>
      <c r="DN91" s="18">
        <v>0</v>
      </c>
      <c r="DO91" s="317">
        <v>0</v>
      </c>
      <c r="DP91" s="105">
        <v>109</v>
      </c>
      <c r="DQ91" s="139">
        <v>9</v>
      </c>
      <c r="DR91" s="150">
        <v>3</v>
      </c>
      <c r="DS91" s="105">
        <v>19</v>
      </c>
      <c r="DT91" s="139">
        <v>2</v>
      </c>
      <c r="DU91" s="317">
        <v>0</v>
      </c>
      <c r="DV91" s="105">
        <v>82</v>
      </c>
      <c r="DW91" s="18">
        <v>0</v>
      </c>
      <c r="DX91" s="317">
        <v>0</v>
      </c>
      <c r="DY91" s="18">
        <v>0</v>
      </c>
      <c r="DZ91" s="18">
        <v>0</v>
      </c>
      <c r="EA91" s="317">
        <v>0</v>
      </c>
      <c r="EB91" s="18">
        <v>0</v>
      </c>
      <c r="EC91" s="18">
        <v>0</v>
      </c>
      <c r="ED91" s="317">
        <v>0</v>
      </c>
      <c r="EE91" s="105">
        <v>190</v>
      </c>
      <c r="EF91" s="139">
        <v>1</v>
      </c>
      <c r="EG91" s="150">
        <v>45</v>
      </c>
      <c r="EH91" s="105">
        <v>10</v>
      </c>
      <c r="EI91" s="18">
        <v>0</v>
      </c>
      <c r="EJ91" s="317">
        <v>0</v>
      </c>
      <c r="EK91" s="105">
        <v>1</v>
      </c>
      <c r="EL91" s="18">
        <v>0</v>
      </c>
      <c r="EM91" s="317">
        <v>0</v>
      </c>
      <c r="EN91" s="105">
        <v>5</v>
      </c>
      <c r="EO91" s="18">
        <v>0</v>
      </c>
      <c r="EP91" s="150">
        <v>1</v>
      </c>
      <c r="EQ91" s="105">
        <v>7</v>
      </c>
      <c r="ER91" s="139">
        <v>2</v>
      </c>
      <c r="ES91" s="150">
        <v>2</v>
      </c>
      <c r="ET91" s="18">
        <v>0</v>
      </c>
      <c r="EU91" s="18">
        <v>0</v>
      </c>
      <c r="EV91" s="317">
        <v>0</v>
      </c>
      <c r="EW91" s="105">
        <v>20</v>
      </c>
      <c r="EX91" s="139">
        <v>1</v>
      </c>
      <c r="EY91" s="150">
        <v>1</v>
      </c>
      <c r="EZ91" s="105">
        <v>7</v>
      </c>
      <c r="FA91" s="18">
        <v>0</v>
      </c>
      <c r="FB91" s="317">
        <v>0</v>
      </c>
      <c r="FC91" s="105">
        <v>36</v>
      </c>
      <c r="FD91" s="139">
        <v>2</v>
      </c>
      <c r="FE91" s="150">
        <v>10</v>
      </c>
      <c r="FF91" s="105">
        <v>423</v>
      </c>
      <c r="FG91" s="139">
        <v>12</v>
      </c>
      <c r="FH91" s="150">
        <v>5</v>
      </c>
      <c r="FI91" s="105">
        <v>36</v>
      </c>
      <c r="FJ91" s="18">
        <v>0</v>
      </c>
      <c r="FK91" s="317">
        <v>0</v>
      </c>
      <c r="FL91" s="105">
        <v>8</v>
      </c>
      <c r="FM91" s="139">
        <v>1</v>
      </c>
      <c r="FN91" s="317">
        <v>0</v>
      </c>
      <c r="FO91" s="649" t="s">
        <v>1029</v>
      </c>
      <c r="FP91" s="531"/>
      <c r="FQ91" s="531"/>
      <c r="FR91" s="531"/>
      <c r="FS91" s="531"/>
      <c r="FT91" s="531"/>
      <c r="FU91" s="636" t="s">
        <v>1030</v>
      </c>
      <c r="FV91" s="531"/>
      <c r="FW91" s="531"/>
      <c r="FX91" s="531"/>
      <c r="FY91" s="531"/>
      <c r="FZ91" s="531"/>
    </row>
    <row r="92" spans="1:182" ht="12.75">
      <c r="A92" s="93">
        <v>43923</v>
      </c>
      <c r="B92" s="14">
        <f t="shared" ref="B92:D92" si="87">SUM(F92,I92,L92,O92,U92,R92,X92,AA92,AD92,AG92,AJ92,AM92,AP92,AS92,AV92,AY92,BB92,BE92,BH92,BK92,BN92,BQ92,BT92,BW92,BZ92,CC92,CI92,CL92,CO92,CR92,CU92,CX92,DA92,DD92,DG92,DJ92,DM92,DP92,DS92,DV92,EE92,EH92,EK92,EN92,EQ92,EW92,EZ92,FC92,FF92,FI92,FL92)</f>
        <v>7069</v>
      </c>
      <c r="C92" s="34">
        <f t="shared" si="87"/>
        <v>286</v>
      </c>
      <c r="D92" s="73">
        <f t="shared" si="87"/>
        <v>542</v>
      </c>
      <c r="E92" s="350">
        <f t="shared" si="1"/>
        <v>6241</v>
      </c>
      <c r="F92" s="105">
        <v>1462</v>
      </c>
      <c r="G92" s="139">
        <v>5</v>
      </c>
      <c r="H92" s="150">
        <v>50</v>
      </c>
      <c r="I92" s="105">
        <v>986</v>
      </c>
      <c r="J92" s="139">
        <v>86</v>
      </c>
      <c r="K92" s="150">
        <v>61</v>
      </c>
      <c r="L92" s="105">
        <v>8</v>
      </c>
      <c r="M92" s="139">
        <v>2</v>
      </c>
      <c r="N92" s="150">
        <v>1</v>
      </c>
      <c r="O92" s="105">
        <v>9</v>
      </c>
      <c r="P92" s="18">
        <v>0</v>
      </c>
      <c r="Q92" s="150">
        <v>1</v>
      </c>
      <c r="R92" s="105">
        <v>4</v>
      </c>
      <c r="S92" s="139">
        <v>1</v>
      </c>
      <c r="T92" s="317">
        <v>0</v>
      </c>
      <c r="U92" s="105">
        <v>288</v>
      </c>
      <c r="V92" s="139">
        <v>16</v>
      </c>
      <c r="W92" s="150">
        <v>50</v>
      </c>
      <c r="X92" s="105">
        <v>3</v>
      </c>
      <c r="Y92" s="18">
        <v>0</v>
      </c>
      <c r="Z92" s="317">
        <v>0</v>
      </c>
      <c r="AA92" s="105">
        <v>306</v>
      </c>
      <c r="AB92" s="139">
        <v>7</v>
      </c>
      <c r="AC92" s="150">
        <v>10</v>
      </c>
      <c r="AD92" s="105">
        <v>6</v>
      </c>
      <c r="AE92" s="139">
        <v>1</v>
      </c>
      <c r="AF92" s="317">
        <v>0</v>
      </c>
      <c r="AG92" s="105">
        <v>194</v>
      </c>
      <c r="AH92" s="139">
        <v>1</v>
      </c>
      <c r="AI92" s="150">
        <v>15</v>
      </c>
      <c r="AJ92" s="105">
        <v>40</v>
      </c>
      <c r="AK92" s="18">
        <v>0</v>
      </c>
      <c r="AL92" s="317">
        <v>0</v>
      </c>
      <c r="AM92" s="105">
        <v>865</v>
      </c>
      <c r="AN92" s="139">
        <v>58</v>
      </c>
      <c r="AO92" s="150">
        <v>201</v>
      </c>
      <c r="AP92" s="105">
        <v>22</v>
      </c>
      <c r="AQ92" s="18">
        <v>0</v>
      </c>
      <c r="AR92" s="317">
        <v>0</v>
      </c>
      <c r="AS92" s="105">
        <v>9</v>
      </c>
      <c r="AT92" s="18">
        <v>0</v>
      </c>
      <c r="AU92" s="317">
        <v>0</v>
      </c>
      <c r="AV92" s="105">
        <v>29</v>
      </c>
      <c r="AW92" s="18">
        <v>0</v>
      </c>
      <c r="AX92" s="150">
        <v>3</v>
      </c>
      <c r="AY92" s="105">
        <v>21</v>
      </c>
      <c r="AZ92" s="139">
        <v>1</v>
      </c>
      <c r="BA92" s="317">
        <v>0</v>
      </c>
      <c r="BB92" s="105">
        <v>4</v>
      </c>
      <c r="BC92" s="139">
        <v>1</v>
      </c>
      <c r="BD92" s="150">
        <v>2</v>
      </c>
      <c r="BE92" s="105">
        <v>204</v>
      </c>
      <c r="BF92" s="139">
        <v>5</v>
      </c>
      <c r="BG92" s="150">
        <v>3</v>
      </c>
      <c r="BH92" s="105">
        <v>52</v>
      </c>
      <c r="BI92" s="18">
        <v>0</v>
      </c>
      <c r="BJ92" s="317">
        <v>0</v>
      </c>
      <c r="BK92" s="105">
        <v>9</v>
      </c>
      <c r="BL92" s="18">
        <v>0</v>
      </c>
      <c r="BM92" s="317">
        <v>0</v>
      </c>
      <c r="BN92" s="105">
        <v>15</v>
      </c>
      <c r="BO92" s="18">
        <v>0</v>
      </c>
      <c r="BP92" s="150">
        <v>1</v>
      </c>
      <c r="BQ92" s="105">
        <v>110</v>
      </c>
      <c r="BR92" s="139">
        <v>3</v>
      </c>
      <c r="BS92" s="150">
        <v>4</v>
      </c>
      <c r="BT92" s="105">
        <v>47</v>
      </c>
      <c r="BU92" s="18">
        <v>0</v>
      </c>
      <c r="BV92" s="317">
        <v>0</v>
      </c>
      <c r="BW92" s="105">
        <v>6</v>
      </c>
      <c r="BX92" s="18">
        <v>0</v>
      </c>
      <c r="BY92" s="317">
        <v>0</v>
      </c>
      <c r="BZ92" s="105">
        <v>11</v>
      </c>
      <c r="CA92" s="139">
        <v>1</v>
      </c>
      <c r="CB92" s="317">
        <v>0</v>
      </c>
      <c r="CC92" s="105">
        <v>59</v>
      </c>
      <c r="CD92" s="18">
        <v>0</v>
      </c>
      <c r="CE92" s="317">
        <v>0</v>
      </c>
      <c r="CF92" s="105">
        <v>3</v>
      </c>
      <c r="CG92" s="18">
        <v>0</v>
      </c>
      <c r="CH92" s="317">
        <v>0</v>
      </c>
      <c r="CI92" s="105">
        <v>36</v>
      </c>
      <c r="CJ92" s="139">
        <v>3</v>
      </c>
      <c r="CK92" s="317">
        <v>0</v>
      </c>
      <c r="CL92" s="105">
        <v>708</v>
      </c>
      <c r="CM92" s="139">
        <v>44</v>
      </c>
      <c r="CN92" s="150">
        <v>31</v>
      </c>
      <c r="CO92" s="105">
        <v>169</v>
      </c>
      <c r="CP92" s="139">
        <v>7</v>
      </c>
      <c r="CQ92" s="317">
        <v>0</v>
      </c>
      <c r="CR92" s="105">
        <v>6</v>
      </c>
      <c r="CS92" s="139">
        <v>1</v>
      </c>
      <c r="CT92" s="150">
        <v>2</v>
      </c>
      <c r="CU92" s="105">
        <v>11</v>
      </c>
      <c r="CV92" s="139">
        <v>1</v>
      </c>
      <c r="CW92" s="317">
        <v>0</v>
      </c>
      <c r="CX92" s="105">
        <v>10</v>
      </c>
      <c r="CY92" s="18">
        <v>0</v>
      </c>
      <c r="CZ92" s="317">
        <v>0</v>
      </c>
      <c r="DA92" s="105">
        <v>14</v>
      </c>
      <c r="DB92" s="18">
        <v>0</v>
      </c>
      <c r="DC92" s="150">
        <v>3</v>
      </c>
      <c r="DD92" s="105">
        <v>98</v>
      </c>
      <c r="DE92" s="139">
        <v>5</v>
      </c>
      <c r="DF92" s="317">
        <v>0</v>
      </c>
      <c r="DG92" s="105">
        <v>184</v>
      </c>
      <c r="DH92" s="139">
        <v>2</v>
      </c>
      <c r="DI92" s="150">
        <v>17</v>
      </c>
      <c r="DJ92" s="105">
        <v>45</v>
      </c>
      <c r="DK92" s="18">
        <v>0</v>
      </c>
      <c r="DL92" s="317">
        <v>0</v>
      </c>
      <c r="DM92" s="105">
        <v>3</v>
      </c>
      <c r="DN92" s="18">
        <v>0</v>
      </c>
      <c r="DO92" s="317">
        <v>0</v>
      </c>
      <c r="DP92" s="105">
        <v>123</v>
      </c>
      <c r="DQ92" s="139">
        <v>11</v>
      </c>
      <c r="DR92" s="150">
        <v>3</v>
      </c>
      <c r="DS92" s="105">
        <v>22</v>
      </c>
      <c r="DT92" s="139">
        <v>2</v>
      </c>
      <c r="DU92" s="150">
        <v>2</v>
      </c>
      <c r="DV92" s="105">
        <v>84</v>
      </c>
      <c r="DW92" s="18">
        <v>0</v>
      </c>
      <c r="DX92" s="317">
        <v>0</v>
      </c>
      <c r="DY92" s="18">
        <v>0</v>
      </c>
      <c r="DZ92" s="18">
        <v>0</v>
      </c>
      <c r="EA92" s="317">
        <v>0</v>
      </c>
      <c r="EB92" s="18">
        <v>0</v>
      </c>
      <c r="EC92" s="18">
        <v>0</v>
      </c>
      <c r="ED92" s="317">
        <v>0</v>
      </c>
      <c r="EE92" s="105">
        <v>195</v>
      </c>
      <c r="EF92" s="139">
        <v>1</v>
      </c>
      <c r="EG92" s="150">
        <v>55</v>
      </c>
      <c r="EH92" s="105">
        <v>10</v>
      </c>
      <c r="EI92" s="18">
        <v>0</v>
      </c>
      <c r="EJ92" s="317">
        <v>0</v>
      </c>
      <c r="EK92" s="105">
        <v>2</v>
      </c>
      <c r="EL92" s="18">
        <v>0</v>
      </c>
      <c r="EM92" s="317">
        <v>0</v>
      </c>
      <c r="EN92" s="105">
        <v>5</v>
      </c>
      <c r="EO92" s="18">
        <v>0</v>
      </c>
      <c r="EP92" s="150">
        <v>1</v>
      </c>
      <c r="EQ92" s="105">
        <v>8</v>
      </c>
      <c r="ER92" s="139">
        <v>2</v>
      </c>
      <c r="ES92" s="150">
        <v>2</v>
      </c>
      <c r="ET92" s="18">
        <v>0</v>
      </c>
      <c r="EU92" s="18">
        <v>0</v>
      </c>
      <c r="EV92" s="317">
        <v>0</v>
      </c>
      <c r="EW92" s="105">
        <v>20</v>
      </c>
      <c r="EX92" s="139">
        <v>1</v>
      </c>
      <c r="EY92" s="150">
        <v>2</v>
      </c>
      <c r="EZ92" s="105">
        <v>8</v>
      </c>
      <c r="FA92" s="18">
        <v>0</v>
      </c>
      <c r="FB92" s="317">
        <v>0</v>
      </c>
      <c r="FC92" s="105">
        <v>36</v>
      </c>
      <c r="FD92" s="139">
        <v>2</v>
      </c>
      <c r="FE92" s="150">
        <v>17</v>
      </c>
      <c r="FF92" s="105">
        <v>455</v>
      </c>
      <c r="FG92" s="139">
        <v>14</v>
      </c>
      <c r="FH92" s="150">
        <v>5</v>
      </c>
      <c r="FI92" s="105">
        <v>39</v>
      </c>
      <c r="FJ92" s="139">
        <v>1</v>
      </c>
      <c r="FK92" s="317">
        <v>0</v>
      </c>
      <c r="FL92" s="105">
        <v>9</v>
      </c>
      <c r="FM92" s="139">
        <v>1</v>
      </c>
      <c r="FN92" s="317">
        <v>0</v>
      </c>
      <c r="FO92" s="649" t="s">
        <v>1033</v>
      </c>
      <c r="FP92" s="531"/>
      <c r="FQ92" s="531"/>
      <c r="FR92" s="531"/>
      <c r="FS92" s="531"/>
      <c r="FT92" s="531"/>
      <c r="FU92" s="636" t="s">
        <v>1034</v>
      </c>
      <c r="FV92" s="531"/>
      <c r="FW92" s="531"/>
      <c r="FX92" s="531"/>
      <c r="FY92" s="531"/>
      <c r="FZ92" s="531"/>
    </row>
    <row r="93" spans="1:182" ht="12.75">
      <c r="A93" s="93">
        <v>43924</v>
      </c>
      <c r="B93" s="14">
        <f t="shared" ref="B93:D93" si="88">SUM(F93,I93,L93,O93,U93,R93,X93,AA93,AD93,AG93,AJ93,AM93,AP93,AS93,AV93,AY93,BB93,BE93,BH93,BK93,BN93,BQ93,BT93,BW93,BZ93,CC93,CI93,CL93,CO93,CR93,CU93,CX93,DA93,DD93,DG93,DJ93,DM93,DP93,DS93,DV93,EE93,EH93,EK93,EN93,EQ93,EW93,EZ93,FC93,FF93,FI93,FL93)</f>
        <v>7942</v>
      </c>
      <c r="C93" s="34">
        <f t="shared" si="88"/>
        <v>330</v>
      </c>
      <c r="D93" s="73">
        <f t="shared" si="88"/>
        <v>667</v>
      </c>
      <c r="E93" s="350">
        <f t="shared" si="1"/>
        <v>6945</v>
      </c>
      <c r="F93" s="105">
        <v>1505</v>
      </c>
      <c r="G93" s="139">
        <v>9</v>
      </c>
      <c r="H93" s="150">
        <v>95</v>
      </c>
      <c r="I93" s="105">
        <v>1171</v>
      </c>
      <c r="J93" s="139">
        <v>105</v>
      </c>
      <c r="K93" s="150">
        <v>62</v>
      </c>
      <c r="L93" s="105">
        <v>8</v>
      </c>
      <c r="M93" s="139">
        <v>2</v>
      </c>
      <c r="N93" s="150">
        <v>1</v>
      </c>
      <c r="O93" s="105">
        <v>16</v>
      </c>
      <c r="P93" s="18">
        <v>0</v>
      </c>
      <c r="Q93" s="150">
        <v>2</v>
      </c>
      <c r="R93" s="105">
        <v>4</v>
      </c>
      <c r="S93" s="139">
        <v>1</v>
      </c>
      <c r="T93" s="317">
        <v>0</v>
      </c>
      <c r="U93" s="105">
        <v>302</v>
      </c>
      <c r="V93" s="139">
        <v>16</v>
      </c>
      <c r="W93" s="150">
        <v>50</v>
      </c>
      <c r="X93" s="105">
        <v>3</v>
      </c>
      <c r="Y93" s="18">
        <v>0</v>
      </c>
      <c r="Z93" s="317">
        <v>0</v>
      </c>
      <c r="AA93" s="105">
        <v>509</v>
      </c>
      <c r="AB93" s="139">
        <v>8</v>
      </c>
      <c r="AC93" s="150">
        <v>17</v>
      </c>
      <c r="AD93" s="105">
        <v>6</v>
      </c>
      <c r="AE93" s="139">
        <v>1</v>
      </c>
      <c r="AF93" s="317">
        <v>0</v>
      </c>
      <c r="AG93" s="105">
        <v>218</v>
      </c>
      <c r="AH93" s="139">
        <v>1</v>
      </c>
      <c r="AI93" s="150">
        <v>19</v>
      </c>
      <c r="AJ93" s="105">
        <v>49</v>
      </c>
      <c r="AK93" s="18">
        <v>0</v>
      </c>
      <c r="AL93" s="150">
        <v>8</v>
      </c>
      <c r="AM93" s="105">
        <v>985</v>
      </c>
      <c r="AN93" s="139">
        <v>66</v>
      </c>
      <c r="AO93" s="150">
        <v>216</v>
      </c>
      <c r="AP93" s="105">
        <v>22</v>
      </c>
      <c r="AQ93" s="18">
        <v>0</v>
      </c>
      <c r="AR93" s="317">
        <v>0</v>
      </c>
      <c r="AS93" s="105">
        <v>9</v>
      </c>
      <c r="AT93" s="18">
        <v>0</v>
      </c>
      <c r="AU93" s="317">
        <v>0</v>
      </c>
      <c r="AV93" s="105">
        <v>35</v>
      </c>
      <c r="AW93" s="18">
        <v>0</v>
      </c>
      <c r="AX93" s="150">
        <v>3</v>
      </c>
      <c r="AY93" s="105">
        <v>21</v>
      </c>
      <c r="AZ93" s="139">
        <v>1</v>
      </c>
      <c r="BA93" s="150">
        <v>1</v>
      </c>
      <c r="BB93" s="105">
        <v>4</v>
      </c>
      <c r="BC93" s="139">
        <v>1</v>
      </c>
      <c r="BD93" s="150">
        <v>2</v>
      </c>
      <c r="BE93" s="105">
        <v>205</v>
      </c>
      <c r="BF93" s="139">
        <v>5</v>
      </c>
      <c r="BG93" s="150">
        <v>3</v>
      </c>
      <c r="BH93" s="105">
        <v>73</v>
      </c>
      <c r="BI93" s="18">
        <v>0</v>
      </c>
      <c r="BJ93" s="150">
        <v>2</v>
      </c>
      <c r="BK93" s="105">
        <v>9</v>
      </c>
      <c r="BL93" s="18">
        <v>0</v>
      </c>
      <c r="BM93" s="317">
        <v>0</v>
      </c>
      <c r="BN93" s="105">
        <v>16</v>
      </c>
      <c r="BO93" s="18">
        <v>0</v>
      </c>
      <c r="BP93" s="150">
        <v>1</v>
      </c>
      <c r="BQ93" s="105">
        <v>122</v>
      </c>
      <c r="BR93" s="139">
        <v>4</v>
      </c>
      <c r="BS93" s="150">
        <v>4</v>
      </c>
      <c r="BT93" s="105">
        <v>47</v>
      </c>
      <c r="BU93" s="18">
        <v>0</v>
      </c>
      <c r="BV93" s="317">
        <v>0</v>
      </c>
      <c r="BW93" s="105">
        <v>7</v>
      </c>
      <c r="BX93" s="18">
        <v>0</v>
      </c>
      <c r="BY93" s="317">
        <v>0</v>
      </c>
      <c r="BZ93" s="105">
        <v>11</v>
      </c>
      <c r="CA93" s="139">
        <v>1</v>
      </c>
      <c r="CB93" s="317">
        <v>0</v>
      </c>
      <c r="CC93" s="105">
        <v>70</v>
      </c>
      <c r="CD93" s="18">
        <v>0</v>
      </c>
      <c r="CE93" s="317">
        <v>0</v>
      </c>
      <c r="CF93" s="105">
        <v>3</v>
      </c>
      <c r="CG93" s="18">
        <v>0</v>
      </c>
      <c r="CH93" s="317">
        <v>0</v>
      </c>
      <c r="CI93" s="105">
        <v>39</v>
      </c>
      <c r="CJ93" s="139">
        <v>3</v>
      </c>
      <c r="CK93" s="317">
        <v>0</v>
      </c>
      <c r="CL93" s="105">
        <v>791</v>
      </c>
      <c r="CM93" s="139">
        <v>48</v>
      </c>
      <c r="CN93" s="150">
        <v>57</v>
      </c>
      <c r="CO93" s="105">
        <v>186</v>
      </c>
      <c r="CP93" s="139">
        <v>7</v>
      </c>
      <c r="CQ93" s="317">
        <v>0</v>
      </c>
      <c r="CR93" s="105">
        <v>6</v>
      </c>
      <c r="CS93" s="139">
        <v>1</v>
      </c>
      <c r="CT93" s="150">
        <v>2</v>
      </c>
      <c r="CU93" s="105">
        <v>11</v>
      </c>
      <c r="CV93" s="139">
        <v>1</v>
      </c>
      <c r="CW93" s="317">
        <v>0</v>
      </c>
      <c r="CX93" s="105">
        <v>10</v>
      </c>
      <c r="CY93" s="18">
        <v>0</v>
      </c>
      <c r="CZ93" s="317">
        <v>0</v>
      </c>
      <c r="DA93" s="105">
        <v>14</v>
      </c>
      <c r="DB93" s="18">
        <v>0</v>
      </c>
      <c r="DC93" s="150">
        <v>3</v>
      </c>
      <c r="DD93" s="105">
        <v>120</v>
      </c>
      <c r="DE93" s="139">
        <v>5</v>
      </c>
      <c r="DF93" s="317">
        <v>0</v>
      </c>
      <c r="DG93" s="105">
        <v>190</v>
      </c>
      <c r="DH93" s="139">
        <v>2</v>
      </c>
      <c r="DI93" s="150">
        <v>20</v>
      </c>
      <c r="DJ93" s="105">
        <v>48</v>
      </c>
      <c r="DK93" s="18">
        <v>0</v>
      </c>
      <c r="DL93" s="317">
        <v>0</v>
      </c>
      <c r="DM93" s="105">
        <v>8</v>
      </c>
      <c r="DN93" s="18">
        <v>0</v>
      </c>
      <c r="DO93" s="317">
        <v>0</v>
      </c>
      <c r="DP93" s="105">
        <v>134</v>
      </c>
      <c r="DQ93" s="139">
        <v>13</v>
      </c>
      <c r="DR93" s="150">
        <v>3</v>
      </c>
      <c r="DS93" s="105">
        <v>22</v>
      </c>
      <c r="DT93" s="139">
        <v>2</v>
      </c>
      <c r="DU93" s="150">
        <v>2</v>
      </c>
      <c r="DV93" s="105">
        <v>89</v>
      </c>
      <c r="DW93" s="18">
        <v>0</v>
      </c>
      <c r="DX93" s="317">
        <v>0</v>
      </c>
      <c r="DY93" s="18">
        <v>0</v>
      </c>
      <c r="DZ93" s="18">
        <v>0</v>
      </c>
      <c r="EA93" s="317">
        <v>0</v>
      </c>
      <c r="EB93" s="18">
        <v>0</v>
      </c>
      <c r="EC93" s="18">
        <v>0</v>
      </c>
      <c r="ED93" s="317">
        <v>0</v>
      </c>
      <c r="EE93" s="105">
        <v>207</v>
      </c>
      <c r="EF93" s="139">
        <v>1</v>
      </c>
      <c r="EG93" s="150">
        <v>66</v>
      </c>
      <c r="EH93" s="105">
        <v>10</v>
      </c>
      <c r="EI93" s="18">
        <v>0</v>
      </c>
      <c r="EJ93" s="317">
        <v>0</v>
      </c>
      <c r="EK93" s="105">
        <v>2</v>
      </c>
      <c r="EL93" s="18">
        <v>0</v>
      </c>
      <c r="EM93" s="317">
        <v>0</v>
      </c>
      <c r="EN93" s="105">
        <v>7</v>
      </c>
      <c r="EO93" s="18">
        <v>0</v>
      </c>
      <c r="EP93" s="150">
        <v>1</v>
      </c>
      <c r="EQ93" s="105">
        <v>10</v>
      </c>
      <c r="ER93" s="139">
        <v>2</v>
      </c>
      <c r="ES93" s="150">
        <v>2</v>
      </c>
      <c r="ET93" s="18">
        <v>0</v>
      </c>
      <c r="EU93" s="18">
        <v>0</v>
      </c>
      <c r="EV93" s="317">
        <v>0</v>
      </c>
      <c r="EW93" s="105">
        <v>20</v>
      </c>
      <c r="EX93" s="139">
        <v>1</v>
      </c>
      <c r="EY93" s="150">
        <v>3</v>
      </c>
      <c r="EZ93" s="105">
        <v>8</v>
      </c>
      <c r="FA93" s="18">
        <v>0</v>
      </c>
      <c r="FB93" s="317">
        <v>0</v>
      </c>
      <c r="FC93" s="105">
        <v>40</v>
      </c>
      <c r="FD93" s="139">
        <v>3</v>
      </c>
      <c r="FE93" s="150">
        <v>17</v>
      </c>
      <c r="FF93" s="105">
        <v>495</v>
      </c>
      <c r="FG93" s="139">
        <v>18</v>
      </c>
      <c r="FH93" s="150">
        <v>5</v>
      </c>
      <c r="FI93" s="105">
        <v>39</v>
      </c>
      <c r="FJ93" s="139">
        <v>1</v>
      </c>
      <c r="FK93" s="317">
        <v>0</v>
      </c>
      <c r="FL93" s="105">
        <v>9</v>
      </c>
      <c r="FM93" s="139">
        <v>1</v>
      </c>
      <c r="FN93" s="317">
        <v>0</v>
      </c>
      <c r="FO93" s="649"/>
      <c r="FP93" s="531"/>
      <c r="FQ93" s="531"/>
      <c r="FR93" s="531"/>
      <c r="FS93" s="531"/>
      <c r="FT93" s="531"/>
      <c r="FU93" s="636"/>
      <c r="FV93" s="531"/>
      <c r="FW93" s="531"/>
      <c r="FX93" s="531"/>
      <c r="FY93" s="531"/>
      <c r="FZ93" s="531"/>
    </row>
    <row r="94" spans="1:182" ht="12.75">
      <c r="A94" s="93">
        <v>43925</v>
      </c>
      <c r="B94" s="14">
        <f t="shared" ref="B94:D94" si="89">SUM(F94,I94,L94,O94,U94,R94,X94,AA94,AD94,AG94,AJ94,AM94,AP94,AS94,AV94,AY94,BB94,BE94,BH94,BK94,BN94,BQ94,BT94,BW94,BZ94,CC94,CI94,CL94,CO94,CR94,CU94,CX94,DA94,DD94,DG94,DJ94,DM94,DP94,DS94,DV94,EE94,EH94,EK94,EN94,EQ94,EW94,EZ94,FC94,FF94,FI94,FL94)</f>
        <v>8620</v>
      </c>
      <c r="C94" s="34">
        <f t="shared" si="89"/>
        <v>384</v>
      </c>
      <c r="D94" s="73">
        <f t="shared" si="89"/>
        <v>783</v>
      </c>
      <c r="E94" s="350">
        <f t="shared" si="1"/>
        <v>7453</v>
      </c>
      <c r="F94" s="105">
        <v>1585</v>
      </c>
      <c r="G94" s="139">
        <v>9</v>
      </c>
      <c r="H94" s="150">
        <v>95</v>
      </c>
      <c r="I94" s="105">
        <v>1251</v>
      </c>
      <c r="J94" s="139">
        <v>130</v>
      </c>
      <c r="K94" s="150">
        <v>90</v>
      </c>
      <c r="L94" s="105">
        <v>10</v>
      </c>
      <c r="M94" s="139">
        <v>2</v>
      </c>
      <c r="N94" s="150">
        <v>2</v>
      </c>
      <c r="O94" s="105">
        <v>16</v>
      </c>
      <c r="P94" s="18">
        <v>0</v>
      </c>
      <c r="Q94" s="150">
        <v>2</v>
      </c>
      <c r="R94" s="105">
        <v>4</v>
      </c>
      <c r="S94" s="139">
        <v>1</v>
      </c>
      <c r="T94" s="317">
        <v>0</v>
      </c>
      <c r="U94" s="105">
        <v>318</v>
      </c>
      <c r="V94" s="139">
        <v>16</v>
      </c>
      <c r="W94" s="150">
        <v>66</v>
      </c>
      <c r="X94" s="105">
        <v>3</v>
      </c>
      <c r="Y94" s="18">
        <v>0</v>
      </c>
      <c r="Z94" s="317">
        <v>0</v>
      </c>
      <c r="AA94" s="105">
        <v>555</v>
      </c>
      <c r="AB94" s="139">
        <v>9</v>
      </c>
      <c r="AC94" s="150">
        <v>17</v>
      </c>
      <c r="AD94" s="105">
        <v>7</v>
      </c>
      <c r="AE94" s="139">
        <v>1</v>
      </c>
      <c r="AF94" s="317">
        <v>0</v>
      </c>
      <c r="AG94" s="105">
        <v>245</v>
      </c>
      <c r="AH94" s="139">
        <v>1</v>
      </c>
      <c r="AI94" s="150">
        <v>25</v>
      </c>
      <c r="AJ94" s="105">
        <v>50</v>
      </c>
      <c r="AK94" s="18">
        <v>0</v>
      </c>
      <c r="AL94" s="150">
        <v>8</v>
      </c>
      <c r="AM94" s="105">
        <v>1070</v>
      </c>
      <c r="AN94" s="139">
        <v>71</v>
      </c>
      <c r="AO94" s="150">
        <v>241</v>
      </c>
      <c r="AP94" s="105">
        <v>29</v>
      </c>
      <c r="AQ94" s="18">
        <v>0</v>
      </c>
      <c r="AR94" s="317">
        <v>0</v>
      </c>
      <c r="AS94" s="105">
        <v>9</v>
      </c>
      <c r="AT94" s="18">
        <v>0</v>
      </c>
      <c r="AU94" s="317">
        <v>0</v>
      </c>
      <c r="AV94" s="105">
        <v>38</v>
      </c>
      <c r="AW94" s="18">
        <v>0</v>
      </c>
      <c r="AX94" s="150">
        <v>4</v>
      </c>
      <c r="AY94" s="105">
        <v>21</v>
      </c>
      <c r="AZ94" s="139">
        <v>1</v>
      </c>
      <c r="BA94" s="150">
        <v>1</v>
      </c>
      <c r="BB94" s="105">
        <v>4</v>
      </c>
      <c r="BC94" s="139">
        <v>1</v>
      </c>
      <c r="BD94" s="150">
        <v>2</v>
      </c>
      <c r="BE94" s="105">
        <v>205</v>
      </c>
      <c r="BF94" s="139">
        <v>5</v>
      </c>
      <c r="BG94" s="150">
        <v>3</v>
      </c>
      <c r="BH94" s="105">
        <v>111</v>
      </c>
      <c r="BI94" s="18">
        <v>0</v>
      </c>
      <c r="BJ94" s="150">
        <v>5</v>
      </c>
      <c r="BK94" s="105">
        <v>18</v>
      </c>
      <c r="BL94" s="18">
        <v>0</v>
      </c>
      <c r="BM94" s="317">
        <v>0</v>
      </c>
      <c r="BN94" s="105">
        <v>16</v>
      </c>
      <c r="BO94" s="18">
        <v>0</v>
      </c>
      <c r="BP94" s="150">
        <v>1</v>
      </c>
      <c r="BQ94" s="105">
        <v>126</v>
      </c>
      <c r="BR94" s="139">
        <v>4</v>
      </c>
      <c r="BS94" s="150">
        <v>4</v>
      </c>
      <c r="BT94" s="105">
        <v>47</v>
      </c>
      <c r="BU94" s="18">
        <v>0</v>
      </c>
      <c r="BV94" s="317">
        <v>0</v>
      </c>
      <c r="BW94" s="105">
        <v>10</v>
      </c>
      <c r="BX94" s="139">
        <v>1</v>
      </c>
      <c r="BY94" s="150">
        <v>3</v>
      </c>
      <c r="BZ94" s="105">
        <v>17</v>
      </c>
      <c r="CA94" s="139">
        <v>1</v>
      </c>
      <c r="CB94" s="317">
        <v>0</v>
      </c>
      <c r="CC94" s="105">
        <v>70</v>
      </c>
      <c r="CD94" s="18">
        <v>0</v>
      </c>
      <c r="CE94" s="317">
        <v>0</v>
      </c>
      <c r="CF94" s="105">
        <v>4</v>
      </c>
      <c r="CG94" s="18">
        <v>0</v>
      </c>
      <c r="CH94" s="317">
        <v>0</v>
      </c>
      <c r="CI94" s="105">
        <v>41</v>
      </c>
      <c r="CJ94" s="139">
        <v>3</v>
      </c>
      <c r="CK94" s="150">
        <v>1</v>
      </c>
      <c r="CL94" s="105">
        <v>919</v>
      </c>
      <c r="CM94" s="139">
        <v>59</v>
      </c>
      <c r="CN94" s="150">
        <v>66</v>
      </c>
      <c r="CO94" s="105">
        <v>186</v>
      </c>
      <c r="CP94" s="139">
        <v>7</v>
      </c>
      <c r="CQ94" s="150">
        <v>7</v>
      </c>
      <c r="CR94" s="105">
        <v>6</v>
      </c>
      <c r="CS94" s="139">
        <v>1</v>
      </c>
      <c r="CT94" s="150">
        <v>2</v>
      </c>
      <c r="CU94" s="105">
        <v>11</v>
      </c>
      <c r="CV94" s="139">
        <v>2</v>
      </c>
      <c r="CW94" s="317">
        <v>0</v>
      </c>
      <c r="CX94" s="105">
        <v>10</v>
      </c>
      <c r="CY94" s="18">
        <v>0</v>
      </c>
      <c r="CZ94" s="150">
        <v>1</v>
      </c>
      <c r="DA94" s="105">
        <v>14</v>
      </c>
      <c r="DB94" s="18">
        <v>0</v>
      </c>
      <c r="DC94" s="150">
        <v>3</v>
      </c>
      <c r="DD94" s="105">
        <v>144</v>
      </c>
      <c r="DE94" s="139">
        <v>8</v>
      </c>
      <c r="DF94" s="317">
        <v>0</v>
      </c>
      <c r="DG94" s="105">
        <v>205</v>
      </c>
      <c r="DH94" s="139">
        <v>5</v>
      </c>
      <c r="DI94" s="150">
        <v>27</v>
      </c>
      <c r="DJ94" s="105">
        <v>48</v>
      </c>
      <c r="DK94" s="18">
        <v>0</v>
      </c>
      <c r="DL94" s="317">
        <v>0</v>
      </c>
      <c r="DM94" s="105">
        <v>8</v>
      </c>
      <c r="DN94" s="18">
        <v>0</v>
      </c>
      <c r="DO94" s="317">
        <v>0</v>
      </c>
      <c r="DP94" s="105">
        <v>148</v>
      </c>
      <c r="DQ94" s="139">
        <v>16</v>
      </c>
      <c r="DR94" s="150">
        <v>3</v>
      </c>
      <c r="DS94" s="105">
        <v>22</v>
      </c>
      <c r="DT94" s="139">
        <v>2</v>
      </c>
      <c r="DU94" s="150">
        <v>2</v>
      </c>
      <c r="DV94" s="105">
        <v>102</v>
      </c>
      <c r="DW94" s="18">
        <v>0</v>
      </c>
      <c r="DX94" s="317">
        <v>0</v>
      </c>
      <c r="DY94" s="18">
        <v>0</v>
      </c>
      <c r="DZ94" s="18">
        <v>0</v>
      </c>
      <c r="EA94" s="317">
        <v>0</v>
      </c>
      <c r="EB94" s="18">
        <v>0</v>
      </c>
      <c r="EC94" s="18">
        <v>0</v>
      </c>
      <c r="ED94" s="317">
        <v>0</v>
      </c>
      <c r="EE94" s="105">
        <v>219</v>
      </c>
      <c r="EF94" s="139">
        <v>2</v>
      </c>
      <c r="EG94" s="150">
        <v>72</v>
      </c>
      <c r="EH94" s="105">
        <v>10</v>
      </c>
      <c r="EI94" s="18">
        <v>0</v>
      </c>
      <c r="EJ94" s="317">
        <v>0</v>
      </c>
      <c r="EK94" s="105">
        <v>4</v>
      </c>
      <c r="EL94" s="18">
        <v>0</v>
      </c>
      <c r="EM94" s="317">
        <v>0</v>
      </c>
      <c r="EN94" s="105">
        <v>7</v>
      </c>
      <c r="EO94" s="18">
        <v>0</v>
      </c>
      <c r="EP94" s="150">
        <v>1</v>
      </c>
      <c r="EQ94" s="105">
        <v>10</v>
      </c>
      <c r="ER94" s="139">
        <v>2</v>
      </c>
      <c r="ES94" s="150">
        <v>2</v>
      </c>
      <c r="ET94" s="18">
        <v>0</v>
      </c>
      <c r="EU94" s="18">
        <v>0</v>
      </c>
      <c r="EV94" s="317">
        <v>0</v>
      </c>
      <c r="EW94" s="105">
        <v>20</v>
      </c>
      <c r="EX94" s="139">
        <v>1</v>
      </c>
      <c r="EY94" s="150">
        <v>3</v>
      </c>
      <c r="EZ94" s="105">
        <v>9</v>
      </c>
      <c r="FA94" s="18">
        <v>0</v>
      </c>
      <c r="FB94" s="317">
        <v>0</v>
      </c>
      <c r="FC94" s="105">
        <v>41</v>
      </c>
      <c r="FD94" s="139">
        <v>3</v>
      </c>
      <c r="FE94" s="150">
        <v>17</v>
      </c>
      <c r="FF94" s="105">
        <v>553</v>
      </c>
      <c r="FG94" s="139">
        <v>18</v>
      </c>
      <c r="FH94" s="150">
        <v>5</v>
      </c>
      <c r="FI94" s="105">
        <v>39</v>
      </c>
      <c r="FJ94" s="139">
        <v>1</v>
      </c>
      <c r="FK94" s="150">
        <v>2</v>
      </c>
      <c r="FL94" s="105">
        <v>9</v>
      </c>
      <c r="FM94" s="139">
        <v>1</v>
      </c>
      <c r="FN94" s="317">
        <v>0</v>
      </c>
      <c r="FO94" s="649" t="s">
        <v>1041</v>
      </c>
      <c r="FP94" s="531"/>
      <c r="FQ94" s="531"/>
      <c r="FR94" s="531"/>
      <c r="FS94" s="531"/>
      <c r="FT94" s="531"/>
      <c r="FU94" s="645" t="s">
        <v>1042</v>
      </c>
      <c r="FV94" s="531"/>
      <c r="FW94" s="531"/>
      <c r="FX94" s="531"/>
      <c r="FY94" s="531"/>
      <c r="FZ94" s="531"/>
    </row>
    <row r="95" spans="1:182" ht="12.75">
      <c r="A95" s="93">
        <v>43926</v>
      </c>
      <c r="B95" s="14">
        <f t="shared" ref="B95:D95" si="90">SUM(F95,I95,L95,O95,U95,R95,X95,AA95,AD95,AG95,AJ95,AM95,AP95,AS95,AV95,AY95,BB95,BE95,BH95,BK95,BN95,BQ95,BT95,BW95,BZ95,CC95,CI95,CL95,CO95,CR95,CU95,CX95,DA95,DD95,DG95,DJ95,DM95,DP95,DS95,DV95,DY95,EE95,EH95,EK95,EN95,EQ95,ET95,EW95,EZ95,FC95,FF95,FI95,FL95)</f>
        <v>9341</v>
      </c>
      <c r="C95" s="34">
        <f t="shared" si="90"/>
        <v>444</v>
      </c>
      <c r="D95" s="73">
        <f t="shared" si="90"/>
        <v>872</v>
      </c>
      <c r="E95" s="350">
        <f t="shared" si="1"/>
        <v>8025</v>
      </c>
      <c r="F95" s="105">
        <v>1655</v>
      </c>
      <c r="G95" s="139">
        <v>11</v>
      </c>
      <c r="H95" s="150">
        <v>95</v>
      </c>
      <c r="I95" s="105">
        <v>1320</v>
      </c>
      <c r="J95" s="139">
        <v>152</v>
      </c>
      <c r="K95" s="150">
        <v>90</v>
      </c>
      <c r="L95" s="105">
        <v>10</v>
      </c>
      <c r="M95" s="139">
        <v>2</v>
      </c>
      <c r="N95" s="150">
        <v>2</v>
      </c>
      <c r="O95" s="105">
        <v>22</v>
      </c>
      <c r="P95" s="18">
        <v>0</v>
      </c>
      <c r="Q95" s="150">
        <v>5</v>
      </c>
      <c r="R95" s="105">
        <v>6</v>
      </c>
      <c r="S95" s="139">
        <v>1</v>
      </c>
      <c r="T95" s="317">
        <v>0</v>
      </c>
      <c r="U95" s="105">
        <v>345</v>
      </c>
      <c r="V95" s="139">
        <v>17</v>
      </c>
      <c r="W95" s="150">
        <v>90</v>
      </c>
      <c r="X95" s="105">
        <v>3</v>
      </c>
      <c r="Y95" s="18">
        <v>0</v>
      </c>
      <c r="Z95" s="317">
        <v>0</v>
      </c>
      <c r="AA95" s="105">
        <v>650</v>
      </c>
      <c r="AB95" s="139">
        <v>9</v>
      </c>
      <c r="AC95" s="150">
        <v>17</v>
      </c>
      <c r="AD95" s="105">
        <v>7</v>
      </c>
      <c r="AE95" s="139">
        <v>1</v>
      </c>
      <c r="AF95" s="317">
        <v>0</v>
      </c>
      <c r="AG95" s="105">
        <v>261</v>
      </c>
      <c r="AH95" s="139">
        <v>3</v>
      </c>
      <c r="AI95" s="150">
        <v>37</v>
      </c>
      <c r="AJ95" s="105">
        <v>59</v>
      </c>
      <c r="AK95" s="18">
        <v>0</v>
      </c>
      <c r="AL95" s="150">
        <v>9</v>
      </c>
      <c r="AM95" s="105">
        <v>1173</v>
      </c>
      <c r="AN95" s="139">
        <v>78</v>
      </c>
      <c r="AO95" s="150">
        <v>247</v>
      </c>
      <c r="AP95" s="105">
        <v>29</v>
      </c>
      <c r="AQ95" s="18">
        <v>0</v>
      </c>
      <c r="AR95" s="317">
        <v>0</v>
      </c>
      <c r="AS95" s="105">
        <v>9</v>
      </c>
      <c r="AT95" s="18">
        <v>0</v>
      </c>
      <c r="AU95" s="317">
        <v>0</v>
      </c>
      <c r="AV95" s="105">
        <v>43</v>
      </c>
      <c r="AW95" s="139">
        <v>2</v>
      </c>
      <c r="AX95" s="150">
        <v>4</v>
      </c>
      <c r="AY95" s="105">
        <v>21</v>
      </c>
      <c r="AZ95" s="139">
        <v>1</v>
      </c>
      <c r="BA95" s="150">
        <v>1</v>
      </c>
      <c r="BB95" s="105">
        <v>4</v>
      </c>
      <c r="BC95" s="139">
        <v>1</v>
      </c>
      <c r="BD95" s="150">
        <v>2</v>
      </c>
      <c r="BE95" s="105">
        <v>214</v>
      </c>
      <c r="BF95" s="139">
        <v>5</v>
      </c>
      <c r="BG95" s="150">
        <v>3</v>
      </c>
      <c r="BH95" s="105">
        <v>121</v>
      </c>
      <c r="BI95" s="18">
        <v>0</v>
      </c>
      <c r="BJ95" s="150">
        <v>5</v>
      </c>
      <c r="BK95" s="105">
        <v>18</v>
      </c>
      <c r="BL95" s="18">
        <v>0</v>
      </c>
      <c r="BM95" s="317">
        <v>0</v>
      </c>
      <c r="BN95" s="105">
        <v>16</v>
      </c>
      <c r="BO95" s="18">
        <v>0</v>
      </c>
      <c r="BP95" s="150">
        <v>1</v>
      </c>
      <c r="BQ95" s="105">
        <v>142</v>
      </c>
      <c r="BR95" s="139">
        <v>4</v>
      </c>
      <c r="BS95" s="150">
        <v>4</v>
      </c>
      <c r="BT95" s="105">
        <v>47</v>
      </c>
      <c r="BU95" s="18">
        <v>0</v>
      </c>
      <c r="BV95" s="317">
        <v>0</v>
      </c>
      <c r="BW95" s="105">
        <v>10</v>
      </c>
      <c r="BX95" s="139">
        <v>1</v>
      </c>
      <c r="BY95" s="150">
        <v>3</v>
      </c>
      <c r="BZ95" s="105">
        <v>18</v>
      </c>
      <c r="CA95" s="139">
        <v>1</v>
      </c>
      <c r="CB95" s="317">
        <v>0</v>
      </c>
      <c r="CC95" s="105">
        <v>72</v>
      </c>
      <c r="CD95" s="18">
        <v>0</v>
      </c>
      <c r="CE95" s="150">
        <v>2</v>
      </c>
      <c r="CF95" s="105">
        <v>4</v>
      </c>
      <c r="CG95" s="18">
        <v>0</v>
      </c>
      <c r="CH95" s="317">
        <v>0</v>
      </c>
      <c r="CI95" s="105">
        <v>45</v>
      </c>
      <c r="CJ95" s="139">
        <v>5</v>
      </c>
      <c r="CK95" s="150">
        <v>1</v>
      </c>
      <c r="CL95" s="105">
        <v>1021</v>
      </c>
      <c r="CM95" s="139">
        <v>70</v>
      </c>
      <c r="CN95" s="150">
        <v>76</v>
      </c>
      <c r="CO95" s="105">
        <v>227</v>
      </c>
      <c r="CP95" s="139">
        <v>7</v>
      </c>
      <c r="CQ95" s="150">
        <v>7</v>
      </c>
      <c r="CR95" s="105">
        <v>6</v>
      </c>
      <c r="CS95" s="139">
        <v>1</v>
      </c>
      <c r="CT95" s="150">
        <v>2</v>
      </c>
      <c r="CU95" s="105">
        <v>11</v>
      </c>
      <c r="CV95" s="139">
        <v>2</v>
      </c>
      <c r="CW95" s="317">
        <v>0</v>
      </c>
      <c r="CX95" s="105">
        <v>10</v>
      </c>
      <c r="CY95" s="18">
        <v>0</v>
      </c>
      <c r="CZ95" s="150">
        <v>1</v>
      </c>
      <c r="DA95" s="105">
        <v>16</v>
      </c>
      <c r="DB95" s="18">
        <v>0</v>
      </c>
      <c r="DC95" s="150">
        <v>3</v>
      </c>
      <c r="DD95" s="105">
        <v>184</v>
      </c>
      <c r="DE95" s="139">
        <v>10</v>
      </c>
      <c r="DF95" s="150">
        <v>13</v>
      </c>
      <c r="DG95" s="105">
        <v>224</v>
      </c>
      <c r="DH95" s="139">
        <v>5</v>
      </c>
      <c r="DI95" s="150">
        <v>27</v>
      </c>
      <c r="DJ95" s="105">
        <v>52</v>
      </c>
      <c r="DK95" s="18">
        <v>0</v>
      </c>
      <c r="DL95" s="317">
        <v>0</v>
      </c>
      <c r="DM95" s="105">
        <v>8</v>
      </c>
      <c r="DN95" s="18">
        <v>0</v>
      </c>
      <c r="DO95" s="317">
        <v>0</v>
      </c>
      <c r="DP95" s="105">
        <v>154</v>
      </c>
      <c r="DQ95" s="139">
        <v>18</v>
      </c>
      <c r="DR95" s="150">
        <v>3</v>
      </c>
      <c r="DS95" s="105">
        <v>45</v>
      </c>
      <c r="DT95" s="139">
        <v>5</v>
      </c>
      <c r="DU95" s="150">
        <v>2</v>
      </c>
      <c r="DV95" s="105">
        <v>104</v>
      </c>
      <c r="DW95" s="18">
        <v>0</v>
      </c>
      <c r="DX95" s="150">
        <v>4</v>
      </c>
      <c r="DY95" s="105">
        <v>4</v>
      </c>
      <c r="DZ95" s="18">
        <v>0</v>
      </c>
      <c r="EA95" s="317">
        <v>0</v>
      </c>
      <c r="EB95" s="18">
        <v>0</v>
      </c>
      <c r="EC95" s="18">
        <v>0</v>
      </c>
      <c r="ED95" s="317">
        <v>0</v>
      </c>
      <c r="EE95" s="105">
        <v>222</v>
      </c>
      <c r="EF95" s="139">
        <v>2</v>
      </c>
      <c r="EG95" s="150">
        <v>82</v>
      </c>
      <c r="EH95" s="105">
        <v>10</v>
      </c>
      <c r="EI95" s="18">
        <v>0</v>
      </c>
      <c r="EJ95" s="317">
        <v>0</v>
      </c>
      <c r="EK95" s="105">
        <v>6</v>
      </c>
      <c r="EL95" s="18">
        <v>0</v>
      </c>
      <c r="EM95" s="317">
        <v>0</v>
      </c>
      <c r="EN95" s="105">
        <v>7</v>
      </c>
      <c r="EO95" s="18">
        <v>0</v>
      </c>
      <c r="EP95" s="150">
        <v>1</v>
      </c>
      <c r="EQ95" s="105">
        <v>12</v>
      </c>
      <c r="ER95" s="139">
        <v>2</v>
      </c>
      <c r="ES95" s="150">
        <v>2</v>
      </c>
      <c r="ET95" s="105">
        <v>1</v>
      </c>
      <c r="EU95" s="18">
        <v>0</v>
      </c>
      <c r="EV95" s="317">
        <v>0</v>
      </c>
      <c r="EW95" s="105">
        <v>22</v>
      </c>
      <c r="EX95" s="139">
        <v>1</v>
      </c>
      <c r="EY95" s="150">
        <v>3</v>
      </c>
      <c r="EZ95" s="105">
        <v>9</v>
      </c>
      <c r="FA95" s="18">
        <v>0</v>
      </c>
      <c r="FB95" s="317">
        <v>0</v>
      </c>
      <c r="FC95" s="105">
        <v>44</v>
      </c>
      <c r="FD95" s="139">
        <v>3</v>
      </c>
      <c r="FE95" s="150">
        <v>20</v>
      </c>
      <c r="FF95" s="105">
        <v>574</v>
      </c>
      <c r="FG95" s="139">
        <v>22</v>
      </c>
      <c r="FH95" s="150">
        <v>5</v>
      </c>
      <c r="FI95" s="105">
        <v>39</v>
      </c>
      <c r="FJ95" s="139">
        <v>1</v>
      </c>
      <c r="FK95" s="150">
        <v>3</v>
      </c>
      <c r="FL95" s="105">
        <v>9</v>
      </c>
      <c r="FM95" s="139">
        <v>1</v>
      </c>
      <c r="FN95" s="317">
        <v>0</v>
      </c>
      <c r="FO95" s="649" t="s">
        <v>1045</v>
      </c>
      <c r="FP95" s="531"/>
      <c r="FQ95" s="531"/>
      <c r="FR95" s="531"/>
      <c r="FS95" s="531"/>
      <c r="FT95" s="531"/>
      <c r="FU95" s="636" t="s">
        <v>1046</v>
      </c>
      <c r="FV95" s="531"/>
      <c r="FW95" s="531"/>
      <c r="FX95" s="531"/>
      <c r="FY95" s="531"/>
      <c r="FZ95" s="531"/>
    </row>
    <row r="96" spans="1:182" ht="12.75">
      <c r="A96" s="93">
        <v>43927</v>
      </c>
      <c r="B96" s="14">
        <f t="shared" ref="B96:D96" si="91">SUM(F96,I96,L96,O96,U96,R96,X96,AA96,AD96,AG96,AJ96,AM96,AP96,AS96,AV96,AY96,BB96,BE96,BH96,BK96,BN96,BQ96,BT96,BW96,BZ96,CC96,CI96,CL96,CO96,CR96,CU96,CX96,DA96,DD96,DG96,DJ96,DM96,DP96,DS96,DV96,DY96,EB96,EE96,EH96,EK96,EN96,EQ96,ET96,EW96,EZ96,FC96,FF96,FI96,FL96)</f>
        <v>9762</v>
      </c>
      <c r="C96" s="34">
        <f t="shared" si="91"/>
        <v>481</v>
      </c>
      <c r="D96" s="73">
        <f t="shared" si="91"/>
        <v>911</v>
      </c>
      <c r="E96" s="350">
        <f t="shared" si="1"/>
        <v>8370</v>
      </c>
      <c r="F96" s="105">
        <v>1686</v>
      </c>
      <c r="G96" s="139">
        <v>12</v>
      </c>
      <c r="H96" s="150">
        <v>95</v>
      </c>
      <c r="I96" s="105">
        <v>1423</v>
      </c>
      <c r="J96" s="139">
        <v>173</v>
      </c>
      <c r="K96" s="150">
        <v>90</v>
      </c>
      <c r="L96" s="105">
        <v>16</v>
      </c>
      <c r="M96" s="139">
        <v>2</v>
      </c>
      <c r="N96" s="150">
        <v>2</v>
      </c>
      <c r="O96" s="105">
        <v>23</v>
      </c>
      <c r="P96" s="139">
        <v>1</v>
      </c>
      <c r="Q96" s="150">
        <v>5</v>
      </c>
      <c r="R96" s="105">
        <v>6</v>
      </c>
      <c r="S96" s="139">
        <v>1</v>
      </c>
      <c r="T96" s="317">
        <v>0</v>
      </c>
      <c r="U96" s="105">
        <v>345</v>
      </c>
      <c r="V96" s="139">
        <v>17</v>
      </c>
      <c r="W96" s="150">
        <v>90</v>
      </c>
      <c r="X96" s="105">
        <v>3</v>
      </c>
      <c r="Y96" s="18">
        <v>0</v>
      </c>
      <c r="Z96" s="317">
        <v>0</v>
      </c>
      <c r="AA96" s="105">
        <v>658</v>
      </c>
      <c r="AB96" s="139">
        <v>9</v>
      </c>
      <c r="AC96" s="150">
        <v>17</v>
      </c>
      <c r="AD96" s="105">
        <v>7</v>
      </c>
      <c r="AE96" s="139">
        <v>1</v>
      </c>
      <c r="AF96" s="150">
        <v>1</v>
      </c>
      <c r="AG96" s="105">
        <v>323</v>
      </c>
      <c r="AH96" s="139">
        <v>3</v>
      </c>
      <c r="AI96" s="150">
        <v>41</v>
      </c>
      <c r="AJ96" s="105">
        <v>59</v>
      </c>
      <c r="AK96" s="18">
        <v>0</v>
      </c>
      <c r="AL96" s="150">
        <v>9</v>
      </c>
      <c r="AM96" s="105">
        <v>1173</v>
      </c>
      <c r="AN96" s="139">
        <v>78</v>
      </c>
      <c r="AO96" s="150">
        <v>247</v>
      </c>
      <c r="AP96" s="105">
        <v>29</v>
      </c>
      <c r="AQ96" s="18">
        <v>0</v>
      </c>
      <c r="AR96" s="317">
        <v>0</v>
      </c>
      <c r="AS96" s="105">
        <v>10</v>
      </c>
      <c r="AT96" s="18">
        <v>0</v>
      </c>
      <c r="AU96" s="150">
        <v>4</v>
      </c>
      <c r="AV96" s="105">
        <v>44</v>
      </c>
      <c r="AW96" s="139">
        <v>2</v>
      </c>
      <c r="AX96" s="150">
        <v>4</v>
      </c>
      <c r="AY96" s="105">
        <v>24</v>
      </c>
      <c r="AZ96" s="139">
        <v>1</v>
      </c>
      <c r="BA96" s="150">
        <v>1</v>
      </c>
      <c r="BB96" s="105">
        <v>4</v>
      </c>
      <c r="BC96" s="139">
        <v>1</v>
      </c>
      <c r="BD96" s="150">
        <v>2</v>
      </c>
      <c r="BE96" s="105">
        <v>214</v>
      </c>
      <c r="BF96" s="139">
        <v>5</v>
      </c>
      <c r="BG96" s="150">
        <v>3</v>
      </c>
      <c r="BH96" s="105">
        <v>121</v>
      </c>
      <c r="BI96" s="18">
        <v>0</v>
      </c>
      <c r="BJ96" s="150">
        <v>5</v>
      </c>
      <c r="BK96" s="105">
        <v>18</v>
      </c>
      <c r="BL96" s="18">
        <v>0</v>
      </c>
      <c r="BM96" s="317">
        <v>0</v>
      </c>
      <c r="BN96" s="105">
        <v>16</v>
      </c>
      <c r="BO96" s="18">
        <v>0</v>
      </c>
      <c r="BP96" s="150">
        <v>1</v>
      </c>
      <c r="BQ96" s="105">
        <v>158</v>
      </c>
      <c r="BR96" s="139">
        <v>6</v>
      </c>
      <c r="BS96" s="150">
        <v>4</v>
      </c>
      <c r="BT96" s="105">
        <v>47</v>
      </c>
      <c r="BU96" s="18">
        <v>0</v>
      </c>
      <c r="BV96" s="317">
        <v>0</v>
      </c>
      <c r="BW96" s="105">
        <v>14</v>
      </c>
      <c r="BX96" s="139">
        <v>3</v>
      </c>
      <c r="BY96" s="150">
        <v>3</v>
      </c>
      <c r="BZ96" s="105">
        <v>18</v>
      </c>
      <c r="CA96" s="139">
        <v>1</v>
      </c>
      <c r="CB96" s="150">
        <v>1</v>
      </c>
      <c r="CC96" s="105">
        <v>82</v>
      </c>
      <c r="CD96" s="18">
        <v>0</v>
      </c>
      <c r="CE96" s="150">
        <v>2</v>
      </c>
      <c r="CF96" s="105">
        <v>5</v>
      </c>
      <c r="CG96" s="18">
        <v>0</v>
      </c>
      <c r="CH96" s="317">
        <v>0</v>
      </c>
      <c r="CI96" s="105">
        <v>47</v>
      </c>
      <c r="CJ96" s="139">
        <v>5</v>
      </c>
      <c r="CK96" s="150">
        <v>9</v>
      </c>
      <c r="CL96" s="105">
        <v>1120</v>
      </c>
      <c r="CM96" s="139">
        <v>80</v>
      </c>
      <c r="CN96" s="150">
        <v>81</v>
      </c>
      <c r="CO96" s="105">
        <v>244</v>
      </c>
      <c r="CP96" s="139">
        <v>7</v>
      </c>
      <c r="CQ96" s="150">
        <v>7</v>
      </c>
      <c r="CR96" s="105">
        <v>6</v>
      </c>
      <c r="CS96" s="139">
        <v>1</v>
      </c>
      <c r="CT96" s="150">
        <v>2</v>
      </c>
      <c r="CU96" s="105">
        <v>11</v>
      </c>
      <c r="CV96" s="139">
        <v>2</v>
      </c>
      <c r="CW96" s="317">
        <v>0</v>
      </c>
      <c r="CX96" s="105">
        <v>10</v>
      </c>
      <c r="CY96" s="18">
        <v>0</v>
      </c>
      <c r="CZ96" s="150">
        <v>1</v>
      </c>
      <c r="DA96" s="105">
        <v>16</v>
      </c>
      <c r="DB96" s="18">
        <v>0</v>
      </c>
      <c r="DC96" s="150">
        <v>3</v>
      </c>
      <c r="DD96" s="105">
        <v>184</v>
      </c>
      <c r="DE96" s="139">
        <v>10</v>
      </c>
      <c r="DF96" s="150">
        <v>13</v>
      </c>
      <c r="DG96" s="105">
        <v>232</v>
      </c>
      <c r="DH96" s="139">
        <v>5</v>
      </c>
      <c r="DI96" s="150">
        <v>27</v>
      </c>
      <c r="DJ96" s="105">
        <v>52</v>
      </c>
      <c r="DK96" s="18">
        <v>0</v>
      </c>
      <c r="DL96" s="317">
        <v>0</v>
      </c>
      <c r="DM96" s="105">
        <v>8</v>
      </c>
      <c r="DN96" s="18">
        <v>0</v>
      </c>
      <c r="DO96" s="317">
        <v>0</v>
      </c>
      <c r="DP96" s="105">
        <v>161</v>
      </c>
      <c r="DQ96" s="139">
        <v>18</v>
      </c>
      <c r="DR96" s="150">
        <v>5</v>
      </c>
      <c r="DS96" s="105">
        <v>45</v>
      </c>
      <c r="DT96" s="139">
        <v>5</v>
      </c>
      <c r="DU96" s="150">
        <v>2</v>
      </c>
      <c r="DV96" s="105">
        <v>105</v>
      </c>
      <c r="DW96" s="18">
        <v>0</v>
      </c>
      <c r="DX96" s="150">
        <v>4</v>
      </c>
      <c r="DY96" s="105">
        <v>4</v>
      </c>
      <c r="DZ96" s="18">
        <v>0</v>
      </c>
      <c r="EA96" s="317">
        <v>0</v>
      </c>
      <c r="EB96" s="105">
        <v>4</v>
      </c>
      <c r="EC96" s="18">
        <v>0</v>
      </c>
      <c r="ED96" s="317">
        <v>0</v>
      </c>
      <c r="EE96" s="105">
        <v>226</v>
      </c>
      <c r="EF96" s="139">
        <v>2</v>
      </c>
      <c r="EG96" s="150">
        <v>92</v>
      </c>
      <c r="EH96" s="105">
        <v>11</v>
      </c>
      <c r="EI96" s="18">
        <v>0</v>
      </c>
      <c r="EJ96" s="317">
        <v>0</v>
      </c>
      <c r="EK96" s="105">
        <v>6</v>
      </c>
      <c r="EL96" s="18">
        <v>0</v>
      </c>
      <c r="EM96" s="317">
        <v>0</v>
      </c>
      <c r="EN96" s="105">
        <v>7</v>
      </c>
      <c r="EO96" s="18">
        <v>0</v>
      </c>
      <c r="EP96" s="150">
        <v>1</v>
      </c>
      <c r="EQ96" s="105">
        <v>12</v>
      </c>
      <c r="ER96" s="139">
        <v>2</v>
      </c>
      <c r="ES96" s="150">
        <v>2</v>
      </c>
      <c r="ET96" s="105">
        <v>1</v>
      </c>
      <c r="EU96" s="18">
        <v>0</v>
      </c>
      <c r="EV96" s="317">
        <v>0</v>
      </c>
      <c r="EW96" s="105">
        <v>24</v>
      </c>
      <c r="EX96" s="139">
        <v>1</v>
      </c>
      <c r="EY96" s="150">
        <v>3</v>
      </c>
      <c r="EZ96" s="105">
        <v>9</v>
      </c>
      <c r="FA96" s="18">
        <v>0</v>
      </c>
      <c r="FB96" s="317">
        <v>0</v>
      </c>
      <c r="FC96" s="105">
        <v>52</v>
      </c>
      <c r="FD96" s="139">
        <v>3</v>
      </c>
      <c r="FE96" s="150">
        <v>22</v>
      </c>
      <c r="FF96" s="105">
        <v>596</v>
      </c>
      <c r="FG96" s="139">
        <v>22</v>
      </c>
      <c r="FH96" s="150">
        <v>5</v>
      </c>
      <c r="FI96" s="105">
        <v>39</v>
      </c>
      <c r="FJ96" s="139">
        <v>1</v>
      </c>
      <c r="FK96" s="150">
        <v>5</v>
      </c>
      <c r="FL96" s="105">
        <v>9</v>
      </c>
      <c r="FM96" s="139">
        <v>1</v>
      </c>
      <c r="FN96" s="317">
        <v>0</v>
      </c>
      <c r="FO96" s="649" t="s">
        <v>1049</v>
      </c>
      <c r="FP96" s="531"/>
      <c r="FQ96" s="531"/>
      <c r="FR96" s="531"/>
      <c r="FS96" s="531"/>
      <c r="FT96" s="531"/>
      <c r="FU96" s="645" t="s">
        <v>294</v>
      </c>
      <c r="FV96" s="531"/>
      <c r="FW96" s="531"/>
      <c r="FX96" s="531"/>
      <c r="FY96" s="531"/>
      <c r="FZ96" s="531"/>
    </row>
    <row r="97" spans="1:182" ht="12.75">
      <c r="A97" s="93">
        <v>43928</v>
      </c>
      <c r="B97" s="14">
        <f t="shared" ref="B97:B110" si="92">SUM(F97,I97,L97,O97,U97,R97,X97,AA97,AD97,AG97,AJ97,AM97,AP97,AS97,AV97,AY97,BB97,BE97,BH97,BK97,BN97,BQ97,BT97,BW97,BZ97,CC97,CI97,CL97,CO97,CR97,CU97,CX97,DA97,DD97,DG97,DJ97,DM97,DP97,DS97,DV97,DY97,EB97,EE97,EH97,EK97,EN97,EQ97,ET97,EW97,EZ97,FC97,FF97,FI97,FL97)</f>
        <v>10555</v>
      </c>
      <c r="C97" s="34">
        <f t="shared" ref="C97:D97" si="93">SUM(G97,J97,M97,P97,V97,S97,Y97,AB97,AE97,AH97,AK97,AN97,AQ97,AT97,AW97,AZ97,BC97,BF97,BI97,BL97,BO97,BR97,BU97,BX97,CA97,CD97,CG97,CJ97,CM97,CP97,CS97,CV97,CY97,DB97,DE97,DH97,DK97,DN97,DQ97,DT97,DW97,DZ97,EC97,EF97,EI97,EL97,EO97,ER97,EU97,EX97,FA97,FD97,FG97,FJ97,FM97)</f>
        <v>531</v>
      </c>
      <c r="D97" s="73">
        <f t="shared" si="93"/>
        <v>1066</v>
      </c>
      <c r="E97" s="350">
        <f t="shared" si="1"/>
        <v>8958</v>
      </c>
      <c r="F97" s="105">
        <v>1749</v>
      </c>
      <c r="G97" s="139">
        <v>13</v>
      </c>
      <c r="H97" s="150">
        <v>95</v>
      </c>
      <c r="I97" s="105">
        <v>1468</v>
      </c>
      <c r="J97" s="139">
        <v>193</v>
      </c>
      <c r="K97" s="150">
        <v>113</v>
      </c>
      <c r="L97" s="105">
        <v>17</v>
      </c>
      <c r="M97" s="139">
        <v>2</v>
      </c>
      <c r="N97" s="150">
        <v>2</v>
      </c>
      <c r="O97" s="105">
        <v>26</v>
      </c>
      <c r="P97" s="139">
        <v>1</v>
      </c>
      <c r="Q97" s="150">
        <v>5</v>
      </c>
      <c r="R97" s="105">
        <v>6</v>
      </c>
      <c r="S97" s="139">
        <v>1</v>
      </c>
      <c r="T97" s="317">
        <v>0</v>
      </c>
      <c r="U97" s="105">
        <v>364</v>
      </c>
      <c r="V97" s="139">
        <v>18</v>
      </c>
      <c r="W97" s="150">
        <v>108</v>
      </c>
      <c r="X97" s="105">
        <v>3</v>
      </c>
      <c r="Y97" s="18">
        <v>0</v>
      </c>
      <c r="Z97" s="317">
        <v>0</v>
      </c>
      <c r="AA97" s="105">
        <v>658</v>
      </c>
      <c r="AB97" s="139">
        <v>9</v>
      </c>
      <c r="AC97" s="150">
        <v>17</v>
      </c>
      <c r="AD97" s="105">
        <v>7</v>
      </c>
      <c r="AE97" s="139">
        <v>1</v>
      </c>
      <c r="AF97" s="150">
        <v>1</v>
      </c>
      <c r="AG97" s="105">
        <v>323</v>
      </c>
      <c r="AH97" s="139">
        <v>3</v>
      </c>
      <c r="AI97" s="150">
        <v>41</v>
      </c>
      <c r="AJ97" s="105">
        <v>90</v>
      </c>
      <c r="AK97" s="18">
        <v>0</v>
      </c>
      <c r="AL97" s="150">
        <v>9</v>
      </c>
      <c r="AM97" s="105">
        <v>1450</v>
      </c>
      <c r="AN97" s="139">
        <v>94</v>
      </c>
      <c r="AO97" s="150">
        <v>276</v>
      </c>
      <c r="AP97" s="105">
        <v>31</v>
      </c>
      <c r="AQ97" s="18">
        <v>0</v>
      </c>
      <c r="AR97" s="317">
        <v>0</v>
      </c>
      <c r="AS97" s="105">
        <v>10</v>
      </c>
      <c r="AT97" s="18">
        <v>0</v>
      </c>
      <c r="AU97" s="150">
        <v>4</v>
      </c>
      <c r="AV97" s="105">
        <v>52</v>
      </c>
      <c r="AW97" s="139">
        <v>2</v>
      </c>
      <c r="AX97" s="150">
        <v>4</v>
      </c>
      <c r="AY97" s="105">
        <v>30</v>
      </c>
      <c r="AZ97" s="139">
        <v>1</v>
      </c>
      <c r="BA97" s="150">
        <v>1</v>
      </c>
      <c r="BB97" s="105">
        <v>4</v>
      </c>
      <c r="BC97" s="139">
        <v>1</v>
      </c>
      <c r="BD97" s="150">
        <v>2</v>
      </c>
      <c r="BE97" s="105">
        <v>287</v>
      </c>
      <c r="BF97" s="139">
        <v>5</v>
      </c>
      <c r="BG97" s="150">
        <v>3</v>
      </c>
      <c r="BH97" s="105">
        <v>128</v>
      </c>
      <c r="BI97" s="18">
        <v>0</v>
      </c>
      <c r="BJ97" s="150">
        <v>5</v>
      </c>
      <c r="BK97" s="105">
        <v>33</v>
      </c>
      <c r="BL97" s="18">
        <v>0</v>
      </c>
      <c r="BM97" s="317">
        <v>0</v>
      </c>
      <c r="BN97" s="105">
        <v>16</v>
      </c>
      <c r="BO97" s="18">
        <v>0</v>
      </c>
      <c r="BP97" s="150">
        <v>3</v>
      </c>
      <c r="BQ97" s="105">
        <v>172</v>
      </c>
      <c r="BR97" s="139">
        <v>6</v>
      </c>
      <c r="BS97" s="150">
        <v>7</v>
      </c>
      <c r="BT97" s="105">
        <v>47</v>
      </c>
      <c r="BU97" s="18">
        <v>0</v>
      </c>
      <c r="BV97" s="317">
        <v>0</v>
      </c>
      <c r="BW97" s="105">
        <v>14</v>
      </c>
      <c r="BX97" s="139">
        <v>3</v>
      </c>
      <c r="BY97" s="150">
        <v>3</v>
      </c>
      <c r="BZ97" s="105">
        <v>19</v>
      </c>
      <c r="CA97" s="139">
        <v>1</v>
      </c>
      <c r="CB97" s="150">
        <v>1</v>
      </c>
      <c r="CC97" s="105">
        <v>82</v>
      </c>
      <c r="CD97" s="18">
        <v>0</v>
      </c>
      <c r="CE97" s="150">
        <v>2</v>
      </c>
      <c r="CF97" s="105">
        <v>8</v>
      </c>
      <c r="CG97" s="139">
        <v>1</v>
      </c>
      <c r="CH97" s="317">
        <v>0</v>
      </c>
      <c r="CI97" s="105">
        <v>56</v>
      </c>
      <c r="CJ97" s="139">
        <v>5</v>
      </c>
      <c r="CK97" s="150">
        <v>12</v>
      </c>
      <c r="CL97" s="105">
        <v>1184</v>
      </c>
      <c r="CM97" s="139">
        <v>90</v>
      </c>
      <c r="CN97" s="150">
        <v>93</v>
      </c>
      <c r="CO97" s="105">
        <v>268</v>
      </c>
      <c r="CP97" s="139">
        <v>7</v>
      </c>
      <c r="CQ97" s="150">
        <v>8</v>
      </c>
      <c r="CR97" s="105">
        <v>6</v>
      </c>
      <c r="CS97" s="139">
        <v>1</v>
      </c>
      <c r="CT97" s="150">
        <v>2</v>
      </c>
      <c r="CU97" s="105">
        <v>11</v>
      </c>
      <c r="CV97" s="139">
        <v>2</v>
      </c>
      <c r="CW97" s="317">
        <v>0</v>
      </c>
      <c r="CX97" s="105">
        <v>10</v>
      </c>
      <c r="CY97" s="18">
        <v>0</v>
      </c>
      <c r="CZ97" s="150">
        <v>1</v>
      </c>
      <c r="DA97" s="105">
        <v>16</v>
      </c>
      <c r="DB97" s="18">
        <v>0</v>
      </c>
      <c r="DC97" s="150">
        <v>3</v>
      </c>
      <c r="DD97" s="105">
        <v>253</v>
      </c>
      <c r="DE97" s="139">
        <v>10</v>
      </c>
      <c r="DF97" s="150">
        <v>26</v>
      </c>
      <c r="DG97" s="105">
        <v>238</v>
      </c>
      <c r="DH97" s="139">
        <v>5</v>
      </c>
      <c r="DI97" s="150">
        <v>35</v>
      </c>
      <c r="DJ97" s="105">
        <v>52</v>
      </c>
      <c r="DK97" s="18">
        <v>0</v>
      </c>
      <c r="DL97" s="317">
        <v>0</v>
      </c>
      <c r="DM97" s="105">
        <v>8</v>
      </c>
      <c r="DN97" s="18">
        <v>0</v>
      </c>
      <c r="DO97" s="317">
        <v>0</v>
      </c>
      <c r="DP97" s="105">
        <v>161</v>
      </c>
      <c r="DQ97" s="139">
        <v>18</v>
      </c>
      <c r="DR97" s="150">
        <v>5</v>
      </c>
      <c r="DS97" s="105">
        <v>45</v>
      </c>
      <c r="DT97" s="139">
        <v>5</v>
      </c>
      <c r="DU97" s="150">
        <v>2</v>
      </c>
      <c r="DV97" s="105">
        <v>105</v>
      </c>
      <c r="DW97" s="18">
        <v>0</v>
      </c>
      <c r="DX97" s="150">
        <v>7</v>
      </c>
      <c r="DY97" s="105">
        <v>4</v>
      </c>
      <c r="DZ97" s="18">
        <v>0</v>
      </c>
      <c r="EA97" s="317">
        <v>0</v>
      </c>
      <c r="EB97" s="105">
        <v>4</v>
      </c>
      <c r="EC97" s="18">
        <v>0</v>
      </c>
      <c r="ED97" s="317">
        <v>0</v>
      </c>
      <c r="EE97" s="105">
        <v>237</v>
      </c>
      <c r="EF97" s="139">
        <v>2</v>
      </c>
      <c r="EG97" s="150">
        <v>105</v>
      </c>
      <c r="EH97" s="105">
        <v>11</v>
      </c>
      <c r="EI97" s="18">
        <v>0</v>
      </c>
      <c r="EJ97" s="317">
        <v>0</v>
      </c>
      <c r="EK97" s="105">
        <v>6</v>
      </c>
      <c r="EL97" s="18">
        <v>0</v>
      </c>
      <c r="EM97" s="317">
        <v>0</v>
      </c>
      <c r="EN97" s="105">
        <v>8</v>
      </c>
      <c r="EO97" s="18">
        <v>0</v>
      </c>
      <c r="EP97" s="150">
        <v>1</v>
      </c>
      <c r="EQ97" s="105">
        <v>14</v>
      </c>
      <c r="ER97" s="139">
        <v>2</v>
      </c>
      <c r="ES97" s="150">
        <v>2</v>
      </c>
      <c r="ET97" s="105">
        <v>1</v>
      </c>
      <c r="EU97" s="18">
        <v>0</v>
      </c>
      <c r="EV97" s="317">
        <v>0</v>
      </c>
      <c r="EW97" s="105">
        <v>24</v>
      </c>
      <c r="EX97" s="139">
        <v>1</v>
      </c>
      <c r="EY97" s="150">
        <v>5</v>
      </c>
      <c r="EZ97" s="105">
        <v>10</v>
      </c>
      <c r="FA97" s="18">
        <v>0</v>
      </c>
      <c r="FB97" s="150">
        <v>2</v>
      </c>
      <c r="FC97" s="105">
        <v>65</v>
      </c>
      <c r="FD97" s="139">
        <v>3</v>
      </c>
      <c r="FE97" s="150">
        <v>23</v>
      </c>
      <c r="FF97" s="105">
        <v>623</v>
      </c>
      <c r="FG97" s="139">
        <v>23</v>
      </c>
      <c r="FH97" s="150">
        <v>25</v>
      </c>
      <c r="FI97" s="105">
        <v>39</v>
      </c>
      <c r="FJ97" s="139">
        <v>1</v>
      </c>
      <c r="FK97" s="150">
        <v>7</v>
      </c>
      <c r="FL97" s="105">
        <v>10</v>
      </c>
      <c r="FM97" s="139">
        <v>1</v>
      </c>
      <c r="FN97" s="317">
        <v>0</v>
      </c>
      <c r="FO97" s="649" t="s">
        <v>297</v>
      </c>
      <c r="FP97" s="531"/>
      <c r="FQ97" s="531"/>
      <c r="FR97" s="531"/>
      <c r="FS97" s="531"/>
      <c r="FT97" s="531"/>
      <c r="FU97" s="645" t="s">
        <v>1052</v>
      </c>
      <c r="FV97" s="531"/>
      <c r="FW97" s="531"/>
      <c r="FX97" s="531"/>
      <c r="FY97" s="531"/>
      <c r="FZ97" s="531"/>
    </row>
    <row r="98" spans="1:182" ht="12.75">
      <c r="A98" s="93">
        <v>43929</v>
      </c>
      <c r="B98" s="14">
        <f t="shared" si="92"/>
        <v>11395</v>
      </c>
      <c r="C98" s="34">
        <f t="shared" ref="C98:D98" si="94">SUM(G98,J98,M98,P98,V98,S98,Y98,AB98,AE98,AH98,AK98,AN98,AQ98,AT98,AW98,AZ98,BC98,BF98,BI98,BL98,BO98,BR98,BU98,BX98,CA98,CD98,CG98,CJ98,CM98,CP98,CS98,CV98,CY98,DB98,DE98,DH98,DK98,DN98,DQ98,DT98,DW98,DZ98,EC98,EF98,EI98,EL98,EO98,ER98,EU98,EX98,FA98,FD98,FG98,FJ98,FM98)</f>
        <v>576</v>
      </c>
      <c r="D98" s="73">
        <f t="shared" si="94"/>
        <v>1374</v>
      </c>
      <c r="E98" s="350">
        <f t="shared" si="1"/>
        <v>9445</v>
      </c>
      <c r="F98" s="105">
        <v>1845</v>
      </c>
      <c r="G98" s="139">
        <v>18</v>
      </c>
      <c r="H98" s="150">
        <v>95</v>
      </c>
      <c r="I98" s="105">
        <v>1572</v>
      </c>
      <c r="J98" s="139">
        <v>205</v>
      </c>
      <c r="K98" s="150">
        <v>237</v>
      </c>
      <c r="L98" s="105">
        <v>19</v>
      </c>
      <c r="M98" s="139">
        <v>2</v>
      </c>
      <c r="N98" s="150">
        <v>2</v>
      </c>
      <c r="O98" s="105">
        <v>26</v>
      </c>
      <c r="P98" s="139">
        <v>1</v>
      </c>
      <c r="Q98" s="150">
        <v>5</v>
      </c>
      <c r="R98" s="105">
        <v>6</v>
      </c>
      <c r="S98" s="139">
        <v>1</v>
      </c>
      <c r="T98" s="317">
        <v>0</v>
      </c>
      <c r="U98" s="105">
        <v>414</v>
      </c>
      <c r="V98" s="139">
        <v>23</v>
      </c>
      <c r="W98" s="150">
        <v>134</v>
      </c>
      <c r="X98" s="105">
        <v>3</v>
      </c>
      <c r="Y98" s="18">
        <v>0</v>
      </c>
      <c r="Z98" s="317">
        <v>0</v>
      </c>
      <c r="AA98" s="105">
        <v>730</v>
      </c>
      <c r="AB98" s="139">
        <v>10</v>
      </c>
      <c r="AC98" s="150">
        <v>60</v>
      </c>
      <c r="AD98" s="105">
        <v>7</v>
      </c>
      <c r="AE98" s="139">
        <v>1</v>
      </c>
      <c r="AF98" s="150">
        <v>1</v>
      </c>
      <c r="AG98" s="105">
        <v>384</v>
      </c>
      <c r="AH98" s="139">
        <v>3</v>
      </c>
      <c r="AI98" s="150">
        <v>48</v>
      </c>
      <c r="AJ98" s="105">
        <v>135</v>
      </c>
      <c r="AK98" s="18">
        <v>0</v>
      </c>
      <c r="AL98" s="150">
        <v>25</v>
      </c>
      <c r="AM98" s="105">
        <v>1560</v>
      </c>
      <c r="AN98" s="139">
        <v>103</v>
      </c>
      <c r="AO98" s="150">
        <v>305</v>
      </c>
      <c r="AP98" s="105">
        <v>33</v>
      </c>
      <c r="AQ98" s="18">
        <v>0</v>
      </c>
      <c r="AR98" s="317">
        <v>0</v>
      </c>
      <c r="AS98" s="105">
        <v>12</v>
      </c>
      <c r="AT98" s="18">
        <v>0</v>
      </c>
      <c r="AU98" s="150">
        <v>7</v>
      </c>
      <c r="AV98" s="105">
        <v>55</v>
      </c>
      <c r="AW98" s="139">
        <v>2</v>
      </c>
      <c r="AX98" s="150">
        <v>4</v>
      </c>
      <c r="AY98" s="105">
        <v>30</v>
      </c>
      <c r="AZ98" s="139">
        <v>1</v>
      </c>
      <c r="BA98" s="150">
        <v>1</v>
      </c>
      <c r="BB98" s="105">
        <v>4</v>
      </c>
      <c r="BC98" s="139">
        <v>1</v>
      </c>
      <c r="BD98" s="150">
        <v>2</v>
      </c>
      <c r="BE98" s="105">
        <v>313</v>
      </c>
      <c r="BF98" s="139">
        <v>6</v>
      </c>
      <c r="BG98" s="150">
        <v>3</v>
      </c>
      <c r="BH98" s="105">
        <v>164</v>
      </c>
      <c r="BI98" s="18">
        <v>0</v>
      </c>
      <c r="BJ98" s="150">
        <v>5</v>
      </c>
      <c r="BK98" s="105">
        <v>33</v>
      </c>
      <c r="BL98" s="18">
        <v>0</v>
      </c>
      <c r="BM98" s="317">
        <v>0</v>
      </c>
      <c r="BN98" s="105">
        <v>18</v>
      </c>
      <c r="BO98" s="18">
        <v>0</v>
      </c>
      <c r="BP98" s="150">
        <v>3</v>
      </c>
      <c r="BQ98" s="105">
        <v>179</v>
      </c>
      <c r="BR98" s="139">
        <v>6</v>
      </c>
      <c r="BS98" s="150">
        <v>9</v>
      </c>
      <c r="BT98" s="105">
        <v>47</v>
      </c>
      <c r="BU98" s="18">
        <v>0</v>
      </c>
      <c r="BV98" s="317">
        <v>0</v>
      </c>
      <c r="BW98" s="105">
        <v>31</v>
      </c>
      <c r="BX98" s="139">
        <v>4</v>
      </c>
      <c r="BY98" s="150">
        <v>3</v>
      </c>
      <c r="BZ98" s="105">
        <v>21</v>
      </c>
      <c r="CA98" s="139">
        <v>1</v>
      </c>
      <c r="CB98" s="150">
        <v>8</v>
      </c>
      <c r="CC98" s="105">
        <v>93</v>
      </c>
      <c r="CD98" s="18">
        <v>0</v>
      </c>
      <c r="CE98" s="150">
        <v>11</v>
      </c>
      <c r="CF98" s="105">
        <v>8</v>
      </c>
      <c r="CG98" s="139">
        <v>1</v>
      </c>
      <c r="CH98" s="317">
        <v>0</v>
      </c>
      <c r="CI98" s="105">
        <v>59</v>
      </c>
      <c r="CJ98" s="139">
        <v>7</v>
      </c>
      <c r="CK98" s="150">
        <v>16</v>
      </c>
      <c r="CL98" s="105">
        <v>1184</v>
      </c>
      <c r="CM98" s="139">
        <v>93</v>
      </c>
      <c r="CN98" s="150">
        <v>97</v>
      </c>
      <c r="CO98" s="105">
        <v>273</v>
      </c>
      <c r="CP98" s="139">
        <v>7</v>
      </c>
      <c r="CQ98" s="150">
        <v>19</v>
      </c>
      <c r="CR98" s="105">
        <v>6</v>
      </c>
      <c r="CS98" s="139">
        <v>1</v>
      </c>
      <c r="CT98" s="150">
        <v>2</v>
      </c>
      <c r="CU98" s="105">
        <v>11</v>
      </c>
      <c r="CV98" s="139">
        <v>2</v>
      </c>
      <c r="CW98" s="317">
        <v>0</v>
      </c>
      <c r="CX98" s="105">
        <v>17</v>
      </c>
      <c r="CY98" s="18">
        <v>0</v>
      </c>
      <c r="CZ98" s="150">
        <v>1</v>
      </c>
      <c r="DA98" s="105">
        <v>16</v>
      </c>
      <c r="DB98" s="18">
        <v>0</v>
      </c>
      <c r="DC98" s="150">
        <v>3</v>
      </c>
      <c r="DD98" s="105">
        <v>342</v>
      </c>
      <c r="DE98" s="139">
        <v>11</v>
      </c>
      <c r="DF98" s="150">
        <v>28</v>
      </c>
      <c r="DG98" s="105">
        <v>276</v>
      </c>
      <c r="DH98" s="139">
        <v>6</v>
      </c>
      <c r="DI98" s="150">
        <v>44</v>
      </c>
      <c r="DJ98" s="105">
        <v>53</v>
      </c>
      <c r="DK98" s="18">
        <v>0</v>
      </c>
      <c r="DL98" s="317">
        <v>0</v>
      </c>
      <c r="DM98" s="105">
        <v>8</v>
      </c>
      <c r="DN98" s="18">
        <v>0</v>
      </c>
      <c r="DO98" s="317">
        <v>0</v>
      </c>
      <c r="DP98" s="105">
        <v>180</v>
      </c>
      <c r="DQ98" s="139">
        <v>18</v>
      </c>
      <c r="DR98" s="150">
        <v>9</v>
      </c>
      <c r="DS98" s="105">
        <v>45</v>
      </c>
      <c r="DT98" s="139">
        <v>5</v>
      </c>
      <c r="DU98" s="150">
        <v>2</v>
      </c>
      <c r="DV98" s="105">
        <v>110</v>
      </c>
      <c r="DW98" s="18">
        <v>0</v>
      </c>
      <c r="DX98" s="150">
        <v>7</v>
      </c>
      <c r="DY98" s="105">
        <v>4</v>
      </c>
      <c r="DZ98" s="18">
        <v>0</v>
      </c>
      <c r="EA98" s="317">
        <v>0</v>
      </c>
      <c r="EB98" s="105">
        <v>4</v>
      </c>
      <c r="EC98" s="18">
        <v>0</v>
      </c>
      <c r="ED98" s="317">
        <v>0</v>
      </c>
      <c r="EE98" s="105">
        <v>244</v>
      </c>
      <c r="EF98" s="139">
        <v>2</v>
      </c>
      <c r="EG98" s="150">
        <v>113</v>
      </c>
      <c r="EH98" s="105">
        <v>11</v>
      </c>
      <c r="EI98" s="18">
        <v>0</v>
      </c>
      <c r="EJ98" s="317">
        <v>0</v>
      </c>
      <c r="EK98" s="105">
        <v>7</v>
      </c>
      <c r="EL98" s="18">
        <v>0</v>
      </c>
      <c r="EM98" s="317">
        <v>0</v>
      </c>
      <c r="EN98" s="105">
        <v>12</v>
      </c>
      <c r="EO98" s="139">
        <v>1</v>
      </c>
      <c r="EP98" s="150">
        <v>1</v>
      </c>
      <c r="EQ98" s="105">
        <v>14</v>
      </c>
      <c r="ER98" s="139">
        <v>2</v>
      </c>
      <c r="ES98" s="150">
        <v>2</v>
      </c>
      <c r="ET98" s="105">
        <v>2</v>
      </c>
      <c r="EU98" s="18">
        <v>0</v>
      </c>
      <c r="EV98" s="317">
        <v>0</v>
      </c>
      <c r="EW98" s="105">
        <v>25</v>
      </c>
      <c r="EX98" s="139">
        <v>1</v>
      </c>
      <c r="EY98" s="150">
        <v>5</v>
      </c>
      <c r="EZ98" s="105">
        <v>10</v>
      </c>
      <c r="FA98" s="18">
        <v>0</v>
      </c>
      <c r="FB98" s="150">
        <v>2</v>
      </c>
      <c r="FC98" s="105">
        <v>70</v>
      </c>
      <c r="FD98" s="139">
        <v>3</v>
      </c>
      <c r="FE98" s="150">
        <v>23</v>
      </c>
      <c r="FF98" s="105">
        <v>628</v>
      </c>
      <c r="FG98" s="139">
        <v>24</v>
      </c>
      <c r="FH98" s="150">
        <v>25</v>
      </c>
      <c r="FI98" s="105">
        <v>39</v>
      </c>
      <c r="FJ98" s="139">
        <v>1</v>
      </c>
      <c r="FK98" s="150">
        <v>7</v>
      </c>
      <c r="FL98" s="105">
        <v>11</v>
      </c>
      <c r="FM98" s="139">
        <v>3</v>
      </c>
      <c r="FN98" s="317">
        <v>0</v>
      </c>
      <c r="FO98" s="649" t="s">
        <v>1056</v>
      </c>
      <c r="FP98" s="531"/>
      <c r="FQ98" s="531"/>
      <c r="FR98" s="531"/>
      <c r="FS98" s="531"/>
      <c r="FT98" s="531"/>
      <c r="FU98" s="77" t="s">
        <v>1057</v>
      </c>
      <c r="FV98" s="389"/>
      <c r="FW98" s="389"/>
      <c r="FX98" s="389"/>
      <c r="FY98" s="389"/>
      <c r="FZ98" s="389"/>
    </row>
    <row r="99" spans="1:182" ht="12.75">
      <c r="A99" s="93">
        <v>43930</v>
      </c>
      <c r="B99" s="14">
        <f t="shared" si="92"/>
        <v>12303</v>
      </c>
      <c r="C99" s="34">
        <f t="shared" ref="C99:D99" si="95">SUM(G99,J99,M99,P99,V99,S99,Y99,AB99,AE99,AH99,AK99,AN99,AQ99,AT99,AW99,AZ99,BC99,BF99,BI99,BL99,BO99,BR99,BU99,BX99,CA99,CD99,CG99,CJ99,CM99,CP99,CS99,CV99,CY99,DB99,DE99,DH99,DK99,DN99,DQ99,DT99,DW99,DZ99,EC99,EF99,EI99,EL99,EO99,ER99,EU99,EX99,FA99,FD99,FG99,FJ99,FM99)</f>
        <v>630</v>
      </c>
      <c r="D99" s="73">
        <f t="shared" si="95"/>
        <v>1624</v>
      </c>
      <c r="E99" s="350">
        <f t="shared" si="1"/>
        <v>10049</v>
      </c>
      <c r="F99" s="105">
        <v>1934</v>
      </c>
      <c r="G99" s="139">
        <v>18</v>
      </c>
      <c r="H99" s="150">
        <v>95</v>
      </c>
      <c r="I99" s="105">
        <v>1666</v>
      </c>
      <c r="J99" s="139">
        <v>235</v>
      </c>
      <c r="K99" s="150">
        <v>347</v>
      </c>
      <c r="L99" s="105">
        <v>19</v>
      </c>
      <c r="M99" s="139">
        <v>2</v>
      </c>
      <c r="N99" s="150">
        <v>2</v>
      </c>
      <c r="O99" s="105">
        <v>26</v>
      </c>
      <c r="P99" s="139">
        <v>1</v>
      </c>
      <c r="Q99" s="150">
        <v>5</v>
      </c>
      <c r="R99" s="105">
        <v>13</v>
      </c>
      <c r="S99" s="139">
        <v>1</v>
      </c>
      <c r="T99" s="317">
        <v>0</v>
      </c>
      <c r="U99" s="105">
        <v>443</v>
      </c>
      <c r="V99" s="139">
        <v>24</v>
      </c>
      <c r="W99" s="150">
        <v>146</v>
      </c>
      <c r="X99" s="105">
        <v>3</v>
      </c>
      <c r="Y99" s="18">
        <v>0</v>
      </c>
      <c r="Z99" s="317">
        <v>0</v>
      </c>
      <c r="AA99" s="105">
        <v>730</v>
      </c>
      <c r="AB99" s="139">
        <v>10</v>
      </c>
      <c r="AC99" s="150">
        <v>60</v>
      </c>
      <c r="AD99" s="105">
        <v>7</v>
      </c>
      <c r="AE99" s="139">
        <v>1</v>
      </c>
      <c r="AF99" s="150">
        <v>1</v>
      </c>
      <c r="AG99" s="105">
        <v>444</v>
      </c>
      <c r="AH99" s="139">
        <v>3</v>
      </c>
      <c r="AI99" s="150">
        <v>52</v>
      </c>
      <c r="AJ99" s="105">
        <v>135</v>
      </c>
      <c r="AK99" s="139">
        <v>1</v>
      </c>
      <c r="AL99" s="150">
        <v>25</v>
      </c>
      <c r="AM99" s="105">
        <v>1699</v>
      </c>
      <c r="AN99" s="139">
        <v>118</v>
      </c>
      <c r="AO99" s="150">
        <v>348</v>
      </c>
      <c r="AP99" s="105">
        <v>33</v>
      </c>
      <c r="AQ99" s="18">
        <v>0</v>
      </c>
      <c r="AR99" s="317">
        <v>0</v>
      </c>
      <c r="AS99" s="105">
        <v>12</v>
      </c>
      <c r="AT99" s="18">
        <v>0</v>
      </c>
      <c r="AU99" s="150">
        <v>7</v>
      </c>
      <c r="AV99" s="105">
        <v>56</v>
      </c>
      <c r="AW99" s="139">
        <v>2</v>
      </c>
      <c r="AX99" s="150">
        <v>4</v>
      </c>
      <c r="AY99" s="105">
        <v>44</v>
      </c>
      <c r="AZ99" s="139">
        <v>1</v>
      </c>
      <c r="BA99" s="150">
        <v>1</v>
      </c>
      <c r="BB99" s="105">
        <v>4</v>
      </c>
      <c r="BC99" s="139">
        <v>1</v>
      </c>
      <c r="BD99" s="150">
        <v>2</v>
      </c>
      <c r="BE99" s="105">
        <v>378</v>
      </c>
      <c r="BF99" s="139">
        <v>6</v>
      </c>
      <c r="BG99" s="150">
        <v>3</v>
      </c>
      <c r="BH99" s="105">
        <v>194</v>
      </c>
      <c r="BI99" s="18">
        <v>0</v>
      </c>
      <c r="BJ99" s="150">
        <v>11</v>
      </c>
      <c r="BK99" s="105">
        <v>36</v>
      </c>
      <c r="BL99" s="18">
        <v>0</v>
      </c>
      <c r="BM99" s="317">
        <v>0</v>
      </c>
      <c r="BN99" s="105">
        <v>18</v>
      </c>
      <c r="BO99" s="18">
        <v>0</v>
      </c>
      <c r="BP99" s="150">
        <v>3</v>
      </c>
      <c r="BQ99" s="105">
        <v>184</v>
      </c>
      <c r="BR99" s="139">
        <v>7</v>
      </c>
      <c r="BS99" s="150">
        <v>12</v>
      </c>
      <c r="BT99" s="105">
        <v>47</v>
      </c>
      <c r="BU99" s="18">
        <v>0</v>
      </c>
      <c r="BV99" s="317">
        <v>0</v>
      </c>
      <c r="BW99" s="105">
        <v>31</v>
      </c>
      <c r="BX99" s="139">
        <v>4</v>
      </c>
      <c r="BY99" s="150">
        <v>3</v>
      </c>
      <c r="BZ99" s="105">
        <v>24</v>
      </c>
      <c r="CA99" s="139">
        <v>1</v>
      </c>
      <c r="CB99" s="150">
        <v>8</v>
      </c>
      <c r="CC99" s="105">
        <v>93</v>
      </c>
      <c r="CD99" s="18">
        <v>0</v>
      </c>
      <c r="CE99" s="150">
        <v>11</v>
      </c>
      <c r="CF99" s="105">
        <v>8</v>
      </c>
      <c r="CG99" s="139">
        <v>1</v>
      </c>
      <c r="CH99" s="317">
        <v>0</v>
      </c>
      <c r="CI99" s="105">
        <v>74</v>
      </c>
      <c r="CJ99" s="139">
        <v>7</v>
      </c>
      <c r="CK99" s="150">
        <v>22</v>
      </c>
      <c r="CL99" s="105">
        <v>1374</v>
      </c>
      <c r="CM99" s="139">
        <v>97</v>
      </c>
      <c r="CN99" s="150">
        <v>109</v>
      </c>
      <c r="CO99" s="105">
        <v>314</v>
      </c>
      <c r="CP99" s="139">
        <v>7</v>
      </c>
      <c r="CQ99" s="150">
        <v>23</v>
      </c>
      <c r="CR99" s="105">
        <v>7</v>
      </c>
      <c r="CS99" s="139">
        <v>1</v>
      </c>
      <c r="CT99" s="150">
        <v>2</v>
      </c>
      <c r="CU99" s="105">
        <v>11</v>
      </c>
      <c r="CV99" s="139">
        <v>2</v>
      </c>
      <c r="CW99" s="317">
        <v>0</v>
      </c>
      <c r="CX99" s="105">
        <v>17</v>
      </c>
      <c r="CY99" s="18">
        <v>0</v>
      </c>
      <c r="CZ99" s="150">
        <v>1</v>
      </c>
      <c r="DA99" s="105">
        <v>16</v>
      </c>
      <c r="DB99" s="18">
        <v>0</v>
      </c>
      <c r="DC99" s="150">
        <v>3</v>
      </c>
      <c r="DD99" s="105">
        <v>410</v>
      </c>
      <c r="DE99" s="139">
        <v>11</v>
      </c>
      <c r="DF99" s="150">
        <v>40</v>
      </c>
      <c r="DG99" s="105">
        <v>288</v>
      </c>
      <c r="DH99" s="139">
        <v>7</v>
      </c>
      <c r="DI99" s="150">
        <v>51</v>
      </c>
      <c r="DJ99" s="105">
        <v>53</v>
      </c>
      <c r="DK99" s="18">
        <v>0</v>
      </c>
      <c r="DL99" s="317">
        <v>0</v>
      </c>
      <c r="DM99" s="105">
        <v>8</v>
      </c>
      <c r="DN99" s="18">
        <v>0</v>
      </c>
      <c r="DO99" s="317">
        <v>0</v>
      </c>
      <c r="DP99" s="105">
        <v>180</v>
      </c>
      <c r="DQ99" s="139">
        <v>18</v>
      </c>
      <c r="DR99" s="150">
        <v>9</v>
      </c>
      <c r="DS99" s="105">
        <v>60</v>
      </c>
      <c r="DT99" s="139">
        <v>5</v>
      </c>
      <c r="DU99" s="150">
        <v>5</v>
      </c>
      <c r="DV99" s="105">
        <v>110</v>
      </c>
      <c r="DW99" s="18">
        <v>0</v>
      </c>
      <c r="DX99" s="150">
        <v>7</v>
      </c>
      <c r="DY99" s="105">
        <v>4</v>
      </c>
      <c r="DZ99" s="18">
        <v>0</v>
      </c>
      <c r="EA99" s="317">
        <v>0</v>
      </c>
      <c r="EB99" s="105">
        <v>4</v>
      </c>
      <c r="EC99" s="18">
        <v>0</v>
      </c>
      <c r="ED99" s="317">
        <v>0</v>
      </c>
      <c r="EE99" s="105">
        <v>250</v>
      </c>
      <c r="EF99" s="139">
        <v>2</v>
      </c>
      <c r="EG99" s="150">
        <v>123</v>
      </c>
      <c r="EH99" s="105">
        <v>11</v>
      </c>
      <c r="EI99" s="18">
        <v>0</v>
      </c>
      <c r="EJ99" s="317">
        <v>0</v>
      </c>
      <c r="EK99" s="105">
        <v>7</v>
      </c>
      <c r="EL99" s="18">
        <v>0</v>
      </c>
      <c r="EM99" s="317">
        <v>0</v>
      </c>
      <c r="EN99" s="105">
        <v>12</v>
      </c>
      <c r="EO99" s="139">
        <v>1</v>
      </c>
      <c r="EP99" s="150">
        <v>1</v>
      </c>
      <c r="EQ99" s="105">
        <v>15</v>
      </c>
      <c r="ER99" s="139">
        <v>2</v>
      </c>
      <c r="ES99" s="150">
        <v>2</v>
      </c>
      <c r="ET99" s="105">
        <v>3</v>
      </c>
      <c r="EU99" s="18">
        <v>0</v>
      </c>
      <c r="EV99" s="317">
        <v>0</v>
      </c>
      <c r="EW99" s="105">
        <v>25</v>
      </c>
      <c r="EX99" s="139">
        <v>1</v>
      </c>
      <c r="EY99" s="150">
        <v>5</v>
      </c>
      <c r="EZ99" s="105">
        <v>11</v>
      </c>
      <c r="FA99" s="18">
        <v>0</v>
      </c>
      <c r="FB99" s="150">
        <v>2</v>
      </c>
      <c r="FC99" s="105">
        <v>73</v>
      </c>
      <c r="FD99" s="139">
        <v>3</v>
      </c>
      <c r="FE99" s="150">
        <v>24</v>
      </c>
      <c r="FF99" s="105">
        <v>643</v>
      </c>
      <c r="FG99" s="139">
        <v>25</v>
      </c>
      <c r="FH99" s="150">
        <v>25</v>
      </c>
      <c r="FI99" s="105">
        <v>39</v>
      </c>
      <c r="FJ99" s="139">
        <v>1</v>
      </c>
      <c r="FK99" s="150">
        <v>24</v>
      </c>
      <c r="FL99" s="105">
        <v>11</v>
      </c>
      <c r="FM99" s="139">
        <v>3</v>
      </c>
      <c r="FN99" s="317">
        <v>0</v>
      </c>
      <c r="FO99" s="649" t="s">
        <v>1060</v>
      </c>
      <c r="FP99" s="531"/>
      <c r="FQ99" s="531"/>
      <c r="FR99" s="531"/>
      <c r="FS99" s="531"/>
      <c r="FT99" s="531"/>
      <c r="FU99" s="634" t="s">
        <v>304</v>
      </c>
      <c r="FV99" s="531"/>
      <c r="FW99" s="531"/>
      <c r="FX99" s="531"/>
      <c r="FY99" s="531"/>
      <c r="FZ99" s="531"/>
    </row>
    <row r="100" spans="1:182" ht="12.75">
      <c r="A100" s="93">
        <v>43931</v>
      </c>
      <c r="B100" s="14">
        <f t="shared" si="92"/>
        <v>12931</v>
      </c>
      <c r="C100" s="34">
        <f t="shared" ref="C100:D100" si="96">SUM(G100,J100,M100,P100,V100,S100,Y100,AB100,AE100,AH100,AK100,AN100,AQ100,AT100,AW100,AZ100,BC100,BF100,BI100,BL100,BO100,BR100,BU100,BX100,CA100,CD100,CG100,CJ100,CM100,CP100,CS100,CV100,CY100,DB100,DE100,DH100,DK100,DN100,DQ100,DT100,DW100,DZ100,EC100,EF100,EI100,EL100,EO100,ER100,EU100,EX100,FA100,FD100,FG100,FJ100,FM100)</f>
        <v>672</v>
      </c>
      <c r="D100" s="73">
        <f t="shared" si="96"/>
        <v>2128</v>
      </c>
      <c r="E100" s="350">
        <f t="shared" si="1"/>
        <v>10131</v>
      </c>
      <c r="F100" s="105">
        <v>2003</v>
      </c>
      <c r="G100" s="139">
        <v>18</v>
      </c>
      <c r="H100" s="150">
        <v>410</v>
      </c>
      <c r="I100" s="105">
        <v>1761</v>
      </c>
      <c r="J100" s="139">
        <v>256</v>
      </c>
      <c r="K100" s="150">
        <v>405</v>
      </c>
      <c r="L100" s="105">
        <v>19</v>
      </c>
      <c r="M100" s="139">
        <v>2</v>
      </c>
      <c r="N100" s="150">
        <v>2</v>
      </c>
      <c r="O100" s="105">
        <v>35</v>
      </c>
      <c r="P100" s="139">
        <v>1</v>
      </c>
      <c r="Q100" s="150">
        <v>5</v>
      </c>
      <c r="R100" s="105">
        <v>13</v>
      </c>
      <c r="S100" s="139">
        <v>1</v>
      </c>
      <c r="T100" s="317">
        <v>0</v>
      </c>
      <c r="U100" s="105">
        <v>443</v>
      </c>
      <c r="V100" s="139">
        <v>24</v>
      </c>
      <c r="W100" s="150">
        <v>146</v>
      </c>
      <c r="X100" s="105">
        <v>3</v>
      </c>
      <c r="Y100" s="18">
        <v>0</v>
      </c>
      <c r="Z100" s="317">
        <v>0</v>
      </c>
      <c r="AA100" s="105">
        <v>820</v>
      </c>
      <c r="AB100" s="139">
        <v>12</v>
      </c>
      <c r="AC100" s="150">
        <v>98</v>
      </c>
      <c r="AD100" s="105">
        <v>7</v>
      </c>
      <c r="AE100" s="139">
        <v>1</v>
      </c>
      <c r="AF100" s="150">
        <v>1</v>
      </c>
      <c r="AG100" s="105">
        <v>444</v>
      </c>
      <c r="AH100" s="139">
        <v>3</v>
      </c>
      <c r="AI100" s="150">
        <v>52</v>
      </c>
      <c r="AJ100" s="105">
        <v>150</v>
      </c>
      <c r="AK100" s="139">
        <v>1</v>
      </c>
      <c r="AL100" s="150">
        <v>36</v>
      </c>
      <c r="AM100" s="105">
        <v>1794</v>
      </c>
      <c r="AN100" s="139">
        <v>118</v>
      </c>
      <c r="AO100" s="150">
        <v>384</v>
      </c>
      <c r="AP100" s="105">
        <v>34</v>
      </c>
      <c r="AQ100" s="18">
        <v>0</v>
      </c>
      <c r="AR100" s="317">
        <v>0</v>
      </c>
      <c r="AS100" s="105">
        <v>12</v>
      </c>
      <c r="AT100" s="18">
        <v>0</v>
      </c>
      <c r="AU100" s="150">
        <v>7</v>
      </c>
      <c r="AV100" s="105">
        <v>65</v>
      </c>
      <c r="AW100" s="139">
        <v>3</v>
      </c>
      <c r="AX100" s="150">
        <v>4</v>
      </c>
      <c r="AY100" s="105">
        <v>44</v>
      </c>
      <c r="AZ100" s="139">
        <v>1</v>
      </c>
      <c r="BA100" s="150">
        <v>1</v>
      </c>
      <c r="BB100" s="105">
        <v>4</v>
      </c>
      <c r="BC100" s="139">
        <v>1</v>
      </c>
      <c r="BD100" s="150">
        <v>2</v>
      </c>
      <c r="BE100" s="105">
        <v>378</v>
      </c>
      <c r="BF100" s="139">
        <v>6</v>
      </c>
      <c r="BG100" s="150">
        <v>4</v>
      </c>
      <c r="BH100" s="105">
        <v>194</v>
      </c>
      <c r="BI100" s="18">
        <v>0</v>
      </c>
      <c r="BJ100" s="150">
        <v>11</v>
      </c>
      <c r="BK100" s="105">
        <v>36</v>
      </c>
      <c r="BL100" s="18">
        <v>0</v>
      </c>
      <c r="BM100" s="317">
        <v>0</v>
      </c>
      <c r="BN100" s="105">
        <v>18</v>
      </c>
      <c r="BO100" s="18">
        <v>0</v>
      </c>
      <c r="BP100" s="150">
        <v>3</v>
      </c>
      <c r="BQ100" s="105">
        <v>189</v>
      </c>
      <c r="BR100" s="139">
        <v>7</v>
      </c>
      <c r="BS100" s="150">
        <v>22</v>
      </c>
      <c r="BT100" s="105">
        <v>47</v>
      </c>
      <c r="BU100" s="18">
        <v>0</v>
      </c>
      <c r="BV100" s="317">
        <v>0</v>
      </c>
      <c r="BW100" s="105">
        <v>37</v>
      </c>
      <c r="BX100" s="139">
        <v>5</v>
      </c>
      <c r="BY100" s="150">
        <v>3</v>
      </c>
      <c r="BZ100" s="105">
        <v>24</v>
      </c>
      <c r="CA100" s="139">
        <v>1</v>
      </c>
      <c r="CB100" s="150">
        <v>8</v>
      </c>
      <c r="CC100" s="105">
        <v>93</v>
      </c>
      <c r="CD100" s="18">
        <v>0</v>
      </c>
      <c r="CE100" s="150">
        <v>11</v>
      </c>
      <c r="CF100" s="105">
        <v>8</v>
      </c>
      <c r="CG100" s="139">
        <v>1</v>
      </c>
      <c r="CH100" s="317">
        <v>0</v>
      </c>
      <c r="CI100" s="105">
        <v>87</v>
      </c>
      <c r="CJ100" s="139">
        <v>7</v>
      </c>
      <c r="CK100" s="150">
        <v>22</v>
      </c>
      <c r="CL100" s="105">
        <v>1448</v>
      </c>
      <c r="CM100" s="139">
        <v>107</v>
      </c>
      <c r="CN100" s="150">
        <v>122</v>
      </c>
      <c r="CO100" s="105">
        <v>318</v>
      </c>
      <c r="CP100" s="139">
        <v>9</v>
      </c>
      <c r="CQ100" s="150">
        <v>23</v>
      </c>
      <c r="CR100" s="105">
        <v>7</v>
      </c>
      <c r="CS100" s="139">
        <v>1</v>
      </c>
      <c r="CT100" s="150">
        <v>2</v>
      </c>
      <c r="CU100" s="105">
        <v>11</v>
      </c>
      <c r="CV100" s="139">
        <v>2</v>
      </c>
      <c r="CW100" s="317">
        <v>0</v>
      </c>
      <c r="CX100" s="105">
        <v>20</v>
      </c>
      <c r="CY100" s="18">
        <v>0</v>
      </c>
      <c r="CZ100" s="150">
        <v>2</v>
      </c>
      <c r="DA100" s="105">
        <v>16</v>
      </c>
      <c r="DB100" s="18">
        <v>0</v>
      </c>
      <c r="DC100" s="150">
        <v>3</v>
      </c>
      <c r="DD100" s="105">
        <v>438</v>
      </c>
      <c r="DE100" s="139">
        <v>11</v>
      </c>
      <c r="DF100" s="150">
        <v>41</v>
      </c>
      <c r="DG100" s="105">
        <v>288</v>
      </c>
      <c r="DH100" s="139">
        <v>7</v>
      </c>
      <c r="DI100" s="150">
        <v>51</v>
      </c>
      <c r="DJ100" s="105">
        <v>53</v>
      </c>
      <c r="DK100" s="18">
        <v>0</v>
      </c>
      <c r="DL100" s="317">
        <v>0</v>
      </c>
      <c r="DM100" s="105">
        <v>8</v>
      </c>
      <c r="DN100" s="18">
        <v>0</v>
      </c>
      <c r="DO100" s="317">
        <v>0</v>
      </c>
      <c r="DP100" s="105">
        <v>215</v>
      </c>
      <c r="DQ100" s="139">
        <v>20</v>
      </c>
      <c r="DR100" s="150">
        <v>13</v>
      </c>
      <c r="DS100" s="105">
        <v>60</v>
      </c>
      <c r="DT100" s="139">
        <v>5</v>
      </c>
      <c r="DU100" s="150">
        <v>5</v>
      </c>
      <c r="DV100" s="105">
        <v>118</v>
      </c>
      <c r="DW100" s="18">
        <v>0</v>
      </c>
      <c r="DX100" s="150">
        <v>7</v>
      </c>
      <c r="DY100" s="105">
        <v>4</v>
      </c>
      <c r="DZ100" s="18">
        <v>0</v>
      </c>
      <c r="EA100" s="317">
        <v>0</v>
      </c>
      <c r="EB100" s="105">
        <v>4</v>
      </c>
      <c r="EC100" s="18">
        <v>0</v>
      </c>
      <c r="ED100" s="317">
        <v>0</v>
      </c>
      <c r="EE100" s="105">
        <v>265</v>
      </c>
      <c r="EF100" s="139">
        <v>2</v>
      </c>
      <c r="EG100" s="150">
        <v>137</v>
      </c>
      <c r="EH100" s="105">
        <v>11</v>
      </c>
      <c r="EI100" s="18">
        <v>0</v>
      </c>
      <c r="EJ100" s="317">
        <v>0</v>
      </c>
      <c r="EK100" s="105">
        <v>8</v>
      </c>
      <c r="EL100" s="18">
        <v>0</v>
      </c>
      <c r="EM100" s="317">
        <v>0</v>
      </c>
      <c r="EN100" s="105">
        <v>21</v>
      </c>
      <c r="EO100" s="139">
        <v>1</v>
      </c>
      <c r="EP100" s="150">
        <v>1</v>
      </c>
      <c r="EQ100" s="105">
        <v>17</v>
      </c>
      <c r="ER100" s="139">
        <v>2</v>
      </c>
      <c r="ES100" s="150">
        <v>2</v>
      </c>
      <c r="ET100" s="105">
        <v>4</v>
      </c>
      <c r="EU100" s="18">
        <v>0</v>
      </c>
      <c r="EV100" s="317">
        <v>0</v>
      </c>
      <c r="EW100" s="105">
        <v>32</v>
      </c>
      <c r="EX100" s="139">
        <v>3</v>
      </c>
      <c r="EY100" s="150">
        <v>5</v>
      </c>
      <c r="EZ100" s="105">
        <v>11</v>
      </c>
      <c r="FA100" s="18">
        <v>0</v>
      </c>
      <c r="FB100" s="150">
        <v>2</v>
      </c>
      <c r="FC100" s="105">
        <v>76</v>
      </c>
      <c r="FD100" s="139">
        <v>3</v>
      </c>
      <c r="FE100" s="150">
        <v>25</v>
      </c>
      <c r="FF100" s="105">
        <v>671</v>
      </c>
      <c r="FG100" s="139">
        <v>25</v>
      </c>
      <c r="FH100" s="150">
        <v>25</v>
      </c>
      <c r="FI100" s="105">
        <v>40</v>
      </c>
      <c r="FJ100" s="139">
        <v>2</v>
      </c>
      <c r="FK100" s="150">
        <v>25</v>
      </c>
      <c r="FL100" s="105">
        <v>13</v>
      </c>
      <c r="FM100" s="139">
        <v>3</v>
      </c>
      <c r="FN100" s="317">
        <v>0</v>
      </c>
      <c r="FO100" s="649"/>
      <c r="FP100" s="531"/>
      <c r="FQ100" s="531"/>
      <c r="FR100" s="531"/>
      <c r="FS100" s="531"/>
      <c r="FT100" s="531"/>
      <c r="FU100" s="635"/>
      <c r="FV100" s="531"/>
      <c r="FW100" s="531"/>
      <c r="FX100" s="531"/>
      <c r="FY100" s="531"/>
      <c r="FZ100" s="531"/>
    </row>
    <row r="101" spans="1:182" ht="12.75">
      <c r="A101" s="93">
        <v>43932</v>
      </c>
      <c r="B101" s="14">
        <f t="shared" si="92"/>
        <v>13585</v>
      </c>
      <c r="C101" s="34">
        <f t="shared" ref="C101:D101" si="97">SUM(G101,J101,M101,P101,V101,S101,Y101,AB101,AE101,AH101,AK101,AN101,AQ101,AT101,AW101,AZ101,BC101,BF101,BI101,BL101,BO101,BR101,BU101,BX101,CA101,CD101,CG101,CJ101,CM101,CP101,CS101,CV101,CY101,DB101,DE101,DH101,DK101,DN101,DQ101,DT101,DW101,DZ101,EC101,EF101,EI101,EL101,EO101,ER101,EU101,EX101,FA101,FD101,FG101,FJ101,FM101)</f>
        <v>742</v>
      </c>
      <c r="D101" s="73">
        <f t="shared" si="97"/>
        <v>2348</v>
      </c>
      <c r="E101" s="350">
        <f t="shared" si="1"/>
        <v>10495</v>
      </c>
      <c r="F101" s="105">
        <v>2028</v>
      </c>
      <c r="G101" s="139">
        <v>25</v>
      </c>
      <c r="H101" s="150">
        <v>410</v>
      </c>
      <c r="I101" s="105">
        <v>1825</v>
      </c>
      <c r="J101" s="139">
        <v>275</v>
      </c>
      <c r="K101" s="150">
        <v>460</v>
      </c>
      <c r="L101" s="105">
        <v>19</v>
      </c>
      <c r="M101" s="139">
        <v>2</v>
      </c>
      <c r="N101" s="150">
        <v>4</v>
      </c>
      <c r="O101" s="105">
        <v>35</v>
      </c>
      <c r="P101" s="139">
        <v>1</v>
      </c>
      <c r="Q101" s="150">
        <v>5</v>
      </c>
      <c r="R101" s="105">
        <v>13</v>
      </c>
      <c r="S101" s="139">
        <v>1</v>
      </c>
      <c r="T101" s="317">
        <v>0</v>
      </c>
      <c r="U101" s="105">
        <v>448</v>
      </c>
      <c r="V101" s="139">
        <v>26</v>
      </c>
      <c r="W101" s="150">
        <v>149</v>
      </c>
      <c r="X101" s="105">
        <v>5</v>
      </c>
      <c r="Y101" s="18">
        <v>0</v>
      </c>
      <c r="Z101" s="317">
        <v>0</v>
      </c>
      <c r="AA101" s="105">
        <v>820</v>
      </c>
      <c r="AB101" s="139">
        <v>12</v>
      </c>
      <c r="AC101" s="150">
        <v>98</v>
      </c>
      <c r="AD101" s="105">
        <v>8</v>
      </c>
      <c r="AE101" s="139">
        <v>1</v>
      </c>
      <c r="AF101" s="150">
        <v>1</v>
      </c>
      <c r="AG101" s="105">
        <v>480</v>
      </c>
      <c r="AH101" s="139">
        <v>3</v>
      </c>
      <c r="AI101" s="150">
        <v>54</v>
      </c>
      <c r="AJ101" s="105">
        <v>187</v>
      </c>
      <c r="AK101" s="139">
        <v>2</v>
      </c>
      <c r="AL101" s="150">
        <v>36</v>
      </c>
      <c r="AM101" s="105">
        <v>1939</v>
      </c>
      <c r="AN101" s="139">
        <v>146</v>
      </c>
      <c r="AO101" s="150">
        <v>426</v>
      </c>
      <c r="AP101" s="105">
        <v>34</v>
      </c>
      <c r="AQ101" s="18">
        <v>0</v>
      </c>
      <c r="AR101" s="317">
        <v>0</v>
      </c>
      <c r="AS101" s="105">
        <v>12</v>
      </c>
      <c r="AT101" s="18">
        <v>0</v>
      </c>
      <c r="AU101" s="150">
        <v>7</v>
      </c>
      <c r="AV101" s="105">
        <v>69</v>
      </c>
      <c r="AW101" s="139">
        <v>3</v>
      </c>
      <c r="AX101" s="150">
        <v>10</v>
      </c>
      <c r="AY101" s="105">
        <v>46</v>
      </c>
      <c r="AZ101" s="139">
        <v>1</v>
      </c>
      <c r="BA101" s="150">
        <v>1</v>
      </c>
      <c r="BB101" s="105">
        <v>9</v>
      </c>
      <c r="BC101" s="139">
        <v>1</v>
      </c>
      <c r="BD101" s="150">
        <v>2</v>
      </c>
      <c r="BE101" s="105">
        <v>408</v>
      </c>
      <c r="BF101" s="139">
        <v>8</v>
      </c>
      <c r="BG101" s="150">
        <v>4</v>
      </c>
      <c r="BH101" s="105">
        <v>250</v>
      </c>
      <c r="BI101" s="18">
        <v>0</v>
      </c>
      <c r="BJ101" s="150">
        <v>17</v>
      </c>
      <c r="BK101" s="105">
        <v>38</v>
      </c>
      <c r="BL101" s="18">
        <v>0</v>
      </c>
      <c r="BM101" s="317">
        <v>0</v>
      </c>
      <c r="BN101" s="105">
        <v>18</v>
      </c>
      <c r="BO101" s="18">
        <v>0</v>
      </c>
      <c r="BP101" s="150">
        <v>3</v>
      </c>
      <c r="BQ101" s="105">
        <v>191</v>
      </c>
      <c r="BR101" s="139">
        <v>7</v>
      </c>
      <c r="BS101" s="150">
        <v>24</v>
      </c>
      <c r="BT101" s="105">
        <v>47</v>
      </c>
      <c r="BU101" s="18">
        <v>0</v>
      </c>
      <c r="BV101" s="317">
        <v>0</v>
      </c>
      <c r="BW101" s="105">
        <v>48</v>
      </c>
      <c r="BX101" s="139">
        <v>5</v>
      </c>
      <c r="BY101" s="150">
        <v>3</v>
      </c>
      <c r="BZ101" s="105">
        <v>24</v>
      </c>
      <c r="CA101" s="139">
        <v>1</v>
      </c>
      <c r="CB101" s="150">
        <v>8</v>
      </c>
      <c r="CC101" s="105">
        <v>102</v>
      </c>
      <c r="CD101" s="18">
        <v>0</v>
      </c>
      <c r="CE101" s="150">
        <v>11</v>
      </c>
      <c r="CF101" s="105">
        <v>12</v>
      </c>
      <c r="CG101" s="139">
        <v>2</v>
      </c>
      <c r="CH101" s="317">
        <v>0</v>
      </c>
      <c r="CI101" s="105">
        <v>87</v>
      </c>
      <c r="CJ101" s="139">
        <v>7</v>
      </c>
      <c r="CK101" s="150">
        <v>22</v>
      </c>
      <c r="CL101" s="105">
        <v>1545</v>
      </c>
      <c r="CM101" s="139">
        <v>111</v>
      </c>
      <c r="CN101" s="150">
        <v>146</v>
      </c>
      <c r="CO101" s="105">
        <v>319</v>
      </c>
      <c r="CP101" s="139">
        <v>9</v>
      </c>
      <c r="CQ101" s="150">
        <v>28</v>
      </c>
      <c r="CR101" s="105">
        <v>7</v>
      </c>
      <c r="CS101" s="139">
        <v>1</v>
      </c>
      <c r="CT101" s="150">
        <v>2</v>
      </c>
      <c r="CU101" s="105">
        <v>11</v>
      </c>
      <c r="CV101" s="139">
        <v>2</v>
      </c>
      <c r="CW101" s="317">
        <v>0</v>
      </c>
      <c r="CX101" s="105">
        <v>20</v>
      </c>
      <c r="CY101" s="18">
        <v>0</v>
      </c>
      <c r="CZ101" s="150">
        <v>2</v>
      </c>
      <c r="DA101" s="105">
        <v>16</v>
      </c>
      <c r="DB101" s="18">
        <v>0</v>
      </c>
      <c r="DC101" s="150">
        <v>3</v>
      </c>
      <c r="DD101" s="105">
        <v>491</v>
      </c>
      <c r="DE101" s="139">
        <v>11</v>
      </c>
      <c r="DF101" s="150">
        <v>41</v>
      </c>
      <c r="DG101" s="105">
        <v>318</v>
      </c>
      <c r="DH101" s="139">
        <v>10</v>
      </c>
      <c r="DI101" s="150">
        <v>70</v>
      </c>
      <c r="DJ101" s="105">
        <v>53</v>
      </c>
      <c r="DK101" s="18">
        <v>0</v>
      </c>
      <c r="DL101" s="150">
        <v>4</v>
      </c>
      <c r="DM101" s="105">
        <v>8</v>
      </c>
      <c r="DN101" s="18">
        <v>0</v>
      </c>
      <c r="DO101" s="317">
        <v>0</v>
      </c>
      <c r="DP101" s="105">
        <v>223</v>
      </c>
      <c r="DQ101" s="139">
        <v>20</v>
      </c>
      <c r="DR101" s="150">
        <v>16</v>
      </c>
      <c r="DS101" s="105">
        <v>60</v>
      </c>
      <c r="DT101" s="139">
        <v>5</v>
      </c>
      <c r="DU101" s="150">
        <v>5</v>
      </c>
      <c r="DV101" s="105">
        <v>118</v>
      </c>
      <c r="DW101" s="18">
        <v>0</v>
      </c>
      <c r="DX101" s="150">
        <v>18</v>
      </c>
      <c r="DY101" s="105">
        <v>4</v>
      </c>
      <c r="DZ101" s="18">
        <v>0</v>
      </c>
      <c r="EA101" s="317">
        <v>0</v>
      </c>
      <c r="EB101" s="105">
        <v>4</v>
      </c>
      <c r="EC101" s="18">
        <v>0</v>
      </c>
      <c r="ED101" s="317">
        <v>0</v>
      </c>
      <c r="EE101" s="105">
        <v>278</v>
      </c>
      <c r="EF101" s="139">
        <v>2</v>
      </c>
      <c r="EG101" s="150">
        <v>152</v>
      </c>
      <c r="EH101" s="105">
        <v>11</v>
      </c>
      <c r="EI101" s="18">
        <v>0</v>
      </c>
      <c r="EJ101" s="317">
        <v>0</v>
      </c>
      <c r="EK101" s="105">
        <v>8</v>
      </c>
      <c r="EL101" s="18">
        <v>0</v>
      </c>
      <c r="EM101" s="317">
        <v>0</v>
      </c>
      <c r="EN101" s="105">
        <v>21</v>
      </c>
      <c r="EO101" s="139">
        <v>1</v>
      </c>
      <c r="EP101" s="150">
        <v>1</v>
      </c>
      <c r="EQ101" s="105">
        <v>19</v>
      </c>
      <c r="ER101" s="139">
        <v>2</v>
      </c>
      <c r="ES101" s="150">
        <v>2</v>
      </c>
      <c r="ET101" s="105">
        <v>4</v>
      </c>
      <c r="EU101" s="18">
        <v>0</v>
      </c>
      <c r="EV101" s="317">
        <v>0</v>
      </c>
      <c r="EW101" s="105">
        <v>32</v>
      </c>
      <c r="EX101" s="139">
        <v>3</v>
      </c>
      <c r="EY101" s="150">
        <v>5</v>
      </c>
      <c r="EZ101" s="105">
        <v>11</v>
      </c>
      <c r="FA101" s="18">
        <v>0</v>
      </c>
      <c r="FB101" s="150">
        <v>2</v>
      </c>
      <c r="FC101" s="105">
        <v>76</v>
      </c>
      <c r="FD101" s="139">
        <v>3</v>
      </c>
      <c r="FE101" s="150">
        <v>25</v>
      </c>
      <c r="FF101" s="105">
        <v>685</v>
      </c>
      <c r="FG101" s="139">
        <v>28</v>
      </c>
      <c r="FH101" s="150">
        <v>43</v>
      </c>
      <c r="FI101" s="105">
        <v>40</v>
      </c>
      <c r="FJ101" s="139">
        <v>2</v>
      </c>
      <c r="FK101" s="150">
        <v>28</v>
      </c>
      <c r="FL101" s="105">
        <v>13</v>
      </c>
      <c r="FM101" s="139">
        <v>3</v>
      </c>
      <c r="FN101" s="317">
        <v>0</v>
      </c>
      <c r="FO101" s="649"/>
      <c r="FP101" s="531"/>
      <c r="FQ101" s="531"/>
      <c r="FR101" s="531"/>
      <c r="FS101" s="531"/>
      <c r="FT101" s="531"/>
      <c r="FU101" s="635"/>
      <c r="FV101" s="531"/>
      <c r="FW101" s="531"/>
      <c r="FX101" s="531"/>
      <c r="FY101" s="531"/>
      <c r="FZ101" s="531"/>
    </row>
    <row r="102" spans="1:182" ht="12.75">
      <c r="A102" s="93">
        <v>43933</v>
      </c>
      <c r="B102" s="14">
        <f t="shared" si="92"/>
        <v>15068</v>
      </c>
      <c r="C102" s="34">
        <f t="shared" ref="C102:D102" si="98">SUM(G102,J102,M102,P102,V102,S102,Y102,AB102,AE102,AH102,AK102,AN102,AQ102,AT102,AW102,AZ102,BC102,BF102,BI102,BL102,BO102,BR102,BU102,BX102,CA102,CD102,CG102,CJ102,CM102,CP102,CS102,CV102,CY102,DB102,DE102,DH102,DK102,DN102,DQ102,DT102,DW102,DZ102,EC102,EF102,EI102,EL102,EO102,ER102,EU102,EX102,FA102,FD102,FG102,FJ102,FM102)</f>
        <v>791</v>
      </c>
      <c r="D102" s="73">
        <f t="shared" si="98"/>
        <v>2822</v>
      </c>
      <c r="E102" s="350">
        <f t="shared" si="1"/>
        <v>11455</v>
      </c>
      <c r="F102" s="105">
        <v>2173</v>
      </c>
      <c r="G102" s="139">
        <v>25</v>
      </c>
      <c r="H102" s="150">
        <v>410</v>
      </c>
      <c r="I102" s="105">
        <v>1914</v>
      </c>
      <c r="J102" s="139">
        <v>293</v>
      </c>
      <c r="K102" s="150">
        <v>591</v>
      </c>
      <c r="L102" s="105">
        <v>19</v>
      </c>
      <c r="M102" s="139">
        <v>2</v>
      </c>
      <c r="N102" s="150">
        <v>4</v>
      </c>
      <c r="O102" s="105">
        <v>35</v>
      </c>
      <c r="P102" s="139">
        <v>1</v>
      </c>
      <c r="Q102" s="150">
        <v>5</v>
      </c>
      <c r="R102" s="105">
        <v>13</v>
      </c>
      <c r="S102" s="139">
        <v>1</v>
      </c>
      <c r="T102" s="317">
        <v>0</v>
      </c>
      <c r="U102" s="105">
        <v>497</v>
      </c>
      <c r="V102" s="139">
        <v>27</v>
      </c>
      <c r="W102" s="150">
        <v>161</v>
      </c>
      <c r="X102" s="105">
        <v>5</v>
      </c>
      <c r="Y102" s="18">
        <v>0</v>
      </c>
      <c r="Z102" s="317">
        <v>0</v>
      </c>
      <c r="AA102" s="105">
        <v>820</v>
      </c>
      <c r="AB102" s="139">
        <v>12</v>
      </c>
      <c r="AC102" s="150">
        <v>98</v>
      </c>
      <c r="AD102" s="105">
        <v>8</v>
      </c>
      <c r="AE102" s="139">
        <v>1</v>
      </c>
      <c r="AF102" s="150">
        <v>1</v>
      </c>
      <c r="AG102" s="105">
        <v>574</v>
      </c>
      <c r="AH102" s="139">
        <v>5</v>
      </c>
      <c r="AI102" s="150">
        <v>85</v>
      </c>
      <c r="AJ102" s="105">
        <v>214</v>
      </c>
      <c r="AK102" s="139">
        <v>2</v>
      </c>
      <c r="AL102" s="150">
        <v>36</v>
      </c>
      <c r="AM102" s="105">
        <v>2065</v>
      </c>
      <c r="AN102" s="139">
        <v>159</v>
      </c>
      <c r="AO102" s="150">
        <v>589</v>
      </c>
      <c r="AP102" s="105">
        <v>34</v>
      </c>
      <c r="AQ102" s="18">
        <v>0</v>
      </c>
      <c r="AR102" s="317">
        <v>0</v>
      </c>
      <c r="AS102" s="105">
        <v>14</v>
      </c>
      <c r="AT102" s="18">
        <v>0</v>
      </c>
      <c r="AU102" s="150">
        <v>7</v>
      </c>
      <c r="AV102" s="105">
        <v>71</v>
      </c>
      <c r="AW102" s="139">
        <v>3</v>
      </c>
      <c r="AX102" s="150">
        <v>10</v>
      </c>
      <c r="AY102" s="105">
        <v>49</v>
      </c>
      <c r="AZ102" s="139">
        <v>1</v>
      </c>
      <c r="BA102" s="150">
        <v>1</v>
      </c>
      <c r="BB102" s="105">
        <v>9</v>
      </c>
      <c r="BC102" s="139">
        <v>1</v>
      </c>
      <c r="BD102" s="150">
        <v>2</v>
      </c>
      <c r="BE102" s="105">
        <v>566</v>
      </c>
      <c r="BF102" s="139">
        <v>8</v>
      </c>
      <c r="BG102" s="150">
        <v>4</v>
      </c>
      <c r="BH102" s="105">
        <v>250</v>
      </c>
      <c r="BI102" s="18">
        <v>0</v>
      </c>
      <c r="BJ102" s="150">
        <v>17</v>
      </c>
      <c r="BK102" s="105">
        <v>38</v>
      </c>
      <c r="BL102" s="18">
        <v>0</v>
      </c>
      <c r="BM102" s="317">
        <v>0</v>
      </c>
      <c r="BN102" s="105">
        <v>21</v>
      </c>
      <c r="BO102" s="18">
        <v>0</v>
      </c>
      <c r="BP102" s="150">
        <v>3</v>
      </c>
      <c r="BQ102" s="105">
        <v>197</v>
      </c>
      <c r="BR102" s="139">
        <v>8</v>
      </c>
      <c r="BS102" s="150">
        <v>25</v>
      </c>
      <c r="BT102" s="105">
        <v>388</v>
      </c>
      <c r="BU102" s="18">
        <v>0</v>
      </c>
      <c r="BV102" s="317">
        <v>0</v>
      </c>
      <c r="BW102" s="105">
        <v>50</v>
      </c>
      <c r="BX102" s="139">
        <v>5</v>
      </c>
      <c r="BY102" s="150">
        <v>3</v>
      </c>
      <c r="BZ102" s="105">
        <v>25</v>
      </c>
      <c r="CA102" s="139">
        <v>1</v>
      </c>
      <c r="CB102" s="150">
        <v>8</v>
      </c>
      <c r="CC102" s="105">
        <v>106</v>
      </c>
      <c r="CD102" s="18">
        <v>0</v>
      </c>
      <c r="CE102" s="150">
        <v>20</v>
      </c>
      <c r="CF102" s="105">
        <v>13</v>
      </c>
      <c r="CG102" s="139">
        <v>2</v>
      </c>
      <c r="CH102" s="317">
        <v>0</v>
      </c>
      <c r="CI102" s="105">
        <v>105</v>
      </c>
      <c r="CJ102" s="139">
        <v>9</v>
      </c>
      <c r="CK102" s="150">
        <v>22</v>
      </c>
      <c r="CL102" s="105">
        <v>1661</v>
      </c>
      <c r="CM102" s="139">
        <v>118</v>
      </c>
      <c r="CN102" s="150">
        <v>177</v>
      </c>
      <c r="CO102" s="105">
        <v>324</v>
      </c>
      <c r="CP102" s="139">
        <v>9</v>
      </c>
      <c r="CQ102" s="150">
        <v>42</v>
      </c>
      <c r="CR102" s="105">
        <v>7</v>
      </c>
      <c r="CS102" s="139">
        <v>1</v>
      </c>
      <c r="CT102" s="150">
        <v>2</v>
      </c>
      <c r="CU102" s="105">
        <v>196</v>
      </c>
      <c r="CV102" s="139">
        <v>3</v>
      </c>
      <c r="CW102" s="317">
        <v>0</v>
      </c>
      <c r="CX102" s="105">
        <v>21</v>
      </c>
      <c r="CY102" s="18">
        <v>0</v>
      </c>
      <c r="CZ102" s="150">
        <v>2</v>
      </c>
      <c r="DA102" s="105">
        <v>16</v>
      </c>
      <c r="DB102" s="18">
        <v>0</v>
      </c>
      <c r="DC102" s="150">
        <v>3</v>
      </c>
      <c r="DD102" s="105">
        <v>529</v>
      </c>
      <c r="DE102" s="139">
        <v>12</v>
      </c>
      <c r="DF102" s="150">
        <v>75</v>
      </c>
      <c r="DG102" s="105">
        <v>323</v>
      </c>
      <c r="DH102" s="139">
        <v>10</v>
      </c>
      <c r="DI102" s="150">
        <v>85</v>
      </c>
      <c r="DJ102" s="105">
        <v>54</v>
      </c>
      <c r="DK102" s="18">
        <v>0</v>
      </c>
      <c r="DL102" s="150">
        <v>4</v>
      </c>
      <c r="DM102" s="105">
        <v>8</v>
      </c>
      <c r="DN102" s="18">
        <v>0</v>
      </c>
      <c r="DO102" s="317">
        <v>0</v>
      </c>
      <c r="DP102" s="105">
        <v>234</v>
      </c>
      <c r="DQ102" s="139">
        <v>20</v>
      </c>
      <c r="DR102" s="150">
        <v>16</v>
      </c>
      <c r="DS102" s="105">
        <v>60</v>
      </c>
      <c r="DT102" s="139">
        <v>5</v>
      </c>
      <c r="DU102" s="150">
        <v>5</v>
      </c>
      <c r="DV102" s="105">
        <v>126</v>
      </c>
      <c r="DW102" s="18">
        <v>0</v>
      </c>
      <c r="DX102" s="150">
        <v>25</v>
      </c>
      <c r="DY102" s="105">
        <v>6</v>
      </c>
      <c r="DZ102" s="18">
        <v>0</v>
      </c>
      <c r="EA102" s="317">
        <v>0</v>
      </c>
      <c r="EB102" s="105">
        <v>4</v>
      </c>
      <c r="EC102" s="18">
        <v>0</v>
      </c>
      <c r="ED102" s="317">
        <v>0</v>
      </c>
      <c r="EE102" s="105">
        <v>280</v>
      </c>
      <c r="EF102" s="139">
        <v>2</v>
      </c>
      <c r="EG102" s="150">
        <v>171</v>
      </c>
      <c r="EH102" s="105">
        <v>11</v>
      </c>
      <c r="EI102" s="18">
        <v>0</v>
      </c>
      <c r="EJ102" s="317">
        <v>0</v>
      </c>
      <c r="EK102" s="105">
        <v>10</v>
      </c>
      <c r="EL102" s="18">
        <v>0</v>
      </c>
      <c r="EM102" s="317">
        <v>0</v>
      </c>
      <c r="EN102" s="105">
        <v>25</v>
      </c>
      <c r="EO102" s="139">
        <v>1</v>
      </c>
      <c r="EP102" s="150">
        <v>2</v>
      </c>
      <c r="EQ102" s="105">
        <v>19</v>
      </c>
      <c r="ER102" s="139">
        <v>2</v>
      </c>
      <c r="ES102" s="150">
        <v>2</v>
      </c>
      <c r="ET102" s="105">
        <v>4</v>
      </c>
      <c r="EU102" s="18">
        <v>0</v>
      </c>
      <c r="EV102" s="317">
        <v>0</v>
      </c>
      <c r="EW102" s="105">
        <v>32</v>
      </c>
      <c r="EX102" s="139">
        <v>3</v>
      </c>
      <c r="EY102" s="150">
        <v>5</v>
      </c>
      <c r="EZ102" s="105">
        <v>18</v>
      </c>
      <c r="FA102" s="18">
        <v>0</v>
      </c>
      <c r="FB102" s="150">
        <v>2</v>
      </c>
      <c r="FC102" s="105">
        <v>76</v>
      </c>
      <c r="FD102" s="139">
        <v>3</v>
      </c>
      <c r="FE102" s="150">
        <v>29</v>
      </c>
      <c r="FF102" s="105">
        <v>707</v>
      </c>
      <c r="FG102" s="139">
        <v>31</v>
      </c>
      <c r="FH102" s="150">
        <v>43</v>
      </c>
      <c r="FI102" s="105">
        <v>43</v>
      </c>
      <c r="FJ102" s="139">
        <v>2</v>
      </c>
      <c r="FK102" s="150">
        <v>30</v>
      </c>
      <c r="FL102" s="105">
        <v>14</v>
      </c>
      <c r="FM102" s="139">
        <v>3</v>
      </c>
      <c r="FN102" s="317">
        <v>0</v>
      </c>
      <c r="FO102" s="649"/>
      <c r="FP102" s="531"/>
      <c r="FQ102" s="531"/>
      <c r="FR102" s="531"/>
      <c r="FS102" s="531"/>
      <c r="FT102" s="531"/>
      <c r="FU102" s="635"/>
      <c r="FV102" s="531"/>
      <c r="FW102" s="531"/>
      <c r="FX102" s="531"/>
      <c r="FY102" s="531"/>
      <c r="FZ102" s="531"/>
    </row>
    <row r="103" spans="1:182" ht="12.75">
      <c r="A103" s="93">
        <v>43934</v>
      </c>
      <c r="B103" s="14">
        <f t="shared" si="92"/>
        <v>15828</v>
      </c>
      <c r="C103" s="34">
        <f t="shared" ref="C103:D103" si="99">SUM(G103,J103,M103,P103,V103,S103,Y103,AB103,AE103,AH103,AK103,AN103,AQ103,AT103,AW103,AZ103,BC103,BF103,BI103,BL103,BO103,BR103,BU103,BX103,CA103,CD103,CG103,CJ103,CM103,CP103,CS103,CV103,CY103,DB103,DE103,DH103,DK103,DN103,DQ103,DT103,DW103,DZ103,EC103,EF103,EI103,EL103,EO103,ER103,EU103,EX103,FA103,FD103,FG103,FJ103,FM103)</f>
        <v>837</v>
      </c>
      <c r="D103" s="73">
        <f t="shared" si="99"/>
        <v>2929</v>
      </c>
      <c r="E103" s="350">
        <f t="shared" si="1"/>
        <v>12062</v>
      </c>
      <c r="F103" s="105">
        <v>2272</v>
      </c>
      <c r="G103" s="139">
        <v>27</v>
      </c>
      <c r="H103" s="150">
        <v>410</v>
      </c>
      <c r="I103" s="105">
        <v>1983</v>
      </c>
      <c r="J103" s="139">
        <v>313</v>
      </c>
      <c r="K103" s="150">
        <v>601</v>
      </c>
      <c r="L103" s="105">
        <v>19</v>
      </c>
      <c r="M103" s="139">
        <v>2</v>
      </c>
      <c r="N103" s="150">
        <v>4</v>
      </c>
      <c r="O103" s="105">
        <v>35</v>
      </c>
      <c r="P103" s="139">
        <v>1</v>
      </c>
      <c r="Q103" s="150">
        <v>5</v>
      </c>
      <c r="R103" s="105">
        <v>13</v>
      </c>
      <c r="S103" s="139">
        <v>1</v>
      </c>
      <c r="T103" s="317">
        <v>0</v>
      </c>
      <c r="U103" s="105">
        <v>497</v>
      </c>
      <c r="V103" s="139">
        <v>27</v>
      </c>
      <c r="W103" s="150">
        <v>161</v>
      </c>
      <c r="X103" s="105">
        <v>5</v>
      </c>
      <c r="Y103" s="139">
        <v>1</v>
      </c>
      <c r="Z103" s="317">
        <v>0</v>
      </c>
      <c r="AA103" s="105">
        <v>820</v>
      </c>
      <c r="AB103" s="139">
        <v>12</v>
      </c>
      <c r="AC103" s="150">
        <v>98</v>
      </c>
      <c r="AD103" s="105">
        <v>10</v>
      </c>
      <c r="AE103" s="139">
        <v>1</v>
      </c>
      <c r="AF103" s="150">
        <v>1</v>
      </c>
      <c r="AG103" s="105">
        <v>626</v>
      </c>
      <c r="AH103" s="139">
        <v>6</v>
      </c>
      <c r="AI103" s="150">
        <v>89</v>
      </c>
      <c r="AJ103" s="105">
        <v>298</v>
      </c>
      <c r="AK103" s="139">
        <v>2</v>
      </c>
      <c r="AL103" s="150">
        <v>41</v>
      </c>
      <c r="AM103" s="105">
        <v>2190</v>
      </c>
      <c r="AN103" s="139">
        <v>164</v>
      </c>
      <c r="AO103" s="150">
        <v>589</v>
      </c>
      <c r="AP103" s="105">
        <v>34</v>
      </c>
      <c r="AQ103" s="18">
        <v>0</v>
      </c>
      <c r="AR103" s="317">
        <v>0</v>
      </c>
      <c r="AS103" s="105">
        <v>15</v>
      </c>
      <c r="AT103" s="18">
        <v>0</v>
      </c>
      <c r="AU103" s="150">
        <v>7</v>
      </c>
      <c r="AV103" s="105">
        <v>74</v>
      </c>
      <c r="AW103" s="139">
        <v>3</v>
      </c>
      <c r="AX103" s="150">
        <v>14</v>
      </c>
      <c r="AY103" s="105">
        <v>57</v>
      </c>
      <c r="AZ103" s="139">
        <v>1</v>
      </c>
      <c r="BA103" s="150">
        <v>1</v>
      </c>
      <c r="BB103" s="105">
        <v>9</v>
      </c>
      <c r="BC103" s="139">
        <v>1</v>
      </c>
      <c r="BD103" s="150">
        <v>2</v>
      </c>
      <c r="BE103" s="105">
        <v>566</v>
      </c>
      <c r="BF103" s="139">
        <v>8</v>
      </c>
      <c r="BG103" s="150">
        <v>4</v>
      </c>
      <c r="BH103" s="105">
        <v>319</v>
      </c>
      <c r="BI103" s="18">
        <v>0</v>
      </c>
      <c r="BJ103" s="150">
        <v>17</v>
      </c>
      <c r="BK103" s="105">
        <v>38</v>
      </c>
      <c r="BL103" s="18">
        <v>0</v>
      </c>
      <c r="BM103" s="317">
        <v>0</v>
      </c>
      <c r="BN103" s="105">
        <v>21</v>
      </c>
      <c r="BO103" s="18">
        <v>0</v>
      </c>
      <c r="BP103" s="150">
        <v>4</v>
      </c>
      <c r="BQ103" s="105">
        <v>208</v>
      </c>
      <c r="BR103" s="139">
        <v>9</v>
      </c>
      <c r="BS103" s="150">
        <v>40</v>
      </c>
      <c r="BT103" s="105">
        <v>388</v>
      </c>
      <c r="BU103" s="18">
        <v>0</v>
      </c>
      <c r="BV103" s="317">
        <v>0</v>
      </c>
      <c r="BW103" s="105">
        <v>59</v>
      </c>
      <c r="BX103" s="139">
        <v>6</v>
      </c>
      <c r="BY103" s="150">
        <v>4</v>
      </c>
      <c r="BZ103" s="105">
        <v>25</v>
      </c>
      <c r="CA103" s="139">
        <v>1</v>
      </c>
      <c r="CB103" s="150">
        <v>9</v>
      </c>
      <c r="CC103" s="105">
        <v>106</v>
      </c>
      <c r="CD103" s="18">
        <v>0</v>
      </c>
      <c r="CE103" s="150">
        <v>21</v>
      </c>
      <c r="CF103" s="105">
        <v>16</v>
      </c>
      <c r="CG103" s="139">
        <v>2</v>
      </c>
      <c r="CH103" s="317">
        <v>0</v>
      </c>
      <c r="CI103" s="105">
        <v>123</v>
      </c>
      <c r="CJ103" s="139">
        <v>10</v>
      </c>
      <c r="CK103" s="150">
        <v>26</v>
      </c>
      <c r="CL103" s="105">
        <v>1763</v>
      </c>
      <c r="CM103" s="139">
        <v>126</v>
      </c>
      <c r="CN103" s="150">
        <v>203</v>
      </c>
      <c r="CO103" s="105">
        <v>324</v>
      </c>
      <c r="CP103" s="139">
        <v>9</v>
      </c>
      <c r="CQ103" s="150">
        <v>42</v>
      </c>
      <c r="CR103" s="105">
        <v>7</v>
      </c>
      <c r="CS103" s="139">
        <v>1</v>
      </c>
      <c r="CT103" s="150">
        <v>2</v>
      </c>
      <c r="CU103" s="105">
        <v>196</v>
      </c>
      <c r="CV103" s="139">
        <v>3</v>
      </c>
      <c r="CW103" s="317">
        <v>0</v>
      </c>
      <c r="CX103" s="105">
        <v>21</v>
      </c>
      <c r="CY103" s="18">
        <v>0</v>
      </c>
      <c r="CZ103" s="150">
        <v>2</v>
      </c>
      <c r="DA103" s="105">
        <v>16</v>
      </c>
      <c r="DB103" s="18">
        <v>0</v>
      </c>
      <c r="DC103" s="150">
        <v>3</v>
      </c>
      <c r="DD103" s="105">
        <v>529</v>
      </c>
      <c r="DE103" s="139">
        <v>12</v>
      </c>
      <c r="DF103" s="150">
        <v>75</v>
      </c>
      <c r="DG103" s="105">
        <v>323</v>
      </c>
      <c r="DH103" s="139">
        <v>10</v>
      </c>
      <c r="DI103" s="150">
        <v>85</v>
      </c>
      <c r="DJ103" s="105">
        <v>54</v>
      </c>
      <c r="DK103" s="18">
        <v>0</v>
      </c>
      <c r="DL103" s="150">
        <v>7</v>
      </c>
      <c r="DM103" s="105">
        <v>11</v>
      </c>
      <c r="DN103" s="18">
        <v>0</v>
      </c>
      <c r="DO103" s="150">
        <v>3</v>
      </c>
      <c r="DP103" s="105">
        <v>235</v>
      </c>
      <c r="DQ103" s="139">
        <v>20</v>
      </c>
      <c r="DR103" s="150">
        <v>17</v>
      </c>
      <c r="DS103" s="105">
        <v>60</v>
      </c>
      <c r="DT103" s="139">
        <v>5</v>
      </c>
      <c r="DU103" s="150">
        <v>5</v>
      </c>
      <c r="DV103" s="105">
        <v>127</v>
      </c>
      <c r="DW103" s="18">
        <v>0</v>
      </c>
      <c r="DX103" s="150">
        <v>42</v>
      </c>
      <c r="DY103" s="105">
        <v>6</v>
      </c>
      <c r="DZ103" s="18">
        <v>0</v>
      </c>
      <c r="EA103" s="317">
        <v>0</v>
      </c>
      <c r="EB103" s="105">
        <v>4</v>
      </c>
      <c r="EC103" s="18">
        <v>0</v>
      </c>
      <c r="ED103" s="317">
        <v>0</v>
      </c>
      <c r="EE103" s="105">
        <v>291</v>
      </c>
      <c r="EF103" s="139">
        <v>2</v>
      </c>
      <c r="EG103" s="150">
        <v>178</v>
      </c>
      <c r="EH103" s="105">
        <v>11</v>
      </c>
      <c r="EI103" s="18">
        <v>0</v>
      </c>
      <c r="EJ103" s="317">
        <v>0</v>
      </c>
      <c r="EK103" s="105">
        <v>10</v>
      </c>
      <c r="EL103" s="18">
        <v>0</v>
      </c>
      <c r="EM103" s="317">
        <v>0</v>
      </c>
      <c r="EN103" s="105">
        <v>60</v>
      </c>
      <c r="EO103" s="139">
        <v>2</v>
      </c>
      <c r="EP103" s="150">
        <v>2</v>
      </c>
      <c r="EQ103" s="105">
        <v>29</v>
      </c>
      <c r="ER103" s="139">
        <v>4</v>
      </c>
      <c r="ES103" s="150">
        <v>4</v>
      </c>
      <c r="ET103" s="105">
        <v>4</v>
      </c>
      <c r="EU103" s="18">
        <v>0</v>
      </c>
      <c r="EV103" s="317">
        <v>0</v>
      </c>
      <c r="EW103" s="105">
        <v>49</v>
      </c>
      <c r="EX103" s="139">
        <v>3</v>
      </c>
      <c r="EY103" s="150">
        <v>7</v>
      </c>
      <c r="EZ103" s="105">
        <v>23</v>
      </c>
      <c r="FA103" s="18">
        <v>0</v>
      </c>
      <c r="FB103" s="150">
        <v>2</v>
      </c>
      <c r="FC103" s="105">
        <v>77</v>
      </c>
      <c r="FD103" s="139">
        <v>3</v>
      </c>
      <c r="FE103" s="150">
        <v>29</v>
      </c>
      <c r="FF103" s="105">
        <v>726</v>
      </c>
      <c r="FG103" s="139">
        <v>34</v>
      </c>
      <c r="FH103" s="150">
        <v>43</v>
      </c>
      <c r="FI103" s="105">
        <v>45</v>
      </c>
      <c r="FJ103" s="139">
        <v>2</v>
      </c>
      <c r="FK103" s="150">
        <v>30</v>
      </c>
      <c r="FL103" s="105">
        <v>17</v>
      </c>
      <c r="FM103" s="139">
        <v>3</v>
      </c>
      <c r="FN103" s="317">
        <v>0</v>
      </c>
      <c r="FO103" s="649" t="s">
        <v>316</v>
      </c>
      <c r="FP103" s="531"/>
      <c r="FQ103" s="531"/>
      <c r="FR103" s="531"/>
      <c r="FS103" s="531"/>
      <c r="FT103" s="531"/>
      <c r="FU103" s="634" t="s">
        <v>1064</v>
      </c>
      <c r="FV103" s="531"/>
      <c r="FW103" s="531"/>
      <c r="FX103" s="531"/>
      <c r="FY103" s="531"/>
      <c r="FZ103" s="531"/>
    </row>
    <row r="104" spans="1:182" ht="12.75">
      <c r="A104" s="93">
        <v>43935</v>
      </c>
      <c r="B104" s="14">
        <f t="shared" si="92"/>
        <v>16746</v>
      </c>
      <c r="C104" s="34">
        <f t="shared" ref="C104:D104" si="100">SUM(G104,J104,M104,P104,V104,S104,Y104,AB104,AE104,AH104,AK104,AN104,AQ104,AT104,AW104,AZ104,BC104,BF104,BI104,BL104,BO104,BR104,BU104,BX104,CA104,CD104,CG104,CJ104,CM104,CP104,CS104,CV104,CY104,DB104,DE104,DH104,DK104,DN104,DQ104,DT104,DW104,DZ104,EC104,EF104,EI104,EL104,EO104,ER104,EU104,EX104,FA104,FD104,FG104,FJ104,FM104)</f>
        <v>873</v>
      </c>
      <c r="D104" s="73">
        <f t="shared" si="100"/>
        <v>3175</v>
      </c>
      <c r="E104" s="350">
        <f t="shared" si="1"/>
        <v>12698</v>
      </c>
      <c r="F104" s="105">
        <v>2415</v>
      </c>
      <c r="G104" s="139">
        <v>27</v>
      </c>
      <c r="H104" s="150">
        <v>410</v>
      </c>
      <c r="I104" s="105">
        <v>2070</v>
      </c>
      <c r="J104" s="139">
        <v>326</v>
      </c>
      <c r="K104" s="150">
        <v>691</v>
      </c>
      <c r="L104" s="105">
        <v>19</v>
      </c>
      <c r="M104" s="139">
        <v>2</v>
      </c>
      <c r="N104" s="150">
        <v>5</v>
      </c>
      <c r="O104" s="105">
        <v>35</v>
      </c>
      <c r="P104" s="139">
        <v>1</v>
      </c>
      <c r="Q104" s="150">
        <v>5</v>
      </c>
      <c r="R104" s="105">
        <v>13</v>
      </c>
      <c r="S104" s="139">
        <v>1</v>
      </c>
      <c r="T104" s="317">
        <v>0</v>
      </c>
      <c r="U104" s="105">
        <v>515</v>
      </c>
      <c r="V104" s="139">
        <v>27</v>
      </c>
      <c r="W104" s="150">
        <v>161</v>
      </c>
      <c r="X104" s="105">
        <v>5</v>
      </c>
      <c r="Y104" s="139">
        <v>1</v>
      </c>
      <c r="Z104" s="317">
        <v>0</v>
      </c>
      <c r="AA104" s="105">
        <v>848</v>
      </c>
      <c r="AB104" s="139">
        <v>14</v>
      </c>
      <c r="AC104" s="150">
        <v>130</v>
      </c>
      <c r="AD104" s="105">
        <v>11</v>
      </c>
      <c r="AE104" s="139">
        <v>1</v>
      </c>
      <c r="AF104" s="150">
        <v>1</v>
      </c>
      <c r="AG104" s="105">
        <v>638</v>
      </c>
      <c r="AH104" s="139">
        <v>6</v>
      </c>
      <c r="AI104" s="150">
        <v>114</v>
      </c>
      <c r="AJ104" s="105">
        <v>363</v>
      </c>
      <c r="AK104" s="139">
        <v>2</v>
      </c>
      <c r="AL104" s="150">
        <v>53</v>
      </c>
      <c r="AM104" s="105">
        <v>2350</v>
      </c>
      <c r="AN104" s="139">
        <v>178</v>
      </c>
      <c r="AO104" s="150">
        <v>589</v>
      </c>
      <c r="AP104" s="105">
        <v>34</v>
      </c>
      <c r="AQ104" s="18">
        <v>0</v>
      </c>
      <c r="AR104" s="317">
        <v>0</v>
      </c>
      <c r="AS104" s="105">
        <v>15</v>
      </c>
      <c r="AT104" s="18">
        <v>0</v>
      </c>
      <c r="AU104" s="150">
        <v>8</v>
      </c>
      <c r="AV104" s="105">
        <v>82</v>
      </c>
      <c r="AW104" s="139">
        <v>3</v>
      </c>
      <c r="AX104" s="150">
        <v>14</v>
      </c>
      <c r="AY104" s="105">
        <v>57</v>
      </c>
      <c r="AZ104" s="139">
        <v>1</v>
      </c>
      <c r="BA104" s="150">
        <v>1</v>
      </c>
      <c r="BB104" s="105">
        <v>9</v>
      </c>
      <c r="BC104" s="139">
        <v>1</v>
      </c>
      <c r="BD104" s="150">
        <v>2</v>
      </c>
      <c r="BE104" s="105">
        <v>636</v>
      </c>
      <c r="BF104" s="139">
        <v>8</v>
      </c>
      <c r="BG104" s="150">
        <v>4</v>
      </c>
      <c r="BH104" s="105">
        <v>363</v>
      </c>
      <c r="BI104" s="139">
        <v>1</v>
      </c>
      <c r="BJ104" s="150">
        <v>31</v>
      </c>
      <c r="BK104" s="105">
        <v>38</v>
      </c>
      <c r="BL104" s="18">
        <v>0</v>
      </c>
      <c r="BM104" s="317">
        <v>0</v>
      </c>
      <c r="BN104" s="105">
        <v>41</v>
      </c>
      <c r="BO104" s="18">
        <v>0</v>
      </c>
      <c r="BP104" s="150">
        <v>4</v>
      </c>
      <c r="BQ104" s="105">
        <v>216</v>
      </c>
      <c r="BR104" s="139">
        <v>9</v>
      </c>
      <c r="BS104" s="150">
        <v>41</v>
      </c>
      <c r="BT104" s="105">
        <v>388</v>
      </c>
      <c r="BU104" s="18">
        <v>0</v>
      </c>
      <c r="BV104" s="317">
        <v>0</v>
      </c>
      <c r="BW104" s="105">
        <v>59</v>
      </c>
      <c r="BX104" s="139">
        <v>6</v>
      </c>
      <c r="BY104" s="150">
        <v>4</v>
      </c>
      <c r="BZ104" s="105">
        <v>35</v>
      </c>
      <c r="CA104" s="139">
        <v>1</v>
      </c>
      <c r="CB104" s="150">
        <v>9</v>
      </c>
      <c r="CC104" s="105">
        <v>108</v>
      </c>
      <c r="CD104" s="18">
        <v>0</v>
      </c>
      <c r="CE104" s="150">
        <v>23</v>
      </c>
      <c r="CF104" s="105">
        <v>16</v>
      </c>
      <c r="CG104" s="139">
        <v>2</v>
      </c>
      <c r="CH104" s="317">
        <v>0</v>
      </c>
      <c r="CI104" s="105">
        <v>144</v>
      </c>
      <c r="CJ104" s="139">
        <v>13</v>
      </c>
      <c r="CK104" s="150">
        <v>34</v>
      </c>
      <c r="CL104" s="105">
        <v>1888</v>
      </c>
      <c r="CM104" s="139">
        <v>126</v>
      </c>
      <c r="CN104" s="150">
        <v>217</v>
      </c>
      <c r="CO104" s="105">
        <v>324</v>
      </c>
      <c r="CP104" s="139">
        <v>9</v>
      </c>
      <c r="CQ104" s="150">
        <v>51</v>
      </c>
      <c r="CR104" s="105">
        <v>7</v>
      </c>
      <c r="CS104" s="139">
        <v>1</v>
      </c>
      <c r="CT104" s="150">
        <v>2</v>
      </c>
      <c r="CU104" s="105">
        <v>196</v>
      </c>
      <c r="CV104" s="139">
        <v>3</v>
      </c>
      <c r="CW104" s="317">
        <v>0</v>
      </c>
      <c r="CX104" s="105">
        <v>28</v>
      </c>
      <c r="CY104" s="18">
        <v>0</v>
      </c>
      <c r="CZ104" s="150">
        <v>2</v>
      </c>
      <c r="DA104" s="105">
        <v>16</v>
      </c>
      <c r="DB104" s="18">
        <v>0</v>
      </c>
      <c r="DC104" s="150">
        <v>3</v>
      </c>
      <c r="DD104" s="105">
        <v>548</v>
      </c>
      <c r="DE104" s="139">
        <v>13</v>
      </c>
      <c r="DF104" s="150">
        <v>86</v>
      </c>
      <c r="DG104" s="105">
        <v>343</v>
      </c>
      <c r="DH104" s="139">
        <v>11</v>
      </c>
      <c r="DI104" s="150">
        <v>99</v>
      </c>
      <c r="DJ104" s="105">
        <v>54</v>
      </c>
      <c r="DK104" s="18">
        <v>0</v>
      </c>
      <c r="DL104" s="150">
        <v>7</v>
      </c>
      <c r="DM104" s="105">
        <v>11</v>
      </c>
      <c r="DN104" s="18">
        <v>0</v>
      </c>
      <c r="DO104" s="150">
        <v>4</v>
      </c>
      <c r="DP104" s="105">
        <v>241</v>
      </c>
      <c r="DQ104" s="139">
        <v>20</v>
      </c>
      <c r="DR104" s="150">
        <v>20</v>
      </c>
      <c r="DS104" s="105">
        <v>60</v>
      </c>
      <c r="DT104" s="139">
        <v>5</v>
      </c>
      <c r="DU104" s="150">
        <v>5</v>
      </c>
      <c r="DV104" s="105">
        <v>134</v>
      </c>
      <c r="DW104" s="18">
        <v>0</v>
      </c>
      <c r="DX104" s="150">
        <v>42</v>
      </c>
      <c r="DY104" s="105">
        <v>6</v>
      </c>
      <c r="DZ104" s="18">
        <v>0</v>
      </c>
      <c r="EA104" s="317">
        <v>0</v>
      </c>
      <c r="EB104" s="105">
        <v>4</v>
      </c>
      <c r="EC104" s="18">
        <v>0</v>
      </c>
      <c r="ED104" s="317">
        <v>0</v>
      </c>
      <c r="EE104" s="105">
        <v>299</v>
      </c>
      <c r="EF104" s="139">
        <v>2</v>
      </c>
      <c r="EG104" s="150">
        <v>183</v>
      </c>
      <c r="EH104" s="105">
        <v>11</v>
      </c>
      <c r="EI104" s="18">
        <v>0</v>
      </c>
      <c r="EJ104" s="317">
        <v>0</v>
      </c>
      <c r="EK104" s="105">
        <v>11</v>
      </c>
      <c r="EL104" s="18">
        <v>0</v>
      </c>
      <c r="EM104" s="317">
        <v>0</v>
      </c>
      <c r="EN104" s="105">
        <v>60</v>
      </c>
      <c r="EO104" s="139">
        <v>2</v>
      </c>
      <c r="EP104" s="150">
        <v>2</v>
      </c>
      <c r="EQ104" s="105">
        <v>32</v>
      </c>
      <c r="ER104" s="139">
        <v>5</v>
      </c>
      <c r="ES104" s="150">
        <v>4</v>
      </c>
      <c r="ET104" s="105">
        <v>4</v>
      </c>
      <c r="EU104" s="18">
        <v>0</v>
      </c>
      <c r="EV104" s="317">
        <v>0</v>
      </c>
      <c r="EW104" s="105">
        <v>53</v>
      </c>
      <c r="EX104" s="139">
        <v>3</v>
      </c>
      <c r="EY104" s="150">
        <v>7</v>
      </c>
      <c r="EZ104" s="105">
        <v>23</v>
      </c>
      <c r="FA104" s="18">
        <v>0</v>
      </c>
      <c r="FB104" s="150">
        <v>2</v>
      </c>
      <c r="FC104" s="105">
        <v>77</v>
      </c>
      <c r="FD104" s="139">
        <v>3</v>
      </c>
      <c r="FE104" s="150">
        <v>32</v>
      </c>
      <c r="FF104" s="105">
        <v>747</v>
      </c>
      <c r="FG104" s="139">
        <v>34</v>
      </c>
      <c r="FH104" s="150">
        <v>43</v>
      </c>
      <c r="FI104" s="105">
        <v>45</v>
      </c>
      <c r="FJ104" s="139">
        <v>2</v>
      </c>
      <c r="FK104" s="150">
        <v>30</v>
      </c>
      <c r="FL104" s="105">
        <v>17</v>
      </c>
      <c r="FM104" s="139">
        <v>3</v>
      </c>
      <c r="FN104" s="317">
        <v>0</v>
      </c>
      <c r="FO104" s="649" t="s">
        <v>319</v>
      </c>
      <c r="FP104" s="531"/>
      <c r="FQ104" s="531"/>
      <c r="FR104" s="531"/>
      <c r="FS104" s="531"/>
      <c r="FT104" s="531"/>
      <c r="FU104" s="77" t="s">
        <v>320</v>
      </c>
      <c r="FV104" s="127"/>
      <c r="FW104" s="127"/>
      <c r="FX104" s="127"/>
      <c r="FY104" s="127"/>
      <c r="FZ104" s="127"/>
    </row>
    <row r="105" spans="1:182" ht="12.75">
      <c r="A105" s="93">
        <v>43936</v>
      </c>
      <c r="B105" s="14">
        <f t="shared" si="92"/>
        <v>17650</v>
      </c>
      <c r="C105" s="34">
        <f t="shared" ref="C105:D105" si="101">SUM(G105,J105,M105,P105,V105,S105,Y105,AB105,AE105,AH105,AK105,AN105,AQ105,AT105,AW105,AZ105,BC105,BF105,BI105,BL105,BO105,BR105,BU105,BX105,CA105,CD105,CG105,CJ105,CM105,CP105,CS105,CV105,CY105,DB105,DE105,DH105,DK105,DN105,DQ105,DT105,DW105,DZ105,EC105,EF105,EI105,EL105,EO105,ER105,EU105,EX105,FA105,FD105,FG105,FJ105,FM105)</f>
        <v>910</v>
      </c>
      <c r="D105" s="73">
        <f t="shared" si="101"/>
        <v>3406</v>
      </c>
      <c r="E105" s="350">
        <f t="shared" si="1"/>
        <v>13334</v>
      </c>
      <c r="F105" s="105">
        <v>2506</v>
      </c>
      <c r="G105" s="139">
        <v>34</v>
      </c>
      <c r="H105" s="150">
        <v>410</v>
      </c>
      <c r="I105" s="105">
        <v>2160</v>
      </c>
      <c r="J105" s="139">
        <v>336</v>
      </c>
      <c r="K105" s="150">
        <v>708</v>
      </c>
      <c r="L105" s="105">
        <v>19</v>
      </c>
      <c r="M105" s="139">
        <v>2</v>
      </c>
      <c r="N105" s="150">
        <v>5</v>
      </c>
      <c r="O105" s="105">
        <v>35</v>
      </c>
      <c r="P105" s="139">
        <v>1</v>
      </c>
      <c r="Q105" s="150">
        <v>18</v>
      </c>
      <c r="R105" s="105">
        <v>13</v>
      </c>
      <c r="S105" s="139">
        <v>1</v>
      </c>
      <c r="T105" s="317">
        <v>0</v>
      </c>
      <c r="U105" s="105">
        <v>528</v>
      </c>
      <c r="V105" s="139">
        <v>30</v>
      </c>
      <c r="W105" s="150">
        <v>177</v>
      </c>
      <c r="X105" s="105">
        <v>5</v>
      </c>
      <c r="Y105" s="139">
        <v>1</v>
      </c>
      <c r="Z105" s="317">
        <v>0</v>
      </c>
      <c r="AA105" s="105">
        <v>848</v>
      </c>
      <c r="AB105" s="139">
        <v>17</v>
      </c>
      <c r="AC105" s="150">
        <v>164</v>
      </c>
      <c r="AD105" s="105">
        <v>56</v>
      </c>
      <c r="AE105" s="139">
        <v>1</v>
      </c>
      <c r="AF105" s="150">
        <v>1</v>
      </c>
      <c r="AG105" s="105">
        <v>638</v>
      </c>
      <c r="AH105" s="139">
        <v>6</v>
      </c>
      <c r="AI105" s="150">
        <v>114</v>
      </c>
      <c r="AJ105" s="105">
        <v>435</v>
      </c>
      <c r="AK105" s="139">
        <v>2</v>
      </c>
      <c r="AL105" s="150">
        <v>71</v>
      </c>
      <c r="AM105" s="105">
        <v>2505</v>
      </c>
      <c r="AN105" s="139">
        <v>183</v>
      </c>
      <c r="AO105" s="150">
        <v>589</v>
      </c>
      <c r="AP105" s="105">
        <v>35</v>
      </c>
      <c r="AQ105" s="18">
        <v>0</v>
      </c>
      <c r="AR105" s="317">
        <v>0</v>
      </c>
      <c r="AS105" s="105">
        <v>15</v>
      </c>
      <c r="AT105" s="18">
        <v>0</v>
      </c>
      <c r="AU105" s="150">
        <v>8</v>
      </c>
      <c r="AV105" s="105">
        <v>85</v>
      </c>
      <c r="AW105" s="139">
        <v>3</v>
      </c>
      <c r="AX105" s="150">
        <v>15</v>
      </c>
      <c r="AY105" s="105">
        <v>80</v>
      </c>
      <c r="AZ105" s="139">
        <v>1</v>
      </c>
      <c r="BA105" s="150">
        <v>4</v>
      </c>
      <c r="BB105" s="105">
        <v>9</v>
      </c>
      <c r="BC105" s="139">
        <v>1</v>
      </c>
      <c r="BD105" s="150">
        <v>2</v>
      </c>
      <c r="BE105" s="105">
        <v>636</v>
      </c>
      <c r="BF105" s="139">
        <v>8</v>
      </c>
      <c r="BG105" s="150">
        <v>17</v>
      </c>
      <c r="BH105" s="105">
        <v>404</v>
      </c>
      <c r="BI105" s="139">
        <v>1</v>
      </c>
      <c r="BJ105" s="150">
        <v>31</v>
      </c>
      <c r="BK105" s="105">
        <v>43</v>
      </c>
      <c r="BL105" s="18">
        <v>0</v>
      </c>
      <c r="BM105" s="317">
        <v>0</v>
      </c>
      <c r="BN105" s="105">
        <v>51</v>
      </c>
      <c r="BO105" s="18">
        <v>0</v>
      </c>
      <c r="BP105" s="150">
        <v>4</v>
      </c>
      <c r="BQ105" s="105">
        <v>225</v>
      </c>
      <c r="BR105" s="139">
        <v>10</v>
      </c>
      <c r="BS105" s="150">
        <v>53</v>
      </c>
      <c r="BT105" s="105">
        <v>388</v>
      </c>
      <c r="BU105" s="18">
        <v>0</v>
      </c>
      <c r="BV105" s="317">
        <v>0</v>
      </c>
      <c r="BW105" s="105">
        <v>59</v>
      </c>
      <c r="BX105" s="139">
        <v>6</v>
      </c>
      <c r="BY105" s="150">
        <v>4</v>
      </c>
      <c r="BZ105" s="105">
        <v>48</v>
      </c>
      <c r="CA105" s="139">
        <v>1</v>
      </c>
      <c r="CB105" s="150">
        <v>9</v>
      </c>
      <c r="CC105" s="105">
        <v>110</v>
      </c>
      <c r="CD105" s="18">
        <v>0</v>
      </c>
      <c r="CE105" s="150">
        <v>29</v>
      </c>
      <c r="CF105" s="105">
        <v>16</v>
      </c>
      <c r="CG105" s="139">
        <v>2</v>
      </c>
      <c r="CH105" s="317">
        <v>0</v>
      </c>
      <c r="CI105" s="105">
        <v>148</v>
      </c>
      <c r="CJ105" s="139">
        <v>13</v>
      </c>
      <c r="CK105" s="150">
        <v>34</v>
      </c>
      <c r="CL105" s="105">
        <v>2024</v>
      </c>
      <c r="CM105" s="139">
        <v>127</v>
      </c>
      <c r="CN105" s="150">
        <v>229</v>
      </c>
      <c r="CO105" s="105">
        <v>324</v>
      </c>
      <c r="CP105" s="139">
        <v>9</v>
      </c>
      <c r="CQ105" s="150">
        <v>65</v>
      </c>
      <c r="CR105" s="105">
        <v>7</v>
      </c>
      <c r="CS105" s="139">
        <v>1</v>
      </c>
      <c r="CT105" s="150">
        <v>2</v>
      </c>
      <c r="CU105" s="105">
        <v>196</v>
      </c>
      <c r="CV105" s="139">
        <v>3</v>
      </c>
      <c r="CW105" s="317">
        <v>0</v>
      </c>
      <c r="CX105" s="105">
        <v>29</v>
      </c>
      <c r="CY105" s="18">
        <v>0</v>
      </c>
      <c r="CZ105" s="150">
        <v>2</v>
      </c>
      <c r="DA105" s="105">
        <v>16</v>
      </c>
      <c r="DB105" s="18">
        <v>0</v>
      </c>
      <c r="DC105" s="150">
        <v>3</v>
      </c>
      <c r="DD105" s="105">
        <v>570</v>
      </c>
      <c r="DE105" s="139">
        <v>14</v>
      </c>
      <c r="DF105" s="150">
        <v>90</v>
      </c>
      <c r="DG105" s="105">
        <v>373</v>
      </c>
      <c r="DH105" s="139">
        <v>11</v>
      </c>
      <c r="DI105" s="150">
        <v>128</v>
      </c>
      <c r="DJ105" s="105">
        <v>55</v>
      </c>
      <c r="DK105" s="18">
        <v>0</v>
      </c>
      <c r="DL105" s="150">
        <v>12</v>
      </c>
      <c r="DM105" s="105">
        <v>12</v>
      </c>
      <c r="DN105" s="18">
        <v>0</v>
      </c>
      <c r="DO105" s="150">
        <v>4</v>
      </c>
      <c r="DP105" s="105">
        <v>254</v>
      </c>
      <c r="DQ105" s="139">
        <v>21</v>
      </c>
      <c r="DR105" s="150">
        <v>21</v>
      </c>
      <c r="DS105" s="105">
        <v>117</v>
      </c>
      <c r="DT105" s="139">
        <v>5</v>
      </c>
      <c r="DU105" s="150">
        <v>11</v>
      </c>
      <c r="DV105" s="105">
        <v>136</v>
      </c>
      <c r="DW105" s="18">
        <v>0</v>
      </c>
      <c r="DX105" s="150">
        <v>54</v>
      </c>
      <c r="DY105" s="105">
        <v>6</v>
      </c>
      <c r="DZ105" s="18">
        <v>0</v>
      </c>
      <c r="EA105" s="317">
        <v>0</v>
      </c>
      <c r="EB105" s="105">
        <v>4</v>
      </c>
      <c r="EC105" s="18">
        <v>0</v>
      </c>
      <c r="ED105" s="317">
        <v>0</v>
      </c>
      <c r="EE105" s="105">
        <v>314</v>
      </c>
      <c r="EF105" s="139">
        <v>2</v>
      </c>
      <c r="EG105" s="150">
        <v>190</v>
      </c>
      <c r="EH105" s="105">
        <v>11</v>
      </c>
      <c r="EI105" s="18">
        <v>0</v>
      </c>
      <c r="EJ105" s="317">
        <v>0</v>
      </c>
      <c r="EK105" s="105">
        <v>13</v>
      </c>
      <c r="EL105" s="18">
        <v>0</v>
      </c>
      <c r="EM105" s="317">
        <v>0</v>
      </c>
      <c r="EN105" s="105">
        <v>80</v>
      </c>
      <c r="EO105" s="139">
        <v>5</v>
      </c>
      <c r="EP105" s="150">
        <v>2</v>
      </c>
      <c r="EQ105" s="105">
        <v>32</v>
      </c>
      <c r="ER105" s="139">
        <v>5</v>
      </c>
      <c r="ES105" s="150">
        <v>4</v>
      </c>
      <c r="ET105" s="105">
        <v>4</v>
      </c>
      <c r="EU105" s="18">
        <v>0</v>
      </c>
      <c r="EV105" s="317">
        <v>0</v>
      </c>
      <c r="EW105" s="105">
        <v>88</v>
      </c>
      <c r="EX105" s="139">
        <v>4</v>
      </c>
      <c r="EY105" s="150">
        <v>11</v>
      </c>
      <c r="EZ105" s="105">
        <v>23</v>
      </c>
      <c r="FA105" s="18">
        <v>0</v>
      </c>
      <c r="FB105" s="150">
        <v>2</v>
      </c>
      <c r="FC105" s="105">
        <v>81</v>
      </c>
      <c r="FD105" s="139">
        <v>3</v>
      </c>
      <c r="FE105" s="150">
        <v>35</v>
      </c>
      <c r="FF105" s="105">
        <v>726</v>
      </c>
      <c r="FG105" s="139">
        <v>35</v>
      </c>
      <c r="FH105" s="150">
        <v>43</v>
      </c>
      <c r="FI105" s="105">
        <v>48</v>
      </c>
      <c r="FJ105" s="139">
        <v>2</v>
      </c>
      <c r="FK105" s="150">
        <v>30</v>
      </c>
      <c r="FL105" s="105">
        <v>23</v>
      </c>
      <c r="FM105" s="139">
        <v>3</v>
      </c>
      <c r="FN105" s="150">
        <v>1</v>
      </c>
      <c r="FO105" s="649"/>
      <c r="FP105" s="531"/>
      <c r="FQ105" s="531"/>
      <c r="FR105" s="531"/>
      <c r="FS105" s="531"/>
      <c r="FT105" s="531"/>
      <c r="FU105" s="635"/>
      <c r="FV105" s="531"/>
      <c r="FW105" s="531"/>
      <c r="FX105" s="531"/>
      <c r="FY105" s="531"/>
      <c r="FZ105" s="531"/>
    </row>
    <row r="106" spans="1:182" ht="12.75">
      <c r="A106" s="93">
        <v>43937</v>
      </c>
      <c r="B106" s="14">
        <f t="shared" si="92"/>
        <v>18898</v>
      </c>
      <c r="C106" s="34">
        <f t="shared" ref="C106:D106" si="102">SUM(G106,J106,M106,P106,V106,S106,Y106,AB106,AE106,AH106,AK106,AN106,AQ106,AT106,AW106,AZ106,BC106,BF106,BI106,BL106,BO106,BR106,BU106,BX106,CA106,CD106,CG106,CJ106,CM106,CP106,CS106,CV106,CY106,DB106,DE106,DH106,DK106,DN106,DQ106,DT106,DW106,DZ106,EC106,EF106,EI106,EL106,EO106,ER106,EU106,EX106,FA106,FD106,FG106,FJ106,FM106)</f>
        <v>967</v>
      </c>
      <c r="D106" s="73">
        <f t="shared" si="102"/>
        <v>4279</v>
      </c>
      <c r="E106" s="350">
        <f t="shared" si="1"/>
        <v>13652</v>
      </c>
      <c r="F106" s="105">
        <v>2605</v>
      </c>
      <c r="G106" s="139">
        <v>48</v>
      </c>
      <c r="H106" s="150">
        <v>903</v>
      </c>
      <c r="I106" s="105">
        <v>2268</v>
      </c>
      <c r="J106" s="139">
        <v>348</v>
      </c>
      <c r="K106" s="150">
        <v>783</v>
      </c>
      <c r="L106" s="105">
        <v>19</v>
      </c>
      <c r="M106" s="139">
        <v>2</v>
      </c>
      <c r="N106" s="150">
        <v>5</v>
      </c>
      <c r="O106" s="105">
        <v>35</v>
      </c>
      <c r="P106" s="139">
        <v>1</v>
      </c>
      <c r="Q106" s="150">
        <v>18</v>
      </c>
      <c r="R106" s="105">
        <v>15</v>
      </c>
      <c r="S106" s="139">
        <v>1</v>
      </c>
      <c r="T106" s="317">
        <v>0</v>
      </c>
      <c r="U106" s="105">
        <v>546</v>
      </c>
      <c r="V106" s="139">
        <v>32</v>
      </c>
      <c r="W106" s="150">
        <v>257</v>
      </c>
      <c r="X106" s="105">
        <v>5</v>
      </c>
      <c r="Y106" s="139">
        <v>1</v>
      </c>
      <c r="Z106" s="317">
        <v>0</v>
      </c>
      <c r="AA106" s="105">
        <v>996</v>
      </c>
      <c r="AB106" s="139">
        <v>22</v>
      </c>
      <c r="AC106" s="150">
        <v>164</v>
      </c>
      <c r="AD106" s="105">
        <v>56</v>
      </c>
      <c r="AE106" s="139">
        <v>1</v>
      </c>
      <c r="AF106" s="150">
        <v>1</v>
      </c>
      <c r="AG106" s="105">
        <v>654</v>
      </c>
      <c r="AH106" s="139">
        <v>6</v>
      </c>
      <c r="AI106" s="150">
        <v>146</v>
      </c>
      <c r="AJ106" s="105">
        <v>591</v>
      </c>
      <c r="AK106" s="139">
        <v>2</v>
      </c>
      <c r="AL106" s="150">
        <v>73</v>
      </c>
      <c r="AM106" s="105">
        <v>2673</v>
      </c>
      <c r="AN106" s="139">
        <v>196</v>
      </c>
      <c r="AO106" s="150">
        <v>596</v>
      </c>
      <c r="AP106" s="105">
        <v>35</v>
      </c>
      <c r="AQ106" s="18">
        <v>0</v>
      </c>
      <c r="AR106" s="317">
        <v>0</v>
      </c>
      <c r="AS106" s="105">
        <v>16</v>
      </c>
      <c r="AT106" s="139">
        <v>1</v>
      </c>
      <c r="AU106" s="150">
        <v>8</v>
      </c>
      <c r="AV106" s="105">
        <v>92</v>
      </c>
      <c r="AW106" s="139">
        <v>3</v>
      </c>
      <c r="AX106" s="150">
        <v>15</v>
      </c>
      <c r="AY106" s="105">
        <v>80</v>
      </c>
      <c r="AZ106" s="139">
        <v>1</v>
      </c>
      <c r="BA106" s="150">
        <v>4</v>
      </c>
      <c r="BB106" s="105">
        <v>9</v>
      </c>
      <c r="BC106" s="139">
        <v>1</v>
      </c>
      <c r="BD106" s="150">
        <v>2</v>
      </c>
      <c r="BE106" s="105">
        <v>641</v>
      </c>
      <c r="BF106" s="139">
        <v>8</v>
      </c>
      <c r="BG106" s="150">
        <v>83</v>
      </c>
      <c r="BH106" s="105">
        <v>438</v>
      </c>
      <c r="BI106" s="139">
        <v>1</v>
      </c>
      <c r="BJ106" s="150">
        <v>49</v>
      </c>
      <c r="BK106" s="105">
        <v>43</v>
      </c>
      <c r="BL106" s="18">
        <v>0</v>
      </c>
      <c r="BM106" s="317">
        <v>0</v>
      </c>
      <c r="BN106" s="105">
        <v>51</v>
      </c>
      <c r="BO106" s="18">
        <v>0</v>
      </c>
      <c r="BP106" s="150">
        <v>4</v>
      </c>
      <c r="BQ106" s="105">
        <v>234</v>
      </c>
      <c r="BR106" s="139">
        <v>11</v>
      </c>
      <c r="BS106" s="150">
        <v>53</v>
      </c>
      <c r="BT106" s="105">
        <v>388</v>
      </c>
      <c r="BU106" s="18">
        <v>0</v>
      </c>
      <c r="BV106" s="317">
        <v>0</v>
      </c>
      <c r="BW106" s="105">
        <v>59</v>
      </c>
      <c r="BX106" s="139">
        <v>6</v>
      </c>
      <c r="BY106" s="150">
        <v>4</v>
      </c>
      <c r="BZ106" s="105">
        <v>48</v>
      </c>
      <c r="CA106" s="139">
        <v>1</v>
      </c>
      <c r="CB106" s="150">
        <v>11</v>
      </c>
      <c r="CC106" s="105">
        <v>111</v>
      </c>
      <c r="CD106" s="18">
        <v>0</v>
      </c>
      <c r="CE106" s="150">
        <v>33</v>
      </c>
      <c r="CF106" s="105">
        <v>16</v>
      </c>
      <c r="CG106" s="139">
        <v>2</v>
      </c>
      <c r="CH106" s="317">
        <v>0</v>
      </c>
      <c r="CI106" s="105">
        <v>171</v>
      </c>
      <c r="CJ106" s="139">
        <v>13</v>
      </c>
      <c r="CK106" s="150">
        <v>34</v>
      </c>
      <c r="CL106" s="105">
        <v>2283</v>
      </c>
      <c r="CM106" s="139">
        <v>130</v>
      </c>
      <c r="CN106" s="150">
        <v>249</v>
      </c>
      <c r="CO106" s="105">
        <v>324</v>
      </c>
      <c r="CP106" s="139">
        <v>9</v>
      </c>
      <c r="CQ106" s="150">
        <v>81</v>
      </c>
      <c r="CR106" s="105">
        <v>7</v>
      </c>
      <c r="CS106" s="139">
        <v>1</v>
      </c>
      <c r="CT106" s="150">
        <v>2</v>
      </c>
      <c r="CU106" s="105">
        <v>196</v>
      </c>
      <c r="CV106" s="139">
        <v>3</v>
      </c>
      <c r="CW106" s="317">
        <v>0</v>
      </c>
      <c r="CX106" s="105">
        <v>31</v>
      </c>
      <c r="CY106" s="18">
        <v>0</v>
      </c>
      <c r="CZ106" s="150">
        <v>2</v>
      </c>
      <c r="DA106" s="105">
        <v>16</v>
      </c>
      <c r="DB106" s="18">
        <v>0</v>
      </c>
      <c r="DC106" s="150">
        <v>4</v>
      </c>
      <c r="DD106" s="105">
        <v>584</v>
      </c>
      <c r="DE106" s="139">
        <v>14</v>
      </c>
      <c r="DF106" s="150">
        <v>90</v>
      </c>
      <c r="DG106" s="105">
        <v>407</v>
      </c>
      <c r="DH106" s="139">
        <v>12</v>
      </c>
      <c r="DI106" s="150">
        <v>152</v>
      </c>
      <c r="DJ106" s="105">
        <v>55</v>
      </c>
      <c r="DK106" s="18">
        <v>0</v>
      </c>
      <c r="DL106" s="150">
        <v>20</v>
      </c>
      <c r="DM106" s="105">
        <v>12</v>
      </c>
      <c r="DN106" s="18">
        <v>0</v>
      </c>
      <c r="DO106" s="150">
        <v>4</v>
      </c>
      <c r="DP106" s="105">
        <v>267</v>
      </c>
      <c r="DQ106" s="139">
        <v>22</v>
      </c>
      <c r="DR106" s="150">
        <v>23</v>
      </c>
      <c r="DS106" s="105">
        <v>117</v>
      </c>
      <c r="DT106" s="139">
        <v>5</v>
      </c>
      <c r="DU106" s="150">
        <v>11</v>
      </c>
      <c r="DV106" s="105">
        <v>138</v>
      </c>
      <c r="DW106" s="18">
        <v>0</v>
      </c>
      <c r="DX106" s="150">
        <v>60</v>
      </c>
      <c r="DY106" s="105">
        <v>6</v>
      </c>
      <c r="DZ106" s="18">
        <v>0</v>
      </c>
      <c r="EA106" s="317">
        <v>0</v>
      </c>
      <c r="EB106" s="105">
        <v>4</v>
      </c>
      <c r="EC106" s="18">
        <v>0</v>
      </c>
      <c r="ED106" s="317">
        <v>0</v>
      </c>
      <c r="EE106" s="105">
        <v>335</v>
      </c>
      <c r="EF106" s="139">
        <v>2</v>
      </c>
      <c r="EG106" s="150">
        <v>194</v>
      </c>
      <c r="EH106" s="105">
        <v>11</v>
      </c>
      <c r="EI106" s="18">
        <v>0</v>
      </c>
      <c r="EJ106" s="317">
        <v>0</v>
      </c>
      <c r="EK106" s="105">
        <v>15</v>
      </c>
      <c r="EL106" s="18">
        <v>0</v>
      </c>
      <c r="EM106" s="317">
        <v>0</v>
      </c>
      <c r="EN106" s="105">
        <v>80</v>
      </c>
      <c r="EO106" s="139">
        <v>5</v>
      </c>
      <c r="EP106" s="150">
        <v>2</v>
      </c>
      <c r="EQ106" s="105">
        <v>32</v>
      </c>
      <c r="ER106" s="139">
        <v>5</v>
      </c>
      <c r="ES106" s="150">
        <v>4</v>
      </c>
      <c r="ET106" s="105">
        <v>4</v>
      </c>
      <c r="EU106" s="18">
        <v>0</v>
      </c>
      <c r="EV106" s="317">
        <v>0</v>
      </c>
      <c r="EW106" s="105">
        <v>94</v>
      </c>
      <c r="EX106" s="139">
        <v>4</v>
      </c>
      <c r="EY106" s="150">
        <v>11</v>
      </c>
      <c r="EZ106" s="105">
        <v>27</v>
      </c>
      <c r="FA106" s="18">
        <v>0</v>
      </c>
      <c r="FB106" s="150">
        <v>5</v>
      </c>
      <c r="FC106" s="105">
        <v>81</v>
      </c>
      <c r="FD106" s="139">
        <v>5</v>
      </c>
      <c r="FE106" s="150">
        <v>45</v>
      </c>
      <c r="FF106" s="105">
        <v>822</v>
      </c>
      <c r="FG106" s="139">
        <v>37</v>
      </c>
      <c r="FH106" s="150">
        <v>43</v>
      </c>
      <c r="FI106" s="105">
        <v>48</v>
      </c>
      <c r="FJ106" s="139">
        <v>2</v>
      </c>
      <c r="FK106" s="150">
        <v>30</v>
      </c>
      <c r="FL106" s="105">
        <v>23</v>
      </c>
      <c r="FM106" s="139">
        <v>3</v>
      </c>
      <c r="FN106" s="150">
        <v>1</v>
      </c>
      <c r="FO106" s="649" t="s">
        <v>326</v>
      </c>
      <c r="FP106" s="531"/>
      <c r="FQ106" s="531"/>
      <c r="FR106" s="531"/>
      <c r="FS106" s="531"/>
      <c r="FT106" s="531"/>
      <c r="FU106" s="634" t="s">
        <v>327</v>
      </c>
      <c r="FV106" s="531"/>
      <c r="FW106" s="531"/>
      <c r="FX106" s="531"/>
      <c r="FY106" s="531"/>
      <c r="FZ106" s="531"/>
    </row>
    <row r="107" spans="1:182" ht="12.75">
      <c r="A107" s="93">
        <v>43938</v>
      </c>
      <c r="B107" s="14">
        <f t="shared" si="92"/>
        <v>20253</v>
      </c>
      <c r="C107" s="34">
        <f t="shared" ref="C107:D107" si="103">SUM(G107,J107,M107,P107,V107,S107,Y107,AB107,AE107,AH107,AK107,AN107,AQ107,AT107,AW107,AZ107,BC107,BF107,BI107,BL107,BO107,BR107,BU107,BX107,CA107,CD107,CG107,CJ107,CM107,CP107,CS107,CV107,CY107,DB107,DE107,DH107,DK107,DN107,DQ107,DT107,DW107,DZ107,EC107,EF107,EI107,EL107,EO107,ER107,EU107,EX107,FA107,FD107,FG107,FJ107,FM107)</f>
        <v>1014</v>
      </c>
      <c r="D107" s="73">
        <f t="shared" si="103"/>
        <v>4597</v>
      </c>
      <c r="E107" s="350">
        <f t="shared" si="1"/>
        <v>14642</v>
      </c>
      <c r="F107" s="105">
        <v>2783</v>
      </c>
      <c r="G107" s="139">
        <v>50</v>
      </c>
      <c r="H107" s="150">
        <v>903</v>
      </c>
      <c r="I107" s="105">
        <v>2418</v>
      </c>
      <c r="J107" s="139">
        <v>364</v>
      </c>
      <c r="K107" s="150">
        <v>846</v>
      </c>
      <c r="L107" s="105">
        <v>19</v>
      </c>
      <c r="M107" s="139">
        <v>2</v>
      </c>
      <c r="N107" s="150">
        <v>5</v>
      </c>
      <c r="O107" s="105">
        <v>35</v>
      </c>
      <c r="P107" s="139">
        <v>1</v>
      </c>
      <c r="Q107" s="150">
        <v>18</v>
      </c>
      <c r="R107" s="105">
        <v>15</v>
      </c>
      <c r="S107" s="139">
        <v>1</v>
      </c>
      <c r="T107" s="317">
        <v>0</v>
      </c>
      <c r="U107" s="105">
        <v>557</v>
      </c>
      <c r="V107" s="139">
        <v>35</v>
      </c>
      <c r="W107" s="150">
        <v>294</v>
      </c>
      <c r="X107" s="105">
        <v>5</v>
      </c>
      <c r="Y107" s="139">
        <v>1</v>
      </c>
      <c r="Z107" s="317">
        <v>0</v>
      </c>
      <c r="AA107" s="105">
        <v>996</v>
      </c>
      <c r="AB107" s="139">
        <v>22</v>
      </c>
      <c r="AC107" s="150">
        <v>164</v>
      </c>
      <c r="AD107" s="105">
        <v>56</v>
      </c>
      <c r="AE107" s="139">
        <v>1</v>
      </c>
      <c r="AF107" s="150">
        <v>1</v>
      </c>
      <c r="AG107" s="105">
        <v>688</v>
      </c>
      <c r="AH107" s="139">
        <v>6</v>
      </c>
      <c r="AI107" s="150">
        <v>193</v>
      </c>
      <c r="AJ107" s="105">
        <v>732</v>
      </c>
      <c r="AK107" s="139">
        <v>2</v>
      </c>
      <c r="AL107" s="150">
        <v>76</v>
      </c>
      <c r="AM107" s="105">
        <v>2844</v>
      </c>
      <c r="AN107" s="139">
        <v>205</v>
      </c>
      <c r="AO107" s="150">
        <v>646</v>
      </c>
      <c r="AP107" s="105">
        <v>35</v>
      </c>
      <c r="AQ107" s="18">
        <v>0</v>
      </c>
      <c r="AR107" s="317">
        <v>0</v>
      </c>
      <c r="AS107" s="105">
        <v>16</v>
      </c>
      <c r="AT107" s="139">
        <v>1</v>
      </c>
      <c r="AU107" s="150">
        <v>8</v>
      </c>
      <c r="AV107" s="105">
        <v>96</v>
      </c>
      <c r="AW107" s="139">
        <v>3</v>
      </c>
      <c r="AX107" s="150">
        <v>15</v>
      </c>
      <c r="AY107" s="105">
        <v>108</v>
      </c>
      <c r="AZ107" s="139">
        <v>1</v>
      </c>
      <c r="BA107" s="150">
        <v>7</v>
      </c>
      <c r="BB107" s="105">
        <v>9</v>
      </c>
      <c r="BC107" s="139">
        <v>1</v>
      </c>
      <c r="BD107" s="150">
        <v>2</v>
      </c>
      <c r="BE107" s="105">
        <v>641</v>
      </c>
      <c r="BF107" s="139">
        <v>8</v>
      </c>
      <c r="BG107" s="150">
        <v>83</v>
      </c>
      <c r="BH107" s="105">
        <v>477</v>
      </c>
      <c r="BI107" s="139">
        <v>3</v>
      </c>
      <c r="BJ107" s="150">
        <v>59</v>
      </c>
      <c r="BK107" s="105">
        <v>43</v>
      </c>
      <c r="BL107" s="18">
        <v>0</v>
      </c>
      <c r="BM107" s="317">
        <v>0</v>
      </c>
      <c r="BN107" s="105">
        <v>79</v>
      </c>
      <c r="BO107" s="18">
        <v>0</v>
      </c>
      <c r="BP107" s="150">
        <v>4</v>
      </c>
      <c r="BQ107" s="105">
        <v>246</v>
      </c>
      <c r="BR107" s="139">
        <v>11</v>
      </c>
      <c r="BS107" s="150">
        <v>53</v>
      </c>
      <c r="BT107" s="105">
        <v>388</v>
      </c>
      <c r="BU107" s="18">
        <v>0</v>
      </c>
      <c r="BV107" s="317">
        <v>0</v>
      </c>
      <c r="BW107" s="105">
        <v>76</v>
      </c>
      <c r="BX107" s="139">
        <v>7</v>
      </c>
      <c r="BY107" s="150">
        <v>7</v>
      </c>
      <c r="BZ107" s="105">
        <v>49</v>
      </c>
      <c r="CA107" s="139">
        <v>1</v>
      </c>
      <c r="CB107" s="150">
        <v>11</v>
      </c>
      <c r="CC107" s="105">
        <v>117</v>
      </c>
      <c r="CD107" s="18">
        <v>0</v>
      </c>
      <c r="CE107" s="150">
        <v>33</v>
      </c>
      <c r="CF107" s="105">
        <v>17</v>
      </c>
      <c r="CG107" s="139">
        <v>2</v>
      </c>
      <c r="CH107" s="150">
        <v>3</v>
      </c>
      <c r="CI107" s="105">
        <v>171</v>
      </c>
      <c r="CJ107" s="139">
        <v>13</v>
      </c>
      <c r="CK107" s="150">
        <v>34</v>
      </c>
      <c r="CL107" s="105">
        <v>2564</v>
      </c>
      <c r="CM107" s="139">
        <v>135</v>
      </c>
      <c r="CN107" s="150">
        <v>281</v>
      </c>
      <c r="CO107" s="105">
        <v>324</v>
      </c>
      <c r="CP107" s="139">
        <v>9</v>
      </c>
      <c r="CQ107" s="150">
        <v>108</v>
      </c>
      <c r="CR107" s="105">
        <v>7</v>
      </c>
      <c r="CS107" s="139">
        <v>1</v>
      </c>
      <c r="CT107" s="150">
        <v>2</v>
      </c>
      <c r="CU107" s="105">
        <v>196</v>
      </c>
      <c r="CV107" s="139">
        <v>3</v>
      </c>
      <c r="CW107" s="317">
        <v>0</v>
      </c>
      <c r="CX107" s="105">
        <v>34</v>
      </c>
      <c r="CY107" s="18">
        <v>0</v>
      </c>
      <c r="CZ107" s="150">
        <v>2</v>
      </c>
      <c r="DA107" s="105">
        <v>16</v>
      </c>
      <c r="DB107" s="18">
        <v>0</v>
      </c>
      <c r="DC107" s="150">
        <v>4</v>
      </c>
      <c r="DD107" s="105">
        <v>627</v>
      </c>
      <c r="DE107" s="139">
        <v>18</v>
      </c>
      <c r="DF107" s="150">
        <v>110</v>
      </c>
      <c r="DG107" s="105">
        <v>407</v>
      </c>
      <c r="DH107" s="139">
        <v>12</v>
      </c>
      <c r="DI107" s="150">
        <v>152</v>
      </c>
      <c r="DJ107" s="105">
        <v>55</v>
      </c>
      <c r="DK107" s="18">
        <v>0</v>
      </c>
      <c r="DL107" s="150">
        <v>20</v>
      </c>
      <c r="DM107" s="105">
        <v>12</v>
      </c>
      <c r="DN107" s="18">
        <v>0</v>
      </c>
      <c r="DO107" s="150">
        <v>4</v>
      </c>
      <c r="DP107" s="105">
        <v>287</v>
      </c>
      <c r="DQ107" s="139">
        <v>23</v>
      </c>
      <c r="DR107" s="150">
        <v>25</v>
      </c>
      <c r="DS107" s="105">
        <v>143</v>
      </c>
      <c r="DT107" s="139">
        <v>6</v>
      </c>
      <c r="DU107" s="150">
        <v>11</v>
      </c>
      <c r="DV107" s="105">
        <v>143</v>
      </c>
      <c r="DW107" s="18">
        <v>0</v>
      </c>
      <c r="DX107" s="150">
        <v>65</v>
      </c>
      <c r="DY107" s="105">
        <v>6</v>
      </c>
      <c r="DZ107" s="18">
        <v>0</v>
      </c>
      <c r="EA107" s="317">
        <v>0</v>
      </c>
      <c r="EB107" s="105">
        <v>4</v>
      </c>
      <c r="EC107" s="18">
        <v>0</v>
      </c>
      <c r="ED107" s="317">
        <v>0</v>
      </c>
      <c r="EE107" s="105">
        <v>342</v>
      </c>
      <c r="EF107" s="139">
        <v>2</v>
      </c>
      <c r="EG107" s="150">
        <v>198</v>
      </c>
      <c r="EH107" s="105">
        <v>11</v>
      </c>
      <c r="EI107" s="18">
        <v>0</v>
      </c>
      <c r="EJ107" s="150">
        <v>5</v>
      </c>
      <c r="EK107" s="105">
        <v>26</v>
      </c>
      <c r="EL107" s="18">
        <v>0</v>
      </c>
      <c r="EM107" s="317">
        <v>0</v>
      </c>
      <c r="EN107" s="105">
        <v>116</v>
      </c>
      <c r="EO107" s="139">
        <v>6</v>
      </c>
      <c r="EP107" s="150">
        <v>2</v>
      </c>
      <c r="EQ107" s="105">
        <v>33</v>
      </c>
      <c r="ER107" s="139">
        <v>6</v>
      </c>
      <c r="ES107" s="150">
        <v>4</v>
      </c>
      <c r="ET107" s="105">
        <v>4</v>
      </c>
      <c r="EU107" s="18">
        <v>0</v>
      </c>
      <c r="EV107" s="317">
        <v>0</v>
      </c>
      <c r="EW107" s="105">
        <v>147</v>
      </c>
      <c r="EX107" s="139">
        <v>5</v>
      </c>
      <c r="EY107" s="150">
        <v>11</v>
      </c>
      <c r="EZ107" s="105">
        <v>27</v>
      </c>
      <c r="FA107" s="18">
        <v>0</v>
      </c>
      <c r="FB107" s="150">
        <v>5</v>
      </c>
      <c r="FC107" s="105">
        <v>83</v>
      </c>
      <c r="FD107" s="139">
        <v>5</v>
      </c>
      <c r="FE107" s="150">
        <v>48</v>
      </c>
      <c r="FF107" s="105">
        <v>864</v>
      </c>
      <c r="FG107" s="139">
        <v>37</v>
      </c>
      <c r="FH107" s="150">
        <v>43</v>
      </c>
      <c r="FI107" s="105">
        <v>52</v>
      </c>
      <c r="FJ107" s="139">
        <v>2</v>
      </c>
      <c r="FK107" s="150">
        <v>30</v>
      </c>
      <c r="FL107" s="105">
        <v>24</v>
      </c>
      <c r="FM107" s="139">
        <v>3</v>
      </c>
      <c r="FN107" s="150">
        <v>2</v>
      </c>
      <c r="FO107" s="649"/>
      <c r="FP107" s="531"/>
      <c r="FQ107" s="531"/>
      <c r="FR107" s="531"/>
      <c r="FS107" s="531"/>
      <c r="FT107" s="531"/>
      <c r="FU107" s="635"/>
      <c r="FV107" s="531"/>
      <c r="FW107" s="531"/>
      <c r="FX107" s="531"/>
      <c r="FY107" s="531"/>
      <c r="FZ107" s="531"/>
    </row>
    <row r="108" spans="1:182" ht="12.75">
      <c r="A108" s="93">
        <v>43939</v>
      </c>
      <c r="B108" s="14">
        <f t="shared" si="92"/>
        <v>21525</v>
      </c>
      <c r="C108" s="34">
        <f t="shared" ref="C108:D108" si="104">SUM(G108,J108,M108,P108,V108,S108,Y108,AB108,AE108,AH108,AK108,AN108,AQ108,AT108,AW108,AZ108,BC108,BF108,BI108,BL108,BO108,BR108,BU108,BX108,CA108,CD108,CG108,CJ108,CM108,CP108,CS108,CV108,CY108,DB108,DE108,DH108,DK108,DN108,DQ108,DT108,DW108,DZ108,EC108,EF108,EI108,EL108,EO108,ER108,EU108,EX108,FA108,FD108,FG108,FJ108,FM108)</f>
        <v>1056</v>
      </c>
      <c r="D108" s="73">
        <f t="shared" si="104"/>
        <v>4953</v>
      </c>
      <c r="E108" s="350">
        <f t="shared" si="1"/>
        <v>15516</v>
      </c>
      <c r="F108" s="105">
        <v>3034</v>
      </c>
      <c r="G108" s="139">
        <v>52</v>
      </c>
      <c r="H108" s="150">
        <v>903</v>
      </c>
      <c r="I108" s="105">
        <v>2534</v>
      </c>
      <c r="J108" s="139">
        <v>367</v>
      </c>
      <c r="K108" s="150">
        <v>894</v>
      </c>
      <c r="L108" s="105">
        <v>24</v>
      </c>
      <c r="M108" s="139">
        <v>2</v>
      </c>
      <c r="N108" s="150">
        <v>6</v>
      </c>
      <c r="O108" s="105">
        <v>35</v>
      </c>
      <c r="P108" s="139">
        <v>1</v>
      </c>
      <c r="Q108" s="150">
        <v>18</v>
      </c>
      <c r="R108" s="105">
        <v>15</v>
      </c>
      <c r="S108" s="139">
        <v>1</v>
      </c>
      <c r="T108" s="317">
        <v>0</v>
      </c>
      <c r="U108" s="105">
        <v>565</v>
      </c>
      <c r="V108" s="139">
        <v>36</v>
      </c>
      <c r="W108" s="150">
        <v>321</v>
      </c>
      <c r="X108" s="105">
        <v>5</v>
      </c>
      <c r="Y108" s="139">
        <v>1</v>
      </c>
      <c r="Z108" s="317">
        <v>0</v>
      </c>
      <c r="AA108" s="105">
        <v>1017</v>
      </c>
      <c r="AB108" s="139">
        <v>22</v>
      </c>
      <c r="AC108" s="150">
        <v>177</v>
      </c>
      <c r="AD108" s="105">
        <v>58</v>
      </c>
      <c r="AE108" s="139">
        <v>1</v>
      </c>
      <c r="AF108" s="150">
        <v>1</v>
      </c>
      <c r="AG108" s="105">
        <v>742</v>
      </c>
      <c r="AH108" s="139">
        <v>6</v>
      </c>
      <c r="AI108" s="150">
        <v>220</v>
      </c>
      <c r="AJ108" s="105">
        <v>732</v>
      </c>
      <c r="AK108" s="139">
        <v>2</v>
      </c>
      <c r="AL108" s="150">
        <v>76</v>
      </c>
      <c r="AM108" s="105">
        <v>3032</v>
      </c>
      <c r="AN108" s="139">
        <v>224</v>
      </c>
      <c r="AO108" s="150">
        <v>701</v>
      </c>
      <c r="AP108" s="105">
        <v>39</v>
      </c>
      <c r="AQ108" s="18">
        <v>0</v>
      </c>
      <c r="AR108" s="150">
        <v>3</v>
      </c>
      <c r="AS108" s="105">
        <v>22</v>
      </c>
      <c r="AT108" s="139">
        <v>1</v>
      </c>
      <c r="AU108" s="150">
        <v>8</v>
      </c>
      <c r="AV108" s="105">
        <v>105</v>
      </c>
      <c r="AW108" s="139">
        <v>3</v>
      </c>
      <c r="AX108" s="150">
        <v>16</v>
      </c>
      <c r="AY108" s="105">
        <v>108</v>
      </c>
      <c r="AZ108" s="139">
        <v>1</v>
      </c>
      <c r="BA108" s="150">
        <v>7</v>
      </c>
      <c r="BB108" s="105">
        <v>9</v>
      </c>
      <c r="BC108" s="139">
        <v>1</v>
      </c>
      <c r="BD108" s="150">
        <v>2</v>
      </c>
      <c r="BE108" s="105">
        <v>834</v>
      </c>
      <c r="BF108" s="139">
        <v>9</v>
      </c>
      <c r="BG108" s="150">
        <v>99</v>
      </c>
      <c r="BH108" s="105">
        <v>518</v>
      </c>
      <c r="BI108" s="139">
        <v>3</v>
      </c>
      <c r="BJ108" s="150">
        <v>65</v>
      </c>
      <c r="BK108" s="105">
        <v>46</v>
      </c>
      <c r="BL108" s="18">
        <v>0</v>
      </c>
      <c r="BM108" s="317">
        <v>0</v>
      </c>
      <c r="BN108" s="105">
        <v>79</v>
      </c>
      <c r="BO108" s="18">
        <v>0</v>
      </c>
      <c r="BP108" s="150">
        <v>4</v>
      </c>
      <c r="BQ108" s="105">
        <v>262</v>
      </c>
      <c r="BR108" s="139">
        <v>12</v>
      </c>
      <c r="BS108" s="150">
        <v>60</v>
      </c>
      <c r="BT108" s="105">
        <v>388</v>
      </c>
      <c r="BU108" s="18">
        <v>0</v>
      </c>
      <c r="BV108" s="317">
        <v>0</v>
      </c>
      <c r="BW108" s="105">
        <v>76</v>
      </c>
      <c r="BX108" s="139">
        <v>7</v>
      </c>
      <c r="BY108" s="150">
        <v>7</v>
      </c>
      <c r="BZ108" s="105">
        <v>49</v>
      </c>
      <c r="CA108" s="139">
        <v>1</v>
      </c>
      <c r="CB108" s="150">
        <v>11</v>
      </c>
      <c r="CC108" s="105">
        <v>120</v>
      </c>
      <c r="CD108" s="18">
        <v>0</v>
      </c>
      <c r="CE108" s="150">
        <v>35</v>
      </c>
      <c r="CF108" s="105">
        <v>17</v>
      </c>
      <c r="CG108" s="139">
        <v>2</v>
      </c>
      <c r="CH108" s="150">
        <v>3</v>
      </c>
      <c r="CI108" s="105">
        <v>216</v>
      </c>
      <c r="CJ108" s="139">
        <v>13</v>
      </c>
      <c r="CK108" s="150">
        <v>41</v>
      </c>
      <c r="CL108" s="105">
        <v>2685</v>
      </c>
      <c r="CM108" s="139">
        <v>137</v>
      </c>
      <c r="CN108" s="150">
        <v>314</v>
      </c>
      <c r="CO108" s="105">
        <v>325</v>
      </c>
      <c r="CP108" s="139">
        <v>9</v>
      </c>
      <c r="CQ108" s="150">
        <v>180</v>
      </c>
      <c r="CR108" s="105">
        <v>7</v>
      </c>
      <c r="CS108" s="139">
        <v>1</v>
      </c>
      <c r="CT108" s="150">
        <v>2</v>
      </c>
      <c r="CU108" s="105">
        <v>196</v>
      </c>
      <c r="CV108" s="139">
        <v>3</v>
      </c>
      <c r="CW108" s="317">
        <v>0</v>
      </c>
      <c r="CX108" s="105">
        <v>35</v>
      </c>
      <c r="CY108" s="18">
        <v>0</v>
      </c>
      <c r="CZ108" s="150">
        <v>4</v>
      </c>
      <c r="DA108" s="105">
        <v>16</v>
      </c>
      <c r="DB108" s="18">
        <v>0</v>
      </c>
      <c r="DC108" s="150">
        <v>6</v>
      </c>
      <c r="DD108" s="105">
        <v>627</v>
      </c>
      <c r="DE108" s="139">
        <v>18</v>
      </c>
      <c r="DF108" s="150">
        <v>110</v>
      </c>
      <c r="DG108" s="105">
        <v>493</v>
      </c>
      <c r="DH108" s="139">
        <v>17</v>
      </c>
      <c r="DI108" s="150">
        <v>159</v>
      </c>
      <c r="DJ108" s="105">
        <v>55</v>
      </c>
      <c r="DK108" s="18">
        <v>0</v>
      </c>
      <c r="DL108" s="150">
        <v>22</v>
      </c>
      <c r="DM108" s="105">
        <v>12</v>
      </c>
      <c r="DN108" s="18">
        <v>0</v>
      </c>
      <c r="DO108" s="150">
        <v>4</v>
      </c>
      <c r="DP108" s="105">
        <v>307</v>
      </c>
      <c r="DQ108" s="139">
        <v>25</v>
      </c>
      <c r="DR108" s="150">
        <v>26</v>
      </c>
      <c r="DS108" s="105">
        <v>143</v>
      </c>
      <c r="DT108" s="139">
        <v>6</v>
      </c>
      <c r="DU108" s="150">
        <v>11</v>
      </c>
      <c r="DV108" s="105">
        <v>144</v>
      </c>
      <c r="DW108" s="18">
        <v>0</v>
      </c>
      <c r="DX108" s="150">
        <v>69</v>
      </c>
      <c r="DY108" s="105">
        <v>6</v>
      </c>
      <c r="DZ108" s="18">
        <v>0</v>
      </c>
      <c r="EA108" s="317">
        <v>0</v>
      </c>
      <c r="EB108" s="105">
        <v>4</v>
      </c>
      <c r="EC108" s="18">
        <v>0</v>
      </c>
      <c r="ED108" s="317">
        <v>0</v>
      </c>
      <c r="EE108" s="105">
        <v>350</v>
      </c>
      <c r="EF108" s="139">
        <v>3</v>
      </c>
      <c r="EG108" s="150">
        <v>211</v>
      </c>
      <c r="EH108" s="105">
        <v>11</v>
      </c>
      <c r="EI108" s="18">
        <v>0</v>
      </c>
      <c r="EJ108" s="150">
        <v>5</v>
      </c>
      <c r="EK108" s="105">
        <v>30</v>
      </c>
      <c r="EL108" s="18">
        <v>0</v>
      </c>
      <c r="EM108" s="317">
        <v>0</v>
      </c>
      <c r="EN108" s="105">
        <v>135</v>
      </c>
      <c r="EO108" s="139">
        <v>7</v>
      </c>
      <c r="EP108" s="150">
        <v>2</v>
      </c>
      <c r="EQ108" s="105">
        <v>66</v>
      </c>
      <c r="ER108" s="139">
        <v>10</v>
      </c>
      <c r="ES108" s="150">
        <v>4</v>
      </c>
      <c r="ET108" s="105">
        <v>4</v>
      </c>
      <c r="EU108" s="18">
        <v>0</v>
      </c>
      <c r="EV108" s="317">
        <v>0</v>
      </c>
      <c r="EW108" s="105">
        <v>147</v>
      </c>
      <c r="EX108" s="139">
        <v>5</v>
      </c>
      <c r="EY108" s="150">
        <v>11</v>
      </c>
      <c r="EZ108" s="105">
        <v>33</v>
      </c>
      <c r="FA108" s="18">
        <v>0</v>
      </c>
      <c r="FB108" s="150">
        <v>8</v>
      </c>
      <c r="FC108" s="105">
        <v>84</v>
      </c>
      <c r="FD108" s="139">
        <v>5</v>
      </c>
      <c r="FE108" s="150">
        <v>49</v>
      </c>
      <c r="FF108" s="105">
        <v>864</v>
      </c>
      <c r="FG108" s="139">
        <v>37</v>
      </c>
      <c r="FH108" s="150">
        <v>43</v>
      </c>
      <c r="FI108" s="105">
        <v>57</v>
      </c>
      <c r="FJ108" s="139">
        <v>2</v>
      </c>
      <c r="FK108" s="150">
        <v>33</v>
      </c>
      <c r="FL108" s="105">
        <v>25</v>
      </c>
      <c r="FM108" s="139">
        <v>3</v>
      </c>
      <c r="FN108" s="150">
        <v>2</v>
      </c>
      <c r="FO108" s="649"/>
      <c r="FP108" s="531"/>
      <c r="FQ108" s="531"/>
      <c r="FR108" s="531"/>
      <c r="FS108" s="531"/>
      <c r="FT108" s="531"/>
      <c r="FU108" s="635"/>
      <c r="FV108" s="531"/>
      <c r="FW108" s="531"/>
      <c r="FX108" s="531"/>
      <c r="FY108" s="531"/>
      <c r="FZ108" s="531"/>
    </row>
    <row r="109" spans="1:182" ht="12.75">
      <c r="A109" s="93">
        <v>43940</v>
      </c>
      <c r="B109" s="14">
        <f t="shared" si="92"/>
        <v>22557</v>
      </c>
      <c r="C109" s="34">
        <f t="shared" ref="C109:D109" si="105">SUM(G109,J109,M109,P109,V109,S109,Y109,AB109,AE109,AH109,AK109,AN109,AQ109,AT109,AW109,AZ109,BC109,BF109,BI109,BL109,BO109,BR109,BU109,BX109,CA109,CD109,CG109,CJ109,CM109,CP109,CS109,CV109,CY109,DB109,DE109,DH109,DK109,DN109,DQ109,DT109,DW109,DZ109,EC109,EF109,EI109,EL109,EO109,ER109,EU109,EX109,FA109,FD109,FG109,FJ109,FM109)</f>
        <v>1122</v>
      </c>
      <c r="D109" s="73">
        <f t="shared" si="105"/>
        <v>5482</v>
      </c>
      <c r="E109" s="350">
        <f t="shared" si="1"/>
        <v>15953</v>
      </c>
      <c r="F109" s="105">
        <v>3158</v>
      </c>
      <c r="G109" s="139">
        <v>54</v>
      </c>
      <c r="H109" s="150">
        <v>903</v>
      </c>
      <c r="I109" s="105">
        <v>2629</v>
      </c>
      <c r="J109" s="139">
        <v>375</v>
      </c>
      <c r="K109" s="150">
        <v>1047</v>
      </c>
      <c r="L109" s="105">
        <v>24</v>
      </c>
      <c r="M109" s="139">
        <v>2</v>
      </c>
      <c r="N109" s="150">
        <v>6</v>
      </c>
      <c r="O109" s="105">
        <v>35</v>
      </c>
      <c r="P109" s="139">
        <v>1</v>
      </c>
      <c r="Q109" s="150">
        <v>18</v>
      </c>
      <c r="R109" s="105">
        <v>20</v>
      </c>
      <c r="S109" s="139">
        <v>1</v>
      </c>
      <c r="T109" s="317">
        <v>0</v>
      </c>
      <c r="U109" s="105">
        <v>576</v>
      </c>
      <c r="V109" s="139">
        <v>36</v>
      </c>
      <c r="W109" s="150">
        <v>338</v>
      </c>
      <c r="X109" s="105">
        <v>5</v>
      </c>
      <c r="Y109" s="139">
        <v>1</v>
      </c>
      <c r="Z109" s="317">
        <v>0</v>
      </c>
      <c r="AA109" s="105">
        <v>1017</v>
      </c>
      <c r="AB109" s="139">
        <v>42</v>
      </c>
      <c r="AC109" s="150">
        <v>305</v>
      </c>
      <c r="AD109" s="105">
        <v>61</v>
      </c>
      <c r="AE109" s="139">
        <v>1</v>
      </c>
      <c r="AF109" s="150">
        <v>1</v>
      </c>
      <c r="AG109" s="105">
        <v>847</v>
      </c>
      <c r="AH109" s="139">
        <v>9</v>
      </c>
      <c r="AI109" s="150">
        <v>260</v>
      </c>
      <c r="AJ109" s="105">
        <v>846</v>
      </c>
      <c r="AK109" s="139">
        <v>2</v>
      </c>
      <c r="AL109" s="150">
        <v>102</v>
      </c>
      <c r="AM109" s="105">
        <v>3144</v>
      </c>
      <c r="AN109" s="139">
        <v>239</v>
      </c>
      <c r="AO109" s="150">
        <v>732</v>
      </c>
      <c r="AP109" s="105">
        <v>39</v>
      </c>
      <c r="AQ109" s="18">
        <v>0</v>
      </c>
      <c r="AR109" s="150">
        <v>3</v>
      </c>
      <c r="AS109" s="105">
        <v>22</v>
      </c>
      <c r="AT109" s="139">
        <v>1</v>
      </c>
      <c r="AU109" s="150">
        <v>8</v>
      </c>
      <c r="AV109" s="105">
        <v>108</v>
      </c>
      <c r="AW109" s="139">
        <v>3</v>
      </c>
      <c r="AX109" s="150">
        <v>16</v>
      </c>
      <c r="AY109" s="105">
        <v>109</v>
      </c>
      <c r="AZ109" s="139">
        <v>1</v>
      </c>
      <c r="BA109" s="150">
        <v>7</v>
      </c>
      <c r="BB109" s="105">
        <v>9</v>
      </c>
      <c r="BC109" s="139">
        <v>1</v>
      </c>
      <c r="BD109" s="150">
        <v>2</v>
      </c>
      <c r="BE109" s="105">
        <v>834</v>
      </c>
      <c r="BF109" s="139">
        <v>9</v>
      </c>
      <c r="BG109" s="150">
        <v>99</v>
      </c>
      <c r="BH109" s="105">
        <v>579</v>
      </c>
      <c r="BI109" s="139">
        <v>5</v>
      </c>
      <c r="BJ109" s="150">
        <v>87</v>
      </c>
      <c r="BK109" s="105">
        <v>50</v>
      </c>
      <c r="BL109" s="18">
        <v>0</v>
      </c>
      <c r="BM109" s="150">
        <v>3</v>
      </c>
      <c r="BN109" s="105">
        <v>79</v>
      </c>
      <c r="BO109" s="18">
        <v>0</v>
      </c>
      <c r="BP109" s="150">
        <v>4</v>
      </c>
      <c r="BQ109" s="105">
        <v>270</v>
      </c>
      <c r="BR109" s="139">
        <v>14</v>
      </c>
      <c r="BS109" s="150">
        <v>67</v>
      </c>
      <c r="BT109" s="105">
        <v>388</v>
      </c>
      <c r="BU109" s="18">
        <v>0</v>
      </c>
      <c r="BV109" s="317">
        <v>0</v>
      </c>
      <c r="BW109" s="105">
        <v>91</v>
      </c>
      <c r="BX109" s="139">
        <v>8</v>
      </c>
      <c r="BY109" s="150">
        <v>7</v>
      </c>
      <c r="BZ109" s="105">
        <v>49</v>
      </c>
      <c r="CA109" s="139">
        <v>1</v>
      </c>
      <c r="CB109" s="150">
        <v>11</v>
      </c>
      <c r="CC109" s="105">
        <v>121</v>
      </c>
      <c r="CD109" s="18">
        <v>0</v>
      </c>
      <c r="CE109" s="150">
        <v>39</v>
      </c>
      <c r="CF109" s="105">
        <v>17</v>
      </c>
      <c r="CG109" s="139">
        <v>2</v>
      </c>
      <c r="CH109" s="150">
        <v>3</v>
      </c>
      <c r="CI109" s="105">
        <v>224</v>
      </c>
      <c r="CJ109" s="139">
        <v>14</v>
      </c>
      <c r="CK109" s="150">
        <v>42</v>
      </c>
      <c r="CL109" s="105">
        <v>2855</v>
      </c>
      <c r="CM109" s="139">
        <v>141</v>
      </c>
      <c r="CN109" s="150">
        <v>327</v>
      </c>
      <c r="CO109" s="105">
        <v>328</v>
      </c>
      <c r="CP109" s="139">
        <v>9</v>
      </c>
      <c r="CQ109" s="150">
        <v>208</v>
      </c>
      <c r="CR109" s="105">
        <v>7</v>
      </c>
      <c r="CS109" s="139">
        <v>1</v>
      </c>
      <c r="CT109" s="150">
        <v>6</v>
      </c>
      <c r="CU109" s="105">
        <v>196</v>
      </c>
      <c r="CV109" s="139">
        <v>3</v>
      </c>
      <c r="CW109" s="317">
        <v>0</v>
      </c>
      <c r="CX109" s="105">
        <v>39</v>
      </c>
      <c r="CY109" s="18">
        <v>0</v>
      </c>
      <c r="CZ109" s="150">
        <v>8</v>
      </c>
      <c r="DA109" s="105">
        <v>16</v>
      </c>
      <c r="DB109" s="18">
        <v>0</v>
      </c>
      <c r="DC109" s="150">
        <v>6</v>
      </c>
      <c r="DD109" s="105">
        <v>648</v>
      </c>
      <c r="DE109" s="139">
        <v>20</v>
      </c>
      <c r="DF109" s="150">
        <v>117</v>
      </c>
      <c r="DG109" s="105">
        <v>541</v>
      </c>
      <c r="DH109" s="139">
        <v>19</v>
      </c>
      <c r="DI109" s="150">
        <v>166</v>
      </c>
      <c r="DJ109" s="105">
        <v>55</v>
      </c>
      <c r="DK109" s="18">
        <v>0</v>
      </c>
      <c r="DL109" s="150">
        <v>28</v>
      </c>
      <c r="DM109" s="105">
        <v>12</v>
      </c>
      <c r="DN109" s="18">
        <v>0</v>
      </c>
      <c r="DO109" s="150">
        <v>4</v>
      </c>
      <c r="DP109" s="105">
        <v>327</v>
      </c>
      <c r="DQ109" s="139">
        <v>25</v>
      </c>
      <c r="DR109" s="150">
        <v>26</v>
      </c>
      <c r="DS109" s="105">
        <v>143</v>
      </c>
      <c r="DT109" s="139">
        <v>6</v>
      </c>
      <c r="DU109" s="150">
        <v>11</v>
      </c>
      <c r="DV109" s="105">
        <v>147</v>
      </c>
      <c r="DW109" s="18">
        <v>0</v>
      </c>
      <c r="DX109" s="150">
        <v>76</v>
      </c>
      <c r="DY109" s="105">
        <v>6</v>
      </c>
      <c r="DZ109" s="18">
        <v>0</v>
      </c>
      <c r="EA109" s="317">
        <v>0</v>
      </c>
      <c r="EB109" s="105">
        <v>4</v>
      </c>
      <c r="EC109" s="18">
        <v>0</v>
      </c>
      <c r="ED109" s="317">
        <v>0</v>
      </c>
      <c r="EE109" s="105">
        <v>367</v>
      </c>
      <c r="EF109" s="139">
        <v>3</v>
      </c>
      <c r="EG109" s="150">
        <v>220</v>
      </c>
      <c r="EH109" s="105">
        <v>11</v>
      </c>
      <c r="EI109" s="18">
        <v>0</v>
      </c>
      <c r="EJ109" s="150">
        <v>5</v>
      </c>
      <c r="EK109" s="105">
        <v>35</v>
      </c>
      <c r="EL109" s="18">
        <v>0</v>
      </c>
      <c r="EM109" s="150">
        <v>6</v>
      </c>
      <c r="EN109" s="105">
        <v>164</v>
      </c>
      <c r="EO109" s="139">
        <v>7</v>
      </c>
      <c r="EP109" s="150">
        <v>3</v>
      </c>
      <c r="EQ109" s="105">
        <v>66</v>
      </c>
      <c r="ER109" s="139">
        <v>10</v>
      </c>
      <c r="ES109" s="150">
        <v>6</v>
      </c>
      <c r="ET109" s="105">
        <v>4</v>
      </c>
      <c r="EU109" s="18">
        <v>0</v>
      </c>
      <c r="EV109" s="317">
        <v>0</v>
      </c>
      <c r="EW109" s="105">
        <v>170</v>
      </c>
      <c r="EX109" s="139">
        <v>7</v>
      </c>
      <c r="EY109" s="150">
        <v>11</v>
      </c>
      <c r="EZ109" s="105">
        <v>33</v>
      </c>
      <c r="FA109" s="18">
        <v>0</v>
      </c>
      <c r="FB109" s="150">
        <v>8</v>
      </c>
      <c r="FC109" s="105">
        <v>84</v>
      </c>
      <c r="FD109" s="139">
        <v>5</v>
      </c>
      <c r="FE109" s="150">
        <v>52</v>
      </c>
      <c r="FF109" s="105">
        <v>879</v>
      </c>
      <c r="FG109" s="139">
        <v>38</v>
      </c>
      <c r="FH109" s="150">
        <v>43</v>
      </c>
      <c r="FI109" s="105">
        <v>61</v>
      </c>
      <c r="FJ109" s="139">
        <v>3</v>
      </c>
      <c r="FK109" s="150">
        <v>33</v>
      </c>
      <c r="FL109" s="105">
        <v>25</v>
      </c>
      <c r="FM109" s="139">
        <v>3</v>
      </c>
      <c r="FN109" s="150">
        <v>2</v>
      </c>
      <c r="FO109" s="649"/>
      <c r="FP109" s="531"/>
      <c r="FQ109" s="531"/>
      <c r="FR109" s="531"/>
      <c r="FS109" s="531"/>
      <c r="FT109" s="531"/>
      <c r="FU109" s="635"/>
      <c r="FV109" s="531"/>
      <c r="FW109" s="531"/>
      <c r="FX109" s="531"/>
      <c r="FY109" s="531"/>
      <c r="FZ109" s="531"/>
    </row>
    <row r="110" spans="1:182" ht="12.75">
      <c r="A110" s="93">
        <v>43941</v>
      </c>
      <c r="B110" s="14">
        <f t="shared" si="92"/>
        <v>23897</v>
      </c>
      <c r="C110" s="34">
        <f t="shared" ref="C110:D110" si="106">SUM(G110,J110,M110,P110,V110,S110,Y110,AB110,AE110,AH110,AK110,AN110,AQ110,AT110,AW110,AZ110,BC110,BF110,BI110,BL110,BO110,BR110,BU110,BX110,CA110,CD110,CG110,CJ110,CM110,CP110,CS110,CV110,CY110,DB110,DE110,DH110,DK110,DN110,DQ110,DT110,DW110,DZ110,EC110,EF110,EI110,EL110,EO110,ER110,EU110,EX110,FA110,FD110,FG110,FJ110,FM110)</f>
        <v>1161</v>
      </c>
      <c r="D110" s="73">
        <f t="shared" si="106"/>
        <v>5986</v>
      </c>
      <c r="E110" s="350">
        <f t="shared" si="1"/>
        <v>16750</v>
      </c>
      <c r="F110" s="105">
        <v>3300</v>
      </c>
      <c r="G110" s="139">
        <v>58</v>
      </c>
      <c r="H110" s="150">
        <v>1055</v>
      </c>
      <c r="I110" s="105">
        <v>2718</v>
      </c>
      <c r="J110" s="139">
        <v>384</v>
      </c>
      <c r="K110" s="150">
        <v>1099</v>
      </c>
      <c r="L110" s="105">
        <v>24</v>
      </c>
      <c r="M110" s="139">
        <v>2</v>
      </c>
      <c r="N110" s="150">
        <v>6</v>
      </c>
      <c r="O110" s="105">
        <v>54</v>
      </c>
      <c r="P110" s="139">
        <v>1</v>
      </c>
      <c r="Q110" s="150">
        <v>27</v>
      </c>
      <c r="R110" s="105">
        <v>20</v>
      </c>
      <c r="S110" s="139">
        <v>1</v>
      </c>
      <c r="T110" s="317">
        <v>0</v>
      </c>
      <c r="U110" s="105">
        <v>581</v>
      </c>
      <c r="V110" s="139">
        <v>38</v>
      </c>
      <c r="W110" s="150">
        <v>357</v>
      </c>
      <c r="X110" s="105">
        <v>5</v>
      </c>
      <c r="Y110" s="139">
        <v>1</v>
      </c>
      <c r="Z110" s="150">
        <v>4</v>
      </c>
      <c r="AA110" s="105">
        <v>1163</v>
      </c>
      <c r="AB110" s="139">
        <v>42</v>
      </c>
      <c r="AC110" s="150">
        <v>305</v>
      </c>
      <c r="AD110" s="105">
        <v>67</v>
      </c>
      <c r="AE110" s="139">
        <v>1</v>
      </c>
      <c r="AF110" s="150">
        <v>1</v>
      </c>
      <c r="AG110" s="105">
        <v>847</v>
      </c>
      <c r="AH110" s="139">
        <v>9</v>
      </c>
      <c r="AI110" s="150">
        <v>260</v>
      </c>
      <c r="AJ110" s="105">
        <v>846</v>
      </c>
      <c r="AK110" s="139">
        <v>2</v>
      </c>
      <c r="AL110" s="150">
        <v>102</v>
      </c>
      <c r="AM110" s="105">
        <v>3333</v>
      </c>
      <c r="AN110" s="139">
        <v>250</v>
      </c>
      <c r="AO110" s="150">
        <v>821</v>
      </c>
      <c r="AP110" s="105">
        <v>39</v>
      </c>
      <c r="AQ110" s="18">
        <v>0</v>
      </c>
      <c r="AR110" s="150">
        <v>3</v>
      </c>
      <c r="AS110" s="105">
        <v>24</v>
      </c>
      <c r="AT110" s="139">
        <v>1</v>
      </c>
      <c r="AU110" s="150">
        <v>8</v>
      </c>
      <c r="AV110" s="105">
        <v>111</v>
      </c>
      <c r="AW110" s="139">
        <v>3</v>
      </c>
      <c r="AX110" s="150">
        <v>16</v>
      </c>
      <c r="AY110" s="105">
        <v>109</v>
      </c>
      <c r="AZ110" s="139">
        <v>1</v>
      </c>
      <c r="BA110" s="150">
        <v>7</v>
      </c>
      <c r="BB110" s="105">
        <v>9</v>
      </c>
      <c r="BC110" s="139">
        <v>1</v>
      </c>
      <c r="BD110" s="150">
        <v>2</v>
      </c>
      <c r="BE110" s="105">
        <v>1042</v>
      </c>
      <c r="BF110" s="139">
        <v>9</v>
      </c>
      <c r="BG110" s="150">
        <v>99</v>
      </c>
      <c r="BH110" s="105">
        <v>579</v>
      </c>
      <c r="BI110" s="139">
        <v>5</v>
      </c>
      <c r="BJ110" s="150">
        <v>87</v>
      </c>
      <c r="BK110" s="105">
        <v>50</v>
      </c>
      <c r="BL110" s="18">
        <v>0</v>
      </c>
      <c r="BM110" s="150">
        <v>3</v>
      </c>
      <c r="BN110" s="105">
        <v>79</v>
      </c>
      <c r="BO110" s="18">
        <v>0</v>
      </c>
      <c r="BP110" s="150">
        <v>4</v>
      </c>
      <c r="BQ110" s="105">
        <v>281</v>
      </c>
      <c r="BR110" s="139">
        <v>14</v>
      </c>
      <c r="BS110" s="150">
        <v>69</v>
      </c>
      <c r="BT110" s="105">
        <v>388</v>
      </c>
      <c r="BU110" s="18">
        <v>0</v>
      </c>
      <c r="BV110" s="317">
        <v>0</v>
      </c>
      <c r="BW110" s="105">
        <v>99</v>
      </c>
      <c r="BX110" s="139">
        <v>8</v>
      </c>
      <c r="BY110" s="150">
        <v>7</v>
      </c>
      <c r="BZ110" s="105">
        <v>51</v>
      </c>
      <c r="CA110" s="139">
        <v>1</v>
      </c>
      <c r="CB110" s="150">
        <v>11</v>
      </c>
      <c r="CC110" s="105">
        <v>121</v>
      </c>
      <c r="CD110" s="18">
        <v>0</v>
      </c>
      <c r="CE110" s="150">
        <v>41</v>
      </c>
      <c r="CF110" s="105">
        <v>17</v>
      </c>
      <c r="CG110" s="139">
        <v>2</v>
      </c>
      <c r="CH110" s="150">
        <v>3</v>
      </c>
      <c r="CI110" s="105">
        <v>224</v>
      </c>
      <c r="CJ110" s="139">
        <v>14</v>
      </c>
      <c r="CK110" s="150">
        <v>42</v>
      </c>
      <c r="CL110" s="105">
        <v>3046</v>
      </c>
      <c r="CM110" s="139">
        <v>143</v>
      </c>
      <c r="CN110" s="150">
        <v>350</v>
      </c>
      <c r="CO110" s="105">
        <v>328</v>
      </c>
      <c r="CP110" s="139">
        <v>9</v>
      </c>
      <c r="CQ110" s="150">
        <v>224</v>
      </c>
      <c r="CR110" s="105">
        <v>7</v>
      </c>
      <c r="CS110" s="139">
        <v>1</v>
      </c>
      <c r="CT110" s="150">
        <v>6</v>
      </c>
      <c r="CU110" s="105">
        <v>196</v>
      </c>
      <c r="CV110" s="139">
        <v>3</v>
      </c>
      <c r="CW110" s="317">
        <v>0</v>
      </c>
      <c r="CX110" s="105">
        <v>39</v>
      </c>
      <c r="CY110" s="18">
        <v>0</v>
      </c>
      <c r="CZ110" s="150">
        <v>8</v>
      </c>
      <c r="DA110" s="105">
        <v>16</v>
      </c>
      <c r="DB110" s="18">
        <v>0</v>
      </c>
      <c r="DC110" s="150">
        <v>6</v>
      </c>
      <c r="DD110" s="105">
        <v>648</v>
      </c>
      <c r="DE110" s="139">
        <v>20</v>
      </c>
      <c r="DF110" s="150">
        <v>117</v>
      </c>
      <c r="DG110" s="105">
        <v>627</v>
      </c>
      <c r="DH110" s="139">
        <v>21</v>
      </c>
      <c r="DI110" s="150">
        <v>170</v>
      </c>
      <c r="DJ110" s="105">
        <v>56</v>
      </c>
      <c r="DK110" s="18">
        <v>0</v>
      </c>
      <c r="DL110" s="150">
        <v>28</v>
      </c>
      <c r="DM110" s="105">
        <v>12</v>
      </c>
      <c r="DN110" s="18">
        <v>0</v>
      </c>
      <c r="DO110" s="150">
        <v>4</v>
      </c>
      <c r="DP110" s="105">
        <v>332</v>
      </c>
      <c r="DQ110" s="139">
        <v>25</v>
      </c>
      <c r="DR110" s="150">
        <v>27</v>
      </c>
      <c r="DS110" s="105">
        <v>160</v>
      </c>
      <c r="DT110" s="139">
        <v>6</v>
      </c>
      <c r="DU110" s="150">
        <v>16</v>
      </c>
      <c r="DV110" s="105">
        <v>147</v>
      </c>
      <c r="DW110" s="18">
        <v>0</v>
      </c>
      <c r="DX110" s="150">
        <v>76</v>
      </c>
      <c r="DY110" s="105">
        <v>6</v>
      </c>
      <c r="DZ110" s="18">
        <v>0</v>
      </c>
      <c r="EA110" s="317">
        <v>0</v>
      </c>
      <c r="EB110" s="105">
        <v>4</v>
      </c>
      <c r="EC110" s="18">
        <v>0</v>
      </c>
      <c r="ED110" s="317">
        <v>0</v>
      </c>
      <c r="EE110" s="105">
        <v>377</v>
      </c>
      <c r="EF110" s="139">
        <v>5</v>
      </c>
      <c r="EG110" s="150">
        <v>235</v>
      </c>
      <c r="EH110" s="105">
        <v>11</v>
      </c>
      <c r="EI110" s="18">
        <v>0</v>
      </c>
      <c r="EJ110" s="150">
        <v>5</v>
      </c>
      <c r="EK110" s="105">
        <v>43</v>
      </c>
      <c r="EL110" s="18">
        <v>0</v>
      </c>
      <c r="EM110" s="150">
        <v>6</v>
      </c>
      <c r="EN110" s="105">
        <v>237</v>
      </c>
      <c r="EO110" s="139">
        <v>8</v>
      </c>
      <c r="EP110" s="150">
        <v>4</v>
      </c>
      <c r="EQ110" s="105">
        <v>92</v>
      </c>
      <c r="ER110" s="139">
        <v>12</v>
      </c>
      <c r="ES110" s="150">
        <v>8</v>
      </c>
      <c r="ET110" s="105">
        <v>4</v>
      </c>
      <c r="EU110" s="18">
        <v>0</v>
      </c>
      <c r="EV110" s="317">
        <v>0</v>
      </c>
      <c r="EW110" s="105">
        <v>254</v>
      </c>
      <c r="EX110" s="139">
        <v>10</v>
      </c>
      <c r="EY110" s="150">
        <v>11</v>
      </c>
      <c r="EZ110" s="105">
        <v>33</v>
      </c>
      <c r="FA110" s="18">
        <v>0</v>
      </c>
      <c r="FB110" s="150">
        <v>8</v>
      </c>
      <c r="FC110" s="105">
        <v>84</v>
      </c>
      <c r="FD110" s="139">
        <v>6</v>
      </c>
      <c r="FE110" s="150">
        <v>53</v>
      </c>
      <c r="FF110" s="105">
        <v>884</v>
      </c>
      <c r="FG110" s="139">
        <v>38</v>
      </c>
      <c r="FH110" s="150">
        <v>148</v>
      </c>
      <c r="FI110" s="105">
        <v>65</v>
      </c>
      <c r="FJ110" s="139">
        <v>3</v>
      </c>
      <c r="FK110" s="150">
        <v>35</v>
      </c>
      <c r="FL110" s="105">
        <v>25</v>
      </c>
      <c r="FM110" s="139">
        <v>3</v>
      </c>
      <c r="FN110" s="150">
        <v>2</v>
      </c>
      <c r="FO110" s="649"/>
      <c r="FP110" s="531"/>
      <c r="FQ110" s="531"/>
      <c r="FR110" s="531"/>
      <c r="FS110" s="531"/>
      <c r="FT110" s="531"/>
      <c r="FU110" s="635"/>
      <c r="FV110" s="531"/>
      <c r="FW110" s="531"/>
      <c r="FX110" s="531"/>
      <c r="FY110" s="531"/>
      <c r="FZ110" s="531"/>
    </row>
    <row r="111" spans="1:182" ht="7.5" customHeight="1">
      <c r="A111" s="177"/>
      <c r="B111" s="178"/>
      <c r="C111" s="178"/>
      <c r="D111" s="179"/>
      <c r="E111" s="180"/>
      <c r="F111" s="181"/>
      <c r="G111" s="181"/>
      <c r="H111" s="181"/>
      <c r="I111" s="181"/>
      <c r="J111" s="181"/>
      <c r="K111" s="181"/>
      <c r="L111" s="181"/>
      <c r="M111" s="181"/>
      <c r="N111" s="181"/>
      <c r="O111" s="181"/>
      <c r="P111" s="181"/>
      <c r="Q111" s="181"/>
      <c r="R111" s="181"/>
      <c r="S111" s="181"/>
      <c r="T111" s="181"/>
      <c r="U111" s="181"/>
      <c r="V111" s="181"/>
      <c r="W111" s="181"/>
      <c r="X111" s="181"/>
      <c r="Y111" s="181"/>
      <c r="Z111" s="181"/>
      <c r="AA111" s="181"/>
      <c r="AB111" s="181"/>
      <c r="AC111" s="181"/>
      <c r="AD111" s="181"/>
      <c r="AE111" s="181"/>
      <c r="AF111" s="181"/>
      <c r="AG111" s="181"/>
      <c r="AH111" s="181"/>
      <c r="AI111" s="181"/>
      <c r="AJ111" s="181"/>
      <c r="AK111" s="181"/>
      <c r="AL111" s="181"/>
      <c r="AM111" s="181"/>
      <c r="AN111" s="181"/>
      <c r="AO111" s="181"/>
      <c r="AP111" s="181"/>
      <c r="AQ111" s="181"/>
      <c r="AR111" s="181"/>
      <c r="AS111" s="181"/>
      <c r="AT111" s="181"/>
      <c r="AU111" s="181"/>
      <c r="AV111" s="181"/>
      <c r="AW111" s="181"/>
      <c r="AX111" s="181"/>
      <c r="AY111" s="181"/>
      <c r="AZ111" s="181"/>
      <c r="BA111" s="181"/>
      <c r="BB111" s="181"/>
      <c r="BC111" s="181"/>
      <c r="BD111" s="181"/>
      <c r="BE111" s="181"/>
      <c r="BF111" s="181"/>
      <c r="BG111" s="181"/>
      <c r="BH111" s="181"/>
      <c r="BI111" s="181"/>
      <c r="BJ111" s="181"/>
      <c r="BK111" s="181"/>
      <c r="BL111" s="181"/>
      <c r="BM111" s="181"/>
      <c r="BN111" s="181"/>
      <c r="BO111" s="181"/>
      <c r="BP111" s="181"/>
      <c r="BQ111" s="181"/>
      <c r="BR111" s="181"/>
      <c r="BS111" s="181"/>
      <c r="BT111" s="181"/>
      <c r="BU111" s="181"/>
      <c r="BV111" s="181"/>
      <c r="BW111" s="181"/>
      <c r="BX111" s="181"/>
      <c r="BY111" s="181"/>
      <c r="BZ111" s="181"/>
      <c r="CA111" s="181"/>
      <c r="CB111" s="181"/>
      <c r="CC111" s="181"/>
      <c r="CD111" s="181"/>
      <c r="CE111" s="181"/>
      <c r="CF111" s="181"/>
      <c r="CG111" s="181"/>
      <c r="CH111" s="181"/>
      <c r="CI111" s="181"/>
      <c r="CJ111" s="181"/>
      <c r="CK111" s="181"/>
      <c r="CL111" s="181"/>
      <c r="CM111" s="181"/>
      <c r="CN111" s="181"/>
      <c r="CO111" s="181"/>
      <c r="CP111" s="181"/>
      <c r="CQ111" s="181"/>
      <c r="CR111" s="181"/>
      <c r="CS111" s="181"/>
      <c r="CT111" s="181"/>
      <c r="CU111" s="181"/>
      <c r="CV111" s="181"/>
      <c r="CW111" s="181"/>
      <c r="CX111" s="181"/>
      <c r="CY111" s="181"/>
      <c r="CZ111" s="181"/>
      <c r="DA111" s="181"/>
      <c r="DB111" s="181"/>
      <c r="DC111" s="181"/>
      <c r="DD111" s="181"/>
      <c r="DE111" s="181"/>
      <c r="DF111" s="181"/>
      <c r="DG111" s="181"/>
      <c r="DH111" s="181"/>
      <c r="DI111" s="181"/>
      <c r="DJ111" s="181"/>
      <c r="DK111" s="181"/>
      <c r="DL111" s="181"/>
      <c r="DM111" s="181"/>
      <c r="DN111" s="181"/>
      <c r="DO111" s="181"/>
      <c r="DP111" s="181"/>
      <c r="DQ111" s="181"/>
      <c r="DR111" s="181"/>
      <c r="DS111" s="181"/>
      <c r="DT111" s="181"/>
      <c r="DU111" s="181"/>
      <c r="DV111" s="181"/>
      <c r="DW111" s="181"/>
      <c r="DX111" s="181"/>
      <c r="DY111" s="181"/>
      <c r="DZ111" s="181"/>
      <c r="EA111" s="181"/>
      <c r="EB111" s="181"/>
      <c r="EC111" s="181"/>
      <c r="ED111" s="181"/>
      <c r="EE111" s="181"/>
      <c r="EF111" s="181"/>
      <c r="EG111" s="181"/>
      <c r="EH111" s="181"/>
      <c r="EI111" s="181"/>
      <c r="EJ111" s="181"/>
      <c r="EK111" s="181"/>
      <c r="EL111" s="181"/>
      <c r="EM111" s="181"/>
      <c r="EN111" s="181"/>
      <c r="EO111" s="181"/>
      <c r="EP111" s="181"/>
      <c r="EQ111" s="181"/>
      <c r="ER111" s="181"/>
      <c r="ES111" s="181"/>
      <c r="ET111" s="181"/>
      <c r="EU111" s="181"/>
      <c r="EV111" s="181"/>
      <c r="EW111" s="181"/>
      <c r="EX111" s="181"/>
      <c r="EY111" s="181"/>
      <c r="EZ111" s="181"/>
      <c r="FA111" s="181"/>
      <c r="FB111" s="181"/>
      <c r="FC111" s="181"/>
      <c r="FD111" s="181"/>
      <c r="FE111" s="181"/>
      <c r="FF111" s="181"/>
      <c r="FG111" s="181"/>
      <c r="FH111" s="181"/>
      <c r="FI111" s="181"/>
      <c r="FJ111" s="181"/>
      <c r="FK111" s="181"/>
      <c r="FL111" s="181"/>
      <c r="FM111" s="181"/>
      <c r="FN111" s="181"/>
      <c r="FO111" s="531"/>
      <c r="FP111" s="531"/>
      <c r="FQ111" s="531"/>
      <c r="FR111" s="531"/>
      <c r="FS111" s="531"/>
      <c r="FT111" s="531"/>
      <c r="FU111" s="531"/>
      <c r="FV111" s="531"/>
      <c r="FW111" s="531"/>
      <c r="FX111" s="531"/>
      <c r="FY111" s="531"/>
      <c r="FZ111" s="531"/>
    </row>
    <row r="112" spans="1:182" ht="12.75">
      <c r="A112" s="416" t="s">
        <v>341</v>
      </c>
      <c r="B112" s="206" t="str">
        <f t="shared" ref="B112:FN112" ca="1" si="107">CONCATENATE("+",OFFSET(B112,-2,0,1,1)-OFFSET(B112,-3,0,1,1))</f>
        <v>+1340</v>
      </c>
      <c r="C112" s="207" t="str">
        <f t="shared" ca="1" si="107"/>
        <v>+39</v>
      </c>
      <c r="D112" s="208" t="str">
        <f t="shared" ca="1" si="107"/>
        <v>+504</v>
      </c>
      <c r="E112" s="322" t="str">
        <f t="shared" ca="1" si="107"/>
        <v>+797</v>
      </c>
      <c r="F112" s="206" t="str">
        <f t="shared" ca="1" si="107"/>
        <v>+142</v>
      </c>
      <c r="G112" s="207" t="str">
        <f t="shared" ca="1" si="107"/>
        <v>+4</v>
      </c>
      <c r="H112" s="213" t="str">
        <f t="shared" ca="1" si="107"/>
        <v>+152</v>
      </c>
      <c r="I112" s="206" t="str">
        <f t="shared" ca="1" si="107"/>
        <v>+89</v>
      </c>
      <c r="J112" s="207" t="str">
        <f t="shared" ca="1" si="107"/>
        <v>+9</v>
      </c>
      <c r="K112" s="213" t="str">
        <f t="shared" ca="1" si="107"/>
        <v>+52</v>
      </c>
      <c r="L112" s="206" t="str">
        <f t="shared" ca="1" si="107"/>
        <v>+0</v>
      </c>
      <c r="M112" s="207" t="str">
        <f t="shared" ca="1" si="107"/>
        <v>+0</v>
      </c>
      <c r="N112" s="213" t="str">
        <f t="shared" ca="1" si="107"/>
        <v>+0</v>
      </c>
      <c r="O112" s="206" t="str">
        <f t="shared" ca="1" si="107"/>
        <v>+19</v>
      </c>
      <c r="P112" s="207" t="str">
        <f t="shared" ca="1" si="107"/>
        <v>+0</v>
      </c>
      <c r="Q112" s="213" t="str">
        <f t="shared" ca="1" si="107"/>
        <v>+9</v>
      </c>
      <c r="R112" s="206" t="str">
        <f t="shared" ca="1" si="107"/>
        <v>+0</v>
      </c>
      <c r="S112" s="207" t="str">
        <f t="shared" ca="1" si="107"/>
        <v>+0</v>
      </c>
      <c r="T112" s="213" t="str">
        <f t="shared" ca="1" si="107"/>
        <v>+0</v>
      </c>
      <c r="U112" s="206" t="str">
        <f t="shared" ca="1" si="107"/>
        <v>+5</v>
      </c>
      <c r="V112" s="207" t="str">
        <f t="shared" ca="1" si="107"/>
        <v>+2</v>
      </c>
      <c r="W112" s="213" t="str">
        <f t="shared" ca="1" si="107"/>
        <v>+19</v>
      </c>
      <c r="X112" s="206" t="str">
        <f t="shared" ca="1" si="107"/>
        <v>+0</v>
      </c>
      <c r="Y112" s="207" t="str">
        <f t="shared" ca="1" si="107"/>
        <v>+0</v>
      </c>
      <c r="Z112" s="213" t="str">
        <f t="shared" ca="1" si="107"/>
        <v>+4</v>
      </c>
      <c r="AA112" s="206" t="str">
        <f t="shared" ca="1" si="107"/>
        <v>+146</v>
      </c>
      <c r="AB112" s="207" t="str">
        <f t="shared" ca="1" si="107"/>
        <v>+0</v>
      </c>
      <c r="AC112" s="213" t="str">
        <f t="shared" ca="1" si="107"/>
        <v>+0</v>
      </c>
      <c r="AD112" s="206" t="str">
        <f t="shared" ca="1" si="107"/>
        <v>+6</v>
      </c>
      <c r="AE112" s="207" t="str">
        <f t="shared" ca="1" si="107"/>
        <v>+0</v>
      </c>
      <c r="AF112" s="213" t="str">
        <f t="shared" ca="1" si="107"/>
        <v>+0</v>
      </c>
      <c r="AG112" s="206" t="str">
        <f t="shared" ca="1" si="107"/>
        <v>+0</v>
      </c>
      <c r="AH112" s="207" t="str">
        <f t="shared" ca="1" si="107"/>
        <v>+0</v>
      </c>
      <c r="AI112" s="213" t="str">
        <f t="shared" ca="1" si="107"/>
        <v>+0</v>
      </c>
      <c r="AJ112" s="206" t="str">
        <f t="shared" ca="1" si="107"/>
        <v>+0</v>
      </c>
      <c r="AK112" s="207" t="str">
        <f t="shared" ca="1" si="107"/>
        <v>+0</v>
      </c>
      <c r="AL112" s="213" t="str">
        <f t="shared" ca="1" si="107"/>
        <v>+0</v>
      </c>
      <c r="AM112" s="206" t="str">
        <f t="shared" ca="1" si="107"/>
        <v>+189</v>
      </c>
      <c r="AN112" s="207" t="str">
        <f t="shared" ca="1" si="107"/>
        <v>+11</v>
      </c>
      <c r="AO112" s="213" t="str">
        <f t="shared" ca="1" si="107"/>
        <v>+89</v>
      </c>
      <c r="AP112" s="206" t="str">
        <f t="shared" ca="1" si="107"/>
        <v>+0</v>
      </c>
      <c r="AQ112" s="207" t="str">
        <f t="shared" ca="1" si="107"/>
        <v>+0</v>
      </c>
      <c r="AR112" s="213" t="str">
        <f t="shared" ca="1" si="107"/>
        <v>+0</v>
      </c>
      <c r="AS112" s="206" t="str">
        <f t="shared" ca="1" si="107"/>
        <v>+2</v>
      </c>
      <c r="AT112" s="207" t="str">
        <f t="shared" ca="1" si="107"/>
        <v>+0</v>
      </c>
      <c r="AU112" s="213" t="str">
        <f t="shared" ca="1" si="107"/>
        <v>+0</v>
      </c>
      <c r="AV112" s="206" t="str">
        <f t="shared" ca="1" si="107"/>
        <v>+3</v>
      </c>
      <c r="AW112" s="207" t="str">
        <f t="shared" ca="1" si="107"/>
        <v>+0</v>
      </c>
      <c r="AX112" s="213" t="str">
        <f t="shared" ca="1" si="107"/>
        <v>+0</v>
      </c>
      <c r="AY112" s="206" t="str">
        <f t="shared" ca="1" si="107"/>
        <v>+0</v>
      </c>
      <c r="AZ112" s="207" t="str">
        <f t="shared" ca="1" si="107"/>
        <v>+0</v>
      </c>
      <c r="BA112" s="213" t="str">
        <f t="shared" ca="1" si="107"/>
        <v>+0</v>
      </c>
      <c r="BB112" s="206" t="str">
        <f t="shared" ca="1" si="107"/>
        <v>+0</v>
      </c>
      <c r="BC112" s="207" t="str">
        <f t="shared" ca="1" si="107"/>
        <v>+0</v>
      </c>
      <c r="BD112" s="213" t="str">
        <f t="shared" ca="1" si="107"/>
        <v>+0</v>
      </c>
      <c r="BE112" s="206" t="str">
        <f t="shared" ca="1" si="107"/>
        <v>+208</v>
      </c>
      <c r="BF112" s="207" t="str">
        <f t="shared" ca="1" si="107"/>
        <v>+0</v>
      </c>
      <c r="BG112" s="213" t="str">
        <f t="shared" ca="1" si="107"/>
        <v>+0</v>
      </c>
      <c r="BH112" s="206" t="str">
        <f t="shared" ca="1" si="107"/>
        <v>+0</v>
      </c>
      <c r="BI112" s="207" t="str">
        <f t="shared" ca="1" si="107"/>
        <v>+0</v>
      </c>
      <c r="BJ112" s="213" t="str">
        <f t="shared" ca="1" si="107"/>
        <v>+0</v>
      </c>
      <c r="BK112" s="206" t="str">
        <f t="shared" ca="1" si="107"/>
        <v>+0</v>
      </c>
      <c r="BL112" s="207" t="str">
        <f t="shared" ca="1" si="107"/>
        <v>+0</v>
      </c>
      <c r="BM112" s="213" t="str">
        <f t="shared" ca="1" si="107"/>
        <v>+0</v>
      </c>
      <c r="BN112" s="206" t="str">
        <f t="shared" ca="1" si="107"/>
        <v>+0</v>
      </c>
      <c r="BO112" s="207" t="str">
        <f t="shared" ca="1" si="107"/>
        <v>+0</v>
      </c>
      <c r="BP112" s="213" t="str">
        <f t="shared" ca="1" si="107"/>
        <v>+0</v>
      </c>
      <c r="BQ112" s="206" t="str">
        <f t="shared" ca="1" si="107"/>
        <v>+11</v>
      </c>
      <c r="BR112" s="207" t="str">
        <f t="shared" ca="1" si="107"/>
        <v>+0</v>
      </c>
      <c r="BS112" s="213" t="str">
        <f t="shared" ca="1" si="107"/>
        <v>+2</v>
      </c>
      <c r="BT112" s="206" t="str">
        <f t="shared" ca="1" si="107"/>
        <v>+0</v>
      </c>
      <c r="BU112" s="207" t="str">
        <f t="shared" ca="1" si="107"/>
        <v>+0</v>
      </c>
      <c r="BV112" s="213" t="str">
        <f t="shared" ca="1" si="107"/>
        <v>+0</v>
      </c>
      <c r="BW112" s="206" t="str">
        <f t="shared" ca="1" si="107"/>
        <v>+8</v>
      </c>
      <c r="BX112" s="207" t="str">
        <f t="shared" ca="1" si="107"/>
        <v>+0</v>
      </c>
      <c r="BY112" s="213" t="str">
        <f t="shared" ca="1" si="107"/>
        <v>+0</v>
      </c>
      <c r="BZ112" s="206" t="str">
        <f t="shared" ca="1" si="107"/>
        <v>+2</v>
      </c>
      <c r="CA112" s="207" t="str">
        <f t="shared" ca="1" si="107"/>
        <v>+0</v>
      </c>
      <c r="CB112" s="213" t="str">
        <f t="shared" ca="1" si="107"/>
        <v>+0</v>
      </c>
      <c r="CC112" s="206" t="str">
        <f t="shared" ca="1" si="107"/>
        <v>+0</v>
      </c>
      <c r="CD112" s="207" t="str">
        <f t="shared" ca="1" si="107"/>
        <v>+0</v>
      </c>
      <c r="CE112" s="213" t="str">
        <f t="shared" ca="1" si="107"/>
        <v>+2</v>
      </c>
      <c r="CF112" s="206" t="str">
        <f t="shared" ca="1" si="107"/>
        <v>+0</v>
      </c>
      <c r="CG112" s="207" t="str">
        <f t="shared" ca="1" si="107"/>
        <v>+0</v>
      </c>
      <c r="CH112" s="213" t="str">
        <f t="shared" ca="1" si="107"/>
        <v>+0</v>
      </c>
      <c r="CI112" s="206" t="str">
        <f t="shared" ca="1" si="107"/>
        <v>+0</v>
      </c>
      <c r="CJ112" s="207" t="str">
        <f t="shared" ca="1" si="107"/>
        <v>+0</v>
      </c>
      <c r="CK112" s="213" t="str">
        <f t="shared" ca="1" si="107"/>
        <v>+0</v>
      </c>
      <c r="CL112" s="206" t="str">
        <f t="shared" ca="1" si="107"/>
        <v>+191</v>
      </c>
      <c r="CM112" s="207" t="str">
        <f t="shared" ca="1" si="107"/>
        <v>+2</v>
      </c>
      <c r="CN112" s="213" t="str">
        <f t="shared" ca="1" si="107"/>
        <v>+23</v>
      </c>
      <c r="CO112" s="206" t="str">
        <f t="shared" ca="1" si="107"/>
        <v>+0</v>
      </c>
      <c r="CP112" s="207" t="str">
        <f t="shared" ca="1" si="107"/>
        <v>+0</v>
      </c>
      <c r="CQ112" s="213" t="str">
        <f t="shared" ca="1" si="107"/>
        <v>+16</v>
      </c>
      <c r="CR112" s="206" t="str">
        <f t="shared" ca="1" si="107"/>
        <v>+0</v>
      </c>
      <c r="CS112" s="207" t="str">
        <f t="shared" ca="1" si="107"/>
        <v>+0</v>
      </c>
      <c r="CT112" s="213" t="str">
        <f t="shared" ca="1" si="107"/>
        <v>+0</v>
      </c>
      <c r="CU112" s="206" t="str">
        <f t="shared" ca="1" si="107"/>
        <v>+0</v>
      </c>
      <c r="CV112" s="207" t="str">
        <f t="shared" ca="1" si="107"/>
        <v>+0</v>
      </c>
      <c r="CW112" s="213" t="str">
        <f t="shared" ca="1" si="107"/>
        <v>+0</v>
      </c>
      <c r="CX112" s="206" t="str">
        <f t="shared" ca="1" si="107"/>
        <v>+0</v>
      </c>
      <c r="CY112" s="207" t="str">
        <f t="shared" ca="1" si="107"/>
        <v>+0</v>
      </c>
      <c r="CZ112" s="213" t="str">
        <f t="shared" ca="1" si="107"/>
        <v>+0</v>
      </c>
      <c r="DA112" s="206" t="str">
        <f t="shared" ca="1" si="107"/>
        <v>+0</v>
      </c>
      <c r="DB112" s="207" t="str">
        <f t="shared" ca="1" si="107"/>
        <v>+0</v>
      </c>
      <c r="DC112" s="213" t="str">
        <f t="shared" ca="1" si="107"/>
        <v>+0</v>
      </c>
      <c r="DD112" s="206" t="str">
        <f t="shared" ca="1" si="107"/>
        <v>+0</v>
      </c>
      <c r="DE112" s="207" t="str">
        <f t="shared" ca="1" si="107"/>
        <v>+0</v>
      </c>
      <c r="DF112" s="213" t="str">
        <f t="shared" ca="1" si="107"/>
        <v>+0</v>
      </c>
      <c r="DG112" s="206" t="str">
        <f t="shared" ca="1" si="107"/>
        <v>+86</v>
      </c>
      <c r="DH112" s="207" t="str">
        <f t="shared" ca="1" si="107"/>
        <v>+2</v>
      </c>
      <c r="DI112" s="213" t="str">
        <f t="shared" ca="1" si="107"/>
        <v>+4</v>
      </c>
      <c r="DJ112" s="206" t="str">
        <f t="shared" ca="1" si="107"/>
        <v>+1</v>
      </c>
      <c r="DK112" s="207" t="str">
        <f t="shared" ca="1" si="107"/>
        <v>+0</v>
      </c>
      <c r="DL112" s="213" t="str">
        <f t="shared" ca="1" si="107"/>
        <v>+0</v>
      </c>
      <c r="DM112" s="206" t="str">
        <f t="shared" ca="1" si="107"/>
        <v>+0</v>
      </c>
      <c r="DN112" s="207" t="str">
        <f t="shared" ca="1" si="107"/>
        <v>+0</v>
      </c>
      <c r="DO112" s="213" t="str">
        <f t="shared" ca="1" si="107"/>
        <v>+0</v>
      </c>
      <c r="DP112" s="206" t="str">
        <f t="shared" ca="1" si="107"/>
        <v>+5</v>
      </c>
      <c r="DQ112" s="207" t="str">
        <f t="shared" ca="1" si="107"/>
        <v>+0</v>
      </c>
      <c r="DR112" s="213" t="str">
        <f t="shared" ca="1" si="107"/>
        <v>+1</v>
      </c>
      <c r="DS112" s="206" t="str">
        <f t="shared" ca="1" si="107"/>
        <v>+17</v>
      </c>
      <c r="DT112" s="207" t="str">
        <f t="shared" ca="1" si="107"/>
        <v>+0</v>
      </c>
      <c r="DU112" s="213" t="str">
        <f t="shared" ca="1" si="107"/>
        <v>+5</v>
      </c>
      <c r="DV112" s="206" t="str">
        <f t="shared" ca="1" si="107"/>
        <v>+0</v>
      </c>
      <c r="DW112" s="207" t="str">
        <f t="shared" ca="1" si="107"/>
        <v>+0</v>
      </c>
      <c r="DX112" s="213" t="str">
        <f t="shared" ca="1" si="107"/>
        <v>+0</v>
      </c>
      <c r="DY112" s="206" t="str">
        <f t="shared" ca="1" si="107"/>
        <v>+0</v>
      </c>
      <c r="DZ112" s="207" t="str">
        <f t="shared" ca="1" si="107"/>
        <v>+0</v>
      </c>
      <c r="EA112" s="213" t="str">
        <f t="shared" ca="1" si="107"/>
        <v>+0</v>
      </c>
      <c r="EB112" s="206" t="str">
        <f t="shared" ca="1" si="107"/>
        <v>+0</v>
      </c>
      <c r="EC112" s="207" t="str">
        <f t="shared" ca="1" si="107"/>
        <v>+0</v>
      </c>
      <c r="ED112" s="213" t="str">
        <f t="shared" ca="1" si="107"/>
        <v>+0</v>
      </c>
      <c r="EE112" s="206" t="str">
        <f t="shared" ca="1" si="107"/>
        <v>+10</v>
      </c>
      <c r="EF112" s="207" t="str">
        <f t="shared" ca="1" si="107"/>
        <v>+2</v>
      </c>
      <c r="EG112" s="213" t="str">
        <f t="shared" ca="1" si="107"/>
        <v>+15</v>
      </c>
      <c r="EH112" s="206" t="str">
        <f t="shared" ca="1" si="107"/>
        <v>+0</v>
      </c>
      <c r="EI112" s="207" t="str">
        <f t="shared" ca="1" si="107"/>
        <v>+0</v>
      </c>
      <c r="EJ112" s="213" t="str">
        <f t="shared" ca="1" si="107"/>
        <v>+0</v>
      </c>
      <c r="EK112" s="206" t="str">
        <f t="shared" ca="1" si="107"/>
        <v>+8</v>
      </c>
      <c r="EL112" s="207" t="str">
        <f t="shared" ca="1" si="107"/>
        <v>+0</v>
      </c>
      <c r="EM112" s="213" t="str">
        <f t="shared" ca="1" si="107"/>
        <v>+0</v>
      </c>
      <c r="EN112" s="206" t="str">
        <f t="shared" ca="1" si="107"/>
        <v>+73</v>
      </c>
      <c r="EO112" s="207" t="str">
        <f t="shared" ca="1" si="107"/>
        <v>+1</v>
      </c>
      <c r="EP112" s="213" t="str">
        <f t="shared" ca="1" si="107"/>
        <v>+1</v>
      </c>
      <c r="EQ112" s="206" t="str">
        <f t="shared" ca="1" si="107"/>
        <v>+26</v>
      </c>
      <c r="ER112" s="207" t="str">
        <f t="shared" ca="1" si="107"/>
        <v>+2</v>
      </c>
      <c r="ES112" s="213" t="str">
        <f t="shared" ca="1" si="107"/>
        <v>+2</v>
      </c>
      <c r="ET112" s="206" t="str">
        <f t="shared" ca="1" si="107"/>
        <v>+0</v>
      </c>
      <c r="EU112" s="207" t="str">
        <f t="shared" ca="1" si="107"/>
        <v>+0</v>
      </c>
      <c r="EV112" s="213" t="str">
        <f t="shared" ca="1" si="107"/>
        <v>+0</v>
      </c>
      <c r="EW112" s="206" t="str">
        <f t="shared" ca="1" si="107"/>
        <v>+84</v>
      </c>
      <c r="EX112" s="207" t="str">
        <f t="shared" ca="1" si="107"/>
        <v>+3</v>
      </c>
      <c r="EY112" s="213" t="str">
        <f t="shared" ca="1" si="107"/>
        <v>+0</v>
      </c>
      <c r="EZ112" s="206" t="str">
        <f t="shared" ca="1" si="107"/>
        <v>+0</v>
      </c>
      <c r="FA112" s="207" t="str">
        <f t="shared" ca="1" si="107"/>
        <v>+0</v>
      </c>
      <c r="FB112" s="213" t="str">
        <f t="shared" ca="1" si="107"/>
        <v>+0</v>
      </c>
      <c r="FC112" s="206" t="str">
        <f t="shared" ca="1" si="107"/>
        <v>+0</v>
      </c>
      <c r="FD112" s="207" t="str">
        <f t="shared" ca="1" si="107"/>
        <v>+1</v>
      </c>
      <c r="FE112" s="213" t="str">
        <f t="shared" ca="1" si="107"/>
        <v>+1</v>
      </c>
      <c r="FF112" s="206" t="str">
        <f t="shared" ca="1" si="107"/>
        <v>+5</v>
      </c>
      <c r="FG112" s="207" t="str">
        <f t="shared" ca="1" si="107"/>
        <v>+0</v>
      </c>
      <c r="FH112" s="213" t="str">
        <f t="shared" ca="1" si="107"/>
        <v>+105</v>
      </c>
      <c r="FI112" s="206" t="str">
        <f t="shared" ca="1" si="107"/>
        <v>+4</v>
      </c>
      <c r="FJ112" s="207" t="str">
        <f t="shared" ca="1" si="107"/>
        <v>+0</v>
      </c>
      <c r="FK112" s="213" t="str">
        <f t="shared" ca="1" si="107"/>
        <v>+2</v>
      </c>
      <c r="FL112" s="206" t="str">
        <f t="shared" ca="1" si="107"/>
        <v>+0</v>
      </c>
      <c r="FM112" s="207" t="str">
        <f t="shared" ca="1" si="107"/>
        <v>+0</v>
      </c>
      <c r="FN112" s="213" t="str">
        <f t="shared" ca="1" si="107"/>
        <v>+0</v>
      </c>
      <c r="FO112" s="183"/>
      <c r="FP112" s="184"/>
      <c r="FQ112" s="185"/>
      <c r="FR112" s="183"/>
      <c r="FS112" s="184"/>
      <c r="FT112" s="185"/>
      <c r="FU112" s="183"/>
      <c r="FV112" s="184"/>
      <c r="FW112" s="185"/>
    </row>
    <row r="113" spans="1:182" ht="12.75">
      <c r="A113" s="187" t="s">
        <v>395</v>
      </c>
      <c r="B113" s="578">
        <f ca="1">OFFSET(B113,-3,1,1,1)*100/OFFSET(B113,-3,0,1,1)</f>
        <v>4.8583504205548813</v>
      </c>
      <c r="C113" s="531"/>
      <c r="D113" s="531"/>
      <c r="E113" s="532"/>
      <c r="F113" s="578">
        <f ca="1">OFFSET(F113,-3,1,1,1)*100/OFFSET(F113,-3,0,1,1)</f>
        <v>1.7575757575757576</v>
      </c>
      <c r="G113" s="531"/>
      <c r="H113" s="532"/>
      <c r="I113" s="578">
        <f ca="1">OFFSET(I113,-3,1,1,1)*100/OFFSET(I113,-3,0,1,1)</f>
        <v>14.1280353200883</v>
      </c>
      <c r="J113" s="531"/>
      <c r="K113" s="532"/>
      <c r="L113" s="578">
        <f ca="1">OFFSET(L113,-3,1,1,1)*100/OFFSET(L113,-3,0,1,1)</f>
        <v>8.3333333333333339</v>
      </c>
      <c r="M113" s="531"/>
      <c r="N113" s="532"/>
      <c r="O113" s="578">
        <f ca="1">OFFSET(O113,-3,1,1,1)*100/OFFSET(O113,-3,0,1,1)</f>
        <v>1.8518518518518519</v>
      </c>
      <c r="P113" s="531"/>
      <c r="Q113" s="532"/>
      <c r="R113" s="578">
        <f ca="1">OFFSET(R113,-3,1,1,1)*100/OFFSET(R113,-3,0,1,1)</f>
        <v>5</v>
      </c>
      <c r="S113" s="531"/>
      <c r="T113" s="532"/>
      <c r="U113" s="578">
        <f ca="1">OFFSET(U113,-3,1,1,1)*100/OFFSET(U113,-3,0,1,1)</f>
        <v>6.540447504302926</v>
      </c>
      <c r="V113" s="531"/>
      <c r="W113" s="532"/>
      <c r="X113" s="578">
        <f ca="1">OFFSET(X113,-3,1,1,1)*100/OFFSET(X113,-3,0,1,1)</f>
        <v>20</v>
      </c>
      <c r="Y113" s="531"/>
      <c r="Z113" s="532"/>
      <c r="AA113" s="578">
        <f ca="1">OFFSET(AA113,-3,1,1,1)*100/OFFSET(AA113,-3,0,1,1)</f>
        <v>3.6113499570077385</v>
      </c>
      <c r="AB113" s="531"/>
      <c r="AC113" s="532"/>
      <c r="AD113" s="578">
        <f ca="1">OFFSET(AD113,-3,1,1,1)*100/OFFSET(AD113,-3,0,1,1)</f>
        <v>1.4925373134328359</v>
      </c>
      <c r="AE113" s="531"/>
      <c r="AF113" s="532"/>
      <c r="AG113" s="578">
        <f ca="1">OFFSET(AG113,-3,1,1,1)*100/OFFSET(AG113,-3,0,1,1)</f>
        <v>1.0625737898465171</v>
      </c>
      <c r="AH113" s="531"/>
      <c r="AI113" s="532"/>
      <c r="AJ113" s="578">
        <f ca="1">OFFSET(AJ113,-3,1,1,1)*100/OFFSET(AJ113,-3,0,1,1)</f>
        <v>0.2364066193853428</v>
      </c>
      <c r="AK113" s="531"/>
      <c r="AL113" s="532"/>
      <c r="AM113" s="578">
        <f ca="1">OFFSET(AM113,-3,1,1,1)*100/OFFSET(AM113,-3,0,1,1)</f>
        <v>7.5007500750075007</v>
      </c>
      <c r="AN113" s="531"/>
      <c r="AO113" s="532"/>
      <c r="AP113" s="186"/>
      <c r="AQ113" s="186"/>
      <c r="AR113" s="186"/>
      <c r="AS113" s="578">
        <f ca="1">OFFSET(AS113,-3,1,1,1)*100/OFFSET(AS113,-3,0,1,1)</f>
        <v>4.166666666666667</v>
      </c>
      <c r="AT113" s="531"/>
      <c r="AU113" s="532"/>
      <c r="AV113" s="578">
        <f ca="1">OFFSET(AV113,-3,1,1,1)*100/OFFSET(AV113,-3,0,1,1)</f>
        <v>2.7027027027027026</v>
      </c>
      <c r="AW113" s="531"/>
      <c r="AX113" s="532"/>
      <c r="AY113" s="578">
        <f ca="1">OFFSET(AY113,-3,1,1,1)*100/OFFSET(AY113,-3,0,1,1)</f>
        <v>0.91743119266055051</v>
      </c>
      <c r="AZ113" s="531"/>
      <c r="BA113" s="532"/>
      <c r="BB113" s="578">
        <f ca="1">OFFSET(BB113,-3,1,1,1)*100/OFFSET(BB113,-3,0,1,1)</f>
        <v>11.111111111111111</v>
      </c>
      <c r="BC113" s="531"/>
      <c r="BD113" s="532"/>
      <c r="BE113" s="578">
        <f ca="1">OFFSET(BE113,-3,1,1,1)*100/OFFSET(BE113,-3,0,1,1)</f>
        <v>0.8637236084452975</v>
      </c>
      <c r="BF113" s="531"/>
      <c r="BG113" s="532"/>
      <c r="BH113" s="578">
        <f ca="1">OFFSET(BH113,-3,1,1,1)*100/OFFSET(BH113,-3,0,1,1)</f>
        <v>0.86355785837651122</v>
      </c>
      <c r="BI113" s="531"/>
      <c r="BJ113" s="532"/>
      <c r="BQ113" s="578">
        <f ca="1">OFFSET(BQ113,-3,1,1,1)*100/OFFSET(BQ113,-3,0,1,1)</f>
        <v>4.9822064056939501</v>
      </c>
      <c r="BR113" s="531"/>
      <c r="BS113" s="532"/>
      <c r="BW113" s="578">
        <f ca="1">OFFSET(BW113,-3,1,1,1)*100/OFFSET(BW113,-3,0,1,1)</f>
        <v>8.0808080808080813</v>
      </c>
      <c r="BX113" s="531"/>
      <c r="BY113" s="532"/>
      <c r="BZ113" s="578">
        <f ca="1">OFFSET(BZ113,-3,1,1,1)*100/OFFSET(BZ113,-3,0,1,1)</f>
        <v>1.9607843137254901</v>
      </c>
      <c r="CA113" s="531"/>
      <c r="CB113" s="532"/>
      <c r="CF113" s="578">
        <f ca="1">OFFSET(CF113,-3,1,1,1)*100/OFFSET(CF113,-3,0,1,1)</f>
        <v>11.764705882352942</v>
      </c>
      <c r="CG113" s="531"/>
      <c r="CH113" s="532"/>
      <c r="CI113" s="578">
        <f ca="1">OFFSET(CI113,-3,1,1,1)*100/OFFSET(CI113,-3,0,1,1)</f>
        <v>6.25</v>
      </c>
      <c r="CJ113" s="531"/>
      <c r="CK113" s="532"/>
      <c r="CL113" s="578">
        <f ca="1">OFFSET(CL113,-3,1,1,1)*100/OFFSET(CL113,-3,0,1,1)</f>
        <v>4.694681549573211</v>
      </c>
      <c r="CM113" s="531"/>
      <c r="CN113" s="532"/>
      <c r="CO113" s="578">
        <f ca="1">OFFSET(CO113,-3,1,1,1)*100/OFFSET(CO113,-3,0,1,1)</f>
        <v>2.7439024390243905</v>
      </c>
      <c r="CP113" s="531"/>
      <c r="CQ113" s="532"/>
      <c r="CR113" s="578">
        <f ca="1">OFFSET(CR113,-3,1,1,1)*100/OFFSET(CR113,-3,0,1,1)</f>
        <v>14.285714285714286</v>
      </c>
      <c r="CS113" s="531"/>
      <c r="CT113" s="532"/>
      <c r="CU113" s="578">
        <f ca="1">OFFSET(CU113,-3,1,1,1)*100/OFFSET(CU113,-3,0,1,1)</f>
        <v>1.5306122448979591</v>
      </c>
      <c r="CV113" s="531"/>
      <c r="CW113" s="532"/>
      <c r="CX113" s="186"/>
      <c r="CY113" s="186"/>
      <c r="CZ113" s="186"/>
      <c r="DD113" s="578">
        <f ca="1">OFFSET(DD113,-3,1,1,1)*100/OFFSET(DD113,-3,0,1,1)</f>
        <v>3.0864197530864197</v>
      </c>
      <c r="DE113" s="531"/>
      <c r="DF113" s="532"/>
      <c r="DG113" s="578">
        <f ca="1">OFFSET(DG113,-3,1,1,1)*100/OFFSET(DG113,-3,0,1,1)</f>
        <v>3.3492822966507179</v>
      </c>
      <c r="DH113" s="531"/>
      <c r="DI113" s="532"/>
      <c r="DP113" s="578">
        <f ca="1">OFFSET(DP113,-3,1,1,1)*100/OFFSET(DP113,-3,0,1,1)</f>
        <v>7.5301204819277112</v>
      </c>
      <c r="DQ113" s="531"/>
      <c r="DR113" s="532"/>
      <c r="DS113" s="578">
        <f ca="1">OFFSET(DS113,-3,1,1,1)*100/OFFSET(DS113,-3,0,1,1)</f>
        <v>3.75</v>
      </c>
      <c r="DT113" s="531"/>
      <c r="DU113" s="532"/>
      <c r="EE113" s="578">
        <f ca="1">OFFSET(EE113,-3,1,1,1)*100/OFFSET(EE113,-3,0,1,1)</f>
        <v>1.3262599469496021</v>
      </c>
      <c r="EF113" s="531"/>
      <c r="EG113" s="532"/>
      <c r="EN113" s="578">
        <f ca="1">OFFSET(EN113,-3,1,1,1)*100/OFFSET(EN113,-3,0,1,1)</f>
        <v>3.3755274261603376</v>
      </c>
      <c r="EO113" s="531"/>
      <c r="EP113" s="532"/>
      <c r="EQ113" s="578">
        <f ca="1">OFFSET(EQ113,-3,1,1,1)*100/OFFSET(EQ113,-3,0,1,1)</f>
        <v>13.043478260869565</v>
      </c>
      <c r="ER113" s="531"/>
      <c r="ES113" s="532"/>
      <c r="EW113" s="578">
        <f ca="1">OFFSET(EW113,-3,1,1,1)*100/OFFSET(EW113,-3,0,1,1)</f>
        <v>3.9370078740157481</v>
      </c>
      <c r="EX113" s="531"/>
      <c r="EY113" s="532"/>
      <c r="FC113" s="578">
        <f ca="1">OFFSET(FC113,-3,1,1,1)*100/OFFSET(FC113,-3,0,1,1)</f>
        <v>7.1428571428571432</v>
      </c>
      <c r="FD113" s="531"/>
      <c r="FE113" s="532"/>
      <c r="FF113" s="578">
        <f ca="1">OFFSET(FF113,-3,1,1,1)*100/OFFSET(FF113,-3,0,1,1)</f>
        <v>4.2986425339366514</v>
      </c>
      <c r="FG113" s="531"/>
      <c r="FH113" s="532"/>
      <c r="FI113" s="578">
        <f ca="1">OFFSET(FI113,-3,1,1,1)*100/OFFSET(FI113,-3,0,1,1)</f>
        <v>4.615384615384615</v>
      </c>
      <c r="FJ113" s="531"/>
      <c r="FK113" s="532"/>
      <c r="FL113" s="578">
        <f ca="1">OFFSET(FL113,-3,1,1,1)*100/OFFSET(FL113,-3,0,1,1)</f>
        <v>12</v>
      </c>
      <c r="FM113" s="531"/>
      <c r="FN113" s="532"/>
    </row>
    <row r="114" spans="1:182" ht="12.75">
      <c r="A114" s="576" t="s">
        <v>399</v>
      </c>
      <c r="B114" s="531"/>
      <c r="C114" s="531"/>
      <c r="D114" s="531"/>
      <c r="E114" s="531"/>
      <c r="F114" s="573">
        <f ca="1">OFFSET(F114,-4,0,1,1)*100/57380747</f>
        <v>5.7510579288903296E-3</v>
      </c>
      <c r="G114" s="574"/>
      <c r="H114" s="550"/>
    </row>
    <row r="115" spans="1:182" ht="12.75">
      <c r="A115" s="576" t="s">
        <v>697</v>
      </c>
      <c r="B115" s="531"/>
      <c r="C115" s="531"/>
      <c r="D115" s="531"/>
      <c r="E115" s="531"/>
      <c r="F115" s="575" t="s">
        <v>1079</v>
      </c>
      <c r="G115" s="540"/>
      <c r="H115" s="542"/>
    </row>
    <row r="116" spans="1:182" ht="12.75">
      <c r="A116" s="576" t="s">
        <v>722</v>
      </c>
      <c r="B116" s="531"/>
      <c r="C116" s="531"/>
      <c r="D116" s="531"/>
      <c r="E116" s="531"/>
      <c r="F116" s="327">
        <f ca="1">F114*1000</f>
        <v>5.7510579288903294</v>
      </c>
      <c r="G116" s="544" t="s">
        <v>431</v>
      </c>
      <c r="H116" s="532"/>
    </row>
    <row r="117" spans="1:182" ht="12.75">
      <c r="A117" s="188"/>
      <c r="F117" s="244"/>
      <c r="G117" s="1"/>
      <c r="H117" s="1"/>
    </row>
    <row r="118" spans="1:182" ht="12.75">
      <c r="A118" s="328" t="s">
        <v>724</v>
      </c>
      <c r="D118" s="329">
        <f>COUNTA(F2:FN2)</f>
        <v>55</v>
      </c>
      <c r="F118" s="244"/>
      <c r="G118" s="1"/>
      <c r="H118" s="1"/>
    </row>
    <row r="119" spans="1:182" ht="12.75">
      <c r="A119" s="188"/>
    </row>
    <row r="120" spans="1:182" ht="9" customHeight="1">
      <c r="A120" s="610" t="s">
        <v>351</v>
      </c>
      <c r="B120" s="536"/>
      <c r="C120" s="536"/>
      <c r="D120" s="536"/>
      <c r="E120" s="537"/>
      <c r="F120" s="555" t="s">
        <v>1080</v>
      </c>
      <c r="G120" s="536"/>
      <c r="H120" s="536"/>
      <c r="I120" s="536"/>
      <c r="J120" s="536"/>
      <c r="K120" s="536"/>
      <c r="L120" s="536"/>
      <c r="M120" s="536"/>
      <c r="N120" s="536"/>
      <c r="O120" s="536"/>
      <c r="P120" s="536"/>
      <c r="Q120" s="536"/>
      <c r="R120" s="536"/>
      <c r="S120" s="536"/>
      <c r="T120" s="536"/>
      <c r="U120" s="536"/>
      <c r="V120" s="536"/>
      <c r="W120" s="536"/>
      <c r="X120" s="536"/>
      <c r="Y120" s="536"/>
      <c r="Z120" s="536"/>
      <c r="AA120" s="536"/>
      <c r="AB120" s="536"/>
      <c r="AC120" s="536"/>
      <c r="AD120" s="536"/>
      <c r="AE120" s="536"/>
      <c r="AF120" s="536"/>
      <c r="AG120" s="536"/>
      <c r="AH120" s="536"/>
      <c r="AI120" s="536"/>
      <c r="AJ120" s="536"/>
      <c r="AK120" s="536"/>
      <c r="AL120" s="536"/>
      <c r="AM120" s="536"/>
      <c r="AN120" s="536"/>
      <c r="AO120" s="537"/>
      <c r="AP120" s="191"/>
      <c r="AQ120" s="191"/>
      <c r="AR120" s="191"/>
      <c r="AS120" s="191"/>
      <c r="AT120" s="191"/>
      <c r="AU120" s="191"/>
      <c r="AV120" s="191"/>
      <c r="AW120" s="191"/>
      <c r="AX120" s="191"/>
      <c r="AY120" s="191"/>
      <c r="AZ120" s="191"/>
      <c r="BA120" s="191"/>
      <c r="BB120" s="191"/>
      <c r="BC120" s="191"/>
      <c r="BD120" s="191"/>
      <c r="BE120" s="191"/>
      <c r="BF120" s="191"/>
      <c r="BG120" s="191"/>
      <c r="BH120" s="191"/>
      <c r="BI120" s="191"/>
      <c r="BJ120" s="191"/>
      <c r="BK120" s="191"/>
      <c r="BL120" s="191"/>
      <c r="BM120" s="191"/>
      <c r="BN120" s="191"/>
      <c r="BO120" s="191"/>
      <c r="BP120" s="191"/>
      <c r="BQ120" s="191"/>
      <c r="BR120" s="191"/>
      <c r="BS120" s="191"/>
      <c r="BT120" s="191"/>
      <c r="BU120" s="191"/>
      <c r="BV120" s="191"/>
      <c r="BW120" s="191"/>
      <c r="BX120" s="191"/>
      <c r="BY120" s="191"/>
      <c r="BZ120" s="191"/>
      <c r="CA120" s="191"/>
      <c r="CB120" s="191"/>
      <c r="CC120" s="191"/>
      <c r="CD120" s="191"/>
      <c r="CE120" s="191"/>
      <c r="CF120" s="191"/>
      <c r="CG120" s="191"/>
      <c r="CH120" s="191"/>
      <c r="CI120" s="191"/>
      <c r="CJ120" s="191"/>
      <c r="CK120" s="191"/>
      <c r="CL120" s="191"/>
      <c r="CM120" s="191"/>
      <c r="CN120" s="191"/>
      <c r="CO120" s="191"/>
      <c r="CP120" s="191"/>
      <c r="CQ120" s="191"/>
      <c r="CR120" s="191"/>
      <c r="CS120" s="191"/>
      <c r="CT120" s="191"/>
      <c r="CU120" s="191"/>
      <c r="CV120" s="191"/>
      <c r="CW120" s="191"/>
      <c r="CX120" s="191"/>
      <c r="CY120" s="191"/>
      <c r="CZ120" s="191"/>
      <c r="DA120" s="191"/>
      <c r="DB120" s="191"/>
      <c r="DC120" s="191"/>
      <c r="DD120" s="191"/>
      <c r="DE120" s="191"/>
      <c r="DF120" s="191"/>
      <c r="DG120" s="191"/>
      <c r="DH120" s="191"/>
      <c r="DI120" s="191"/>
      <c r="DJ120" s="191"/>
      <c r="DK120" s="191"/>
      <c r="DL120" s="191"/>
      <c r="DM120" s="191"/>
      <c r="DN120" s="191"/>
      <c r="DO120" s="191"/>
      <c r="DP120" s="191"/>
      <c r="DQ120" s="191"/>
      <c r="DR120" s="191"/>
      <c r="DS120" s="191"/>
      <c r="DT120" s="191"/>
      <c r="DU120" s="191"/>
      <c r="DV120" s="191"/>
      <c r="DW120" s="191"/>
      <c r="DX120" s="191"/>
      <c r="DY120" s="191"/>
      <c r="DZ120" s="191"/>
      <c r="EA120" s="191"/>
      <c r="EB120" s="191"/>
      <c r="EC120" s="191"/>
      <c r="ED120" s="191"/>
      <c r="EE120" s="191"/>
      <c r="EF120" s="191"/>
      <c r="EG120" s="191"/>
      <c r="EH120" s="191"/>
      <c r="EI120" s="191"/>
      <c r="EJ120" s="191"/>
      <c r="EK120" s="191"/>
      <c r="EL120" s="191"/>
      <c r="EM120" s="191"/>
      <c r="EN120" s="191"/>
      <c r="EO120" s="191"/>
      <c r="EP120" s="191"/>
      <c r="EQ120" s="191"/>
      <c r="ER120" s="191"/>
      <c r="ES120" s="191"/>
      <c r="ET120" s="191"/>
      <c r="EU120" s="191"/>
      <c r="EV120" s="191"/>
      <c r="EW120" s="191"/>
      <c r="EX120" s="191"/>
      <c r="EY120" s="191"/>
      <c r="EZ120" s="191"/>
      <c r="FA120" s="191"/>
      <c r="FB120" s="191"/>
      <c r="FC120" s="191"/>
      <c r="FD120" s="191"/>
      <c r="FE120" s="191"/>
      <c r="FF120" s="191"/>
      <c r="FG120" s="191"/>
    </row>
    <row r="121" spans="1:182" ht="6.75" customHeight="1">
      <c r="A121" s="543"/>
      <c r="B121" s="531"/>
      <c r="C121" s="531"/>
      <c r="D121" s="531"/>
      <c r="E121" s="532"/>
      <c r="F121" s="543"/>
      <c r="G121" s="531"/>
      <c r="H121" s="531"/>
      <c r="I121" s="531"/>
      <c r="J121" s="531"/>
      <c r="K121" s="531"/>
      <c r="L121" s="531"/>
      <c r="M121" s="531"/>
      <c r="N121" s="531"/>
      <c r="O121" s="531"/>
      <c r="P121" s="531"/>
      <c r="Q121" s="531"/>
      <c r="R121" s="531"/>
      <c r="S121" s="531"/>
      <c r="T121" s="531"/>
      <c r="U121" s="531"/>
      <c r="V121" s="531"/>
      <c r="W121" s="531"/>
      <c r="X121" s="531"/>
      <c r="Y121" s="531"/>
      <c r="Z121" s="531"/>
      <c r="AA121" s="531"/>
      <c r="AB121" s="531"/>
      <c r="AC121" s="531"/>
      <c r="AD121" s="531"/>
      <c r="AE121" s="531"/>
      <c r="AF121" s="531"/>
      <c r="AG121" s="531"/>
      <c r="AH121" s="531"/>
      <c r="AI121" s="531"/>
      <c r="AJ121" s="531"/>
      <c r="AK121" s="531"/>
      <c r="AL121" s="531"/>
      <c r="AM121" s="531"/>
      <c r="AN121" s="531"/>
      <c r="AO121" s="532"/>
      <c r="AP121" s="191"/>
      <c r="AQ121" s="191"/>
      <c r="AR121" s="191"/>
      <c r="AS121" s="191"/>
      <c r="AT121" s="191"/>
      <c r="AU121" s="191"/>
      <c r="AV121" s="191"/>
      <c r="AW121" s="191"/>
      <c r="AX121" s="191"/>
      <c r="AY121" s="191"/>
      <c r="AZ121" s="191"/>
      <c r="BA121" s="191"/>
      <c r="BB121" s="191"/>
      <c r="BC121" s="191"/>
      <c r="BD121" s="191"/>
      <c r="BE121" s="191"/>
      <c r="BF121" s="191"/>
      <c r="BG121" s="191"/>
      <c r="BH121" s="191"/>
      <c r="BI121" s="191"/>
      <c r="BJ121" s="191"/>
      <c r="BK121" s="191"/>
      <c r="BL121" s="191"/>
      <c r="BM121" s="191"/>
      <c r="BN121" s="191"/>
      <c r="BO121" s="191"/>
      <c r="BP121" s="191"/>
      <c r="BQ121" s="191"/>
      <c r="BR121" s="191"/>
      <c r="BS121" s="191"/>
      <c r="BT121" s="191"/>
      <c r="BU121" s="191"/>
      <c r="BV121" s="191"/>
      <c r="BW121" s="191"/>
      <c r="BX121" s="191"/>
      <c r="BY121" s="191"/>
      <c r="BZ121" s="191"/>
      <c r="CA121" s="191"/>
      <c r="CB121" s="191"/>
      <c r="CC121" s="191"/>
      <c r="CD121" s="191"/>
      <c r="CE121" s="191"/>
      <c r="CF121" s="191"/>
      <c r="CG121" s="191"/>
      <c r="CH121" s="191"/>
      <c r="CI121" s="191"/>
      <c r="CJ121" s="191"/>
      <c r="CK121" s="191"/>
      <c r="CL121" s="191"/>
      <c r="CM121" s="191"/>
      <c r="CN121" s="191"/>
      <c r="CO121" s="191"/>
      <c r="CP121" s="191"/>
      <c r="CQ121" s="191"/>
      <c r="CR121" s="191"/>
      <c r="CS121" s="191"/>
      <c r="CT121" s="191"/>
      <c r="CU121" s="191"/>
      <c r="CV121" s="191"/>
      <c r="CW121" s="191"/>
      <c r="CX121" s="191"/>
      <c r="CY121" s="191"/>
      <c r="CZ121" s="191"/>
      <c r="DA121" s="191"/>
      <c r="DB121" s="191"/>
      <c r="DC121" s="191"/>
      <c r="DD121" s="191"/>
      <c r="DE121" s="191"/>
      <c r="DF121" s="191"/>
      <c r="DG121" s="191"/>
      <c r="DH121" s="191"/>
      <c r="DI121" s="191"/>
      <c r="DJ121" s="191"/>
      <c r="DK121" s="191"/>
      <c r="DL121" s="191"/>
      <c r="DM121" s="191"/>
      <c r="DN121" s="191"/>
      <c r="DO121" s="191"/>
      <c r="DP121" s="191"/>
      <c r="DQ121" s="191"/>
      <c r="DR121" s="191"/>
      <c r="DS121" s="191"/>
      <c r="DT121" s="191"/>
      <c r="DU121" s="191"/>
      <c r="DV121" s="191"/>
      <c r="DW121" s="191"/>
      <c r="DX121" s="191"/>
      <c r="DY121" s="191"/>
      <c r="DZ121" s="191"/>
      <c r="EA121" s="191"/>
      <c r="EB121" s="191"/>
      <c r="EC121" s="191"/>
      <c r="ED121" s="191"/>
      <c r="EE121" s="191"/>
      <c r="EF121" s="191"/>
      <c r="EG121" s="191"/>
      <c r="EH121" s="191"/>
      <c r="EI121" s="191"/>
      <c r="EJ121" s="191"/>
      <c r="EK121" s="191"/>
      <c r="EL121" s="191"/>
      <c r="EM121" s="191"/>
      <c r="EN121" s="191"/>
      <c r="EO121" s="191"/>
      <c r="EP121" s="191"/>
      <c r="EQ121" s="191"/>
      <c r="ER121" s="191"/>
      <c r="ES121" s="191"/>
      <c r="ET121" s="191"/>
      <c r="EU121" s="191"/>
      <c r="EV121" s="191"/>
      <c r="EW121" s="191"/>
      <c r="EX121" s="191"/>
      <c r="EY121" s="191"/>
      <c r="EZ121" s="191"/>
      <c r="FA121" s="191"/>
      <c r="FB121" s="191"/>
      <c r="FC121" s="191"/>
      <c r="FD121" s="191"/>
      <c r="FE121" s="191"/>
      <c r="FF121" s="191"/>
      <c r="FG121" s="191"/>
    </row>
    <row r="122" spans="1:182" ht="18" customHeight="1">
      <c r="A122" s="621" t="s">
        <v>13</v>
      </c>
      <c r="B122" s="531"/>
      <c r="C122" s="611" t="s">
        <v>15</v>
      </c>
      <c r="D122" s="531"/>
      <c r="E122" s="532"/>
      <c r="F122" s="543"/>
      <c r="G122" s="531"/>
      <c r="H122" s="531"/>
      <c r="I122" s="531"/>
      <c r="J122" s="531"/>
      <c r="K122" s="531"/>
      <c r="L122" s="531"/>
      <c r="M122" s="531"/>
      <c r="N122" s="531"/>
      <c r="O122" s="531"/>
      <c r="P122" s="531"/>
      <c r="Q122" s="531"/>
      <c r="R122" s="531"/>
      <c r="S122" s="531"/>
      <c r="T122" s="531"/>
      <c r="U122" s="531"/>
      <c r="V122" s="531"/>
      <c r="W122" s="531"/>
      <c r="X122" s="531"/>
      <c r="Y122" s="531"/>
      <c r="Z122" s="531"/>
      <c r="AA122" s="531"/>
      <c r="AB122" s="531"/>
      <c r="AC122" s="531"/>
      <c r="AD122" s="531"/>
      <c r="AE122" s="531"/>
      <c r="AF122" s="531"/>
      <c r="AG122" s="531"/>
      <c r="AH122" s="531"/>
      <c r="AI122" s="531"/>
      <c r="AJ122" s="531"/>
      <c r="AK122" s="531"/>
      <c r="AL122" s="531"/>
      <c r="AM122" s="531"/>
      <c r="AN122" s="531"/>
      <c r="AO122" s="532"/>
      <c r="AP122" s="191"/>
      <c r="AQ122" s="191"/>
      <c r="AR122" s="191"/>
      <c r="AS122" s="191"/>
      <c r="AT122" s="191"/>
      <c r="AU122" s="191"/>
      <c r="AV122" s="191"/>
      <c r="AW122" s="191"/>
      <c r="AX122" s="191"/>
      <c r="AY122" s="191"/>
      <c r="AZ122" s="191"/>
      <c r="BA122" s="191"/>
      <c r="BB122" s="191"/>
      <c r="BC122" s="191"/>
      <c r="BD122" s="191"/>
      <c r="BE122" s="191"/>
      <c r="BF122" s="191"/>
      <c r="BG122" s="191"/>
      <c r="BH122" s="191"/>
      <c r="BI122" s="191"/>
      <c r="BJ122" s="191"/>
      <c r="BK122" s="191"/>
      <c r="BL122" s="191"/>
      <c r="BM122" s="191"/>
      <c r="BN122" s="191"/>
      <c r="BO122" s="191"/>
      <c r="BP122" s="191"/>
      <c r="BQ122" s="191"/>
      <c r="BR122" s="191"/>
      <c r="BS122" s="191"/>
      <c r="BT122" s="191"/>
      <c r="BU122" s="191"/>
      <c r="BV122" s="191"/>
      <c r="BW122" s="191"/>
      <c r="BX122" s="191"/>
      <c r="BY122" s="191"/>
      <c r="BZ122" s="191"/>
      <c r="CA122" s="191"/>
      <c r="CB122" s="191"/>
      <c r="CC122" s="191"/>
      <c r="CD122" s="191"/>
      <c r="CE122" s="191"/>
      <c r="CF122" s="191"/>
      <c r="CG122" s="191"/>
      <c r="CH122" s="191"/>
      <c r="CI122" s="191"/>
      <c r="CJ122" s="191"/>
      <c r="CK122" s="191"/>
      <c r="CL122" s="191"/>
      <c r="CM122" s="191"/>
      <c r="CN122" s="191"/>
      <c r="CO122" s="191"/>
      <c r="CP122" s="191"/>
      <c r="CQ122" s="191"/>
      <c r="CR122" s="191"/>
      <c r="CS122" s="191"/>
      <c r="CT122" s="191"/>
      <c r="CU122" s="191"/>
      <c r="CV122" s="191"/>
      <c r="CW122" s="191"/>
      <c r="CX122" s="191"/>
      <c r="CY122" s="191"/>
      <c r="CZ122" s="191"/>
      <c r="DA122" s="191"/>
      <c r="DB122" s="191"/>
      <c r="DC122" s="191"/>
      <c r="DD122" s="191"/>
      <c r="DE122" s="191"/>
      <c r="DF122" s="191"/>
      <c r="DG122" s="191"/>
      <c r="DH122" s="191"/>
      <c r="DI122" s="191"/>
      <c r="DJ122" s="191"/>
      <c r="DK122" s="191"/>
      <c r="DL122" s="191"/>
      <c r="DM122" s="191"/>
      <c r="DN122" s="191"/>
      <c r="DO122" s="191"/>
      <c r="DP122" s="191"/>
      <c r="DQ122" s="191"/>
      <c r="DR122" s="191"/>
      <c r="DS122" s="191"/>
      <c r="DT122" s="191"/>
      <c r="DU122" s="191"/>
      <c r="DV122" s="191"/>
      <c r="DW122" s="191"/>
      <c r="DX122" s="191"/>
      <c r="DY122" s="191"/>
      <c r="DZ122" s="191"/>
      <c r="EA122" s="191"/>
      <c r="EB122" s="191"/>
      <c r="EC122" s="191"/>
      <c r="ED122" s="191"/>
      <c r="EE122" s="191"/>
      <c r="EF122" s="191"/>
      <c r="EG122" s="191"/>
      <c r="EH122" s="191"/>
      <c r="EI122" s="191"/>
      <c r="EJ122" s="191"/>
      <c r="EK122" s="191"/>
      <c r="EL122" s="191"/>
      <c r="EM122" s="191"/>
      <c r="EN122" s="191"/>
      <c r="EO122" s="191"/>
      <c r="EP122" s="191"/>
      <c r="EQ122" s="191"/>
      <c r="ER122" s="191"/>
      <c r="ES122" s="191"/>
      <c r="ET122" s="191"/>
      <c r="EU122" s="191"/>
      <c r="EV122" s="191"/>
      <c r="EW122" s="191"/>
      <c r="EX122" s="191"/>
      <c r="EY122" s="191"/>
      <c r="EZ122" s="191"/>
      <c r="FA122" s="191"/>
      <c r="FB122" s="191"/>
      <c r="FC122" s="191"/>
      <c r="FD122" s="191"/>
      <c r="FE122" s="191"/>
      <c r="FF122" s="191"/>
      <c r="FG122" s="191"/>
    </row>
    <row r="123" spans="1:182" ht="9.75" customHeight="1">
      <c r="A123" s="543"/>
      <c r="B123" s="531"/>
      <c r="C123" s="531"/>
      <c r="D123" s="531"/>
      <c r="E123" s="532"/>
      <c r="F123" s="556"/>
      <c r="G123" s="531"/>
      <c r="H123" s="531"/>
      <c r="I123" s="531"/>
      <c r="J123" s="531"/>
      <c r="K123" s="531"/>
      <c r="L123" s="531"/>
      <c r="M123" s="531"/>
      <c r="N123" s="531"/>
      <c r="O123" s="531"/>
      <c r="P123" s="531"/>
      <c r="Q123" s="531"/>
      <c r="R123" s="531"/>
      <c r="S123" s="531"/>
      <c r="T123" s="531"/>
      <c r="U123" s="531"/>
      <c r="V123" s="531"/>
      <c r="W123" s="531"/>
      <c r="X123" s="531"/>
      <c r="Y123" s="531"/>
      <c r="Z123" s="531"/>
      <c r="AA123" s="531"/>
      <c r="AB123" s="531"/>
      <c r="AC123" s="531"/>
      <c r="AD123" s="531"/>
      <c r="AE123" s="531"/>
      <c r="AF123" s="531"/>
      <c r="AG123" s="531"/>
      <c r="AH123" s="531"/>
      <c r="AI123" s="531"/>
      <c r="AJ123" s="531"/>
      <c r="AK123" s="531"/>
      <c r="AL123" s="531"/>
      <c r="AM123" s="531"/>
      <c r="AN123" s="531"/>
      <c r="AO123" s="532"/>
      <c r="AP123" s="191"/>
      <c r="AQ123" s="191"/>
      <c r="AR123" s="191"/>
      <c r="AS123" s="191"/>
      <c r="AT123" s="191"/>
      <c r="AU123" s="191"/>
      <c r="AV123" s="191"/>
      <c r="AW123" s="191"/>
      <c r="AX123" s="191"/>
      <c r="AY123" s="191"/>
      <c r="AZ123" s="191"/>
      <c r="BA123" s="191"/>
      <c r="BB123" s="191"/>
      <c r="BC123" s="191"/>
      <c r="BD123" s="191"/>
      <c r="BE123" s="191"/>
      <c r="BF123" s="191"/>
      <c r="BG123" s="191"/>
      <c r="BH123" s="191"/>
      <c r="BI123" s="191"/>
      <c r="BJ123" s="191"/>
      <c r="BK123" s="191"/>
      <c r="BL123" s="191"/>
      <c r="BM123" s="191"/>
      <c r="BN123" s="191"/>
      <c r="BO123" s="191"/>
      <c r="BP123" s="191"/>
      <c r="BQ123" s="191"/>
      <c r="BR123" s="191"/>
      <c r="BS123" s="191"/>
      <c r="BT123" s="191"/>
      <c r="BU123" s="191"/>
      <c r="BV123" s="191"/>
      <c r="BW123" s="191"/>
      <c r="BX123" s="191"/>
      <c r="BY123" s="191"/>
      <c r="BZ123" s="191"/>
      <c r="CA123" s="191"/>
      <c r="CB123" s="191"/>
      <c r="CC123" s="191"/>
      <c r="CD123" s="191"/>
      <c r="CE123" s="191"/>
      <c r="CF123" s="191"/>
      <c r="CG123" s="191"/>
      <c r="CH123" s="191"/>
      <c r="CI123" s="191"/>
      <c r="CJ123" s="191"/>
      <c r="CK123" s="191"/>
      <c r="CL123" s="191"/>
      <c r="CM123" s="191"/>
      <c r="CN123" s="191"/>
      <c r="CO123" s="191"/>
      <c r="CP123" s="191"/>
      <c r="CQ123" s="191"/>
      <c r="CR123" s="191"/>
      <c r="CS123" s="191"/>
      <c r="CT123" s="191"/>
      <c r="CU123" s="191"/>
      <c r="CV123" s="191"/>
      <c r="CW123" s="191"/>
      <c r="CX123" s="191"/>
      <c r="CY123" s="191"/>
      <c r="CZ123" s="191"/>
      <c r="DA123" s="191"/>
      <c r="DB123" s="191"/>
      <c r="DC123" s="191"/>
      <c r="DD123" s="191"/>
      <c r="DE123" s="191"/>
      <c r="DF123" s="191"/>
      <c r="DG123" s="191"/>
      <c r="DH123" s="191"/>
      <c r="DI123" s="191"/>
      <c r="DJ123" s="191"/>
      <c r="DK123" s="191"/>
      <c r="DL123" s="191"/>
      <c r="DM123" s="191"/>
      <c r="DN123" s="191"/>
      <c r="DO123" s="191"/>
      <c r="DP123" s="191"/>
      <c r="DQ123" s="191"/>
      <c r="DR123" s="191"/>
      <c r="DS123" s="191"/>
      <c r="DT123" s="191"/>
      <c r="DU123" s="191"/>
      <c r="DV123" s="191"/>
      <c r="DW123" s="191"/>
      <c r="DX123" s="191"/>
      <c r="DY123" s="191"/>
      <c r="DZ123" s="191"/>
      <c r="EA123" s="191"/>
      <c r="EB123" s="191"/>
      <c r="EC123" s="191"/>
      <c r="ED123" s="191"/>
      <c r="EE123" s="191"/>
      <c r="EF123" s="191"/>
      <c r="EG123" s="191"/>
      <c r="EH123" s="191"/>
      <c r="EI123" s="191"/>
      <c r="EJ123" s="191"/>
      <c r="EK123" s="191"/>
      <c r="EL123" s="191"/>
      <c r="EM123" s="191"/>
      <c r="EN123" s="191"/>
      <c r="EO123" s="191"/>
      <c r="EP123" s="191"/>
      <c r="EQ123" s="191"/>
      <c r="ER123" s="191"/>
      <c r="ES123" s="191"/>
      <c r="ET123" s="191"/>
      <c r="EU123" s="191"/>
      <c r="EV123" s="191"/>
      <c r="EW123" s="191"/>
      <c r="EX123" s="191"/>
      <c r="EY123" s="191"/>
      <c r="EZ123" s="191"/>
      <c r="FA123" s="191"/>
      <c r="FB123" s="191"/>
      <c r="FC123" s="191"/>
      <c r="FD123" s="191"/>
      <c r="FE123" s="191"/>
      <c r="FF123" s="191"/>
      <c r="FG123" s="191"/>
    </row>
    <row r="124" spans="1:182" ht="33.75" customHeight="1">
      <c r="A124" s="543"/>
      <c r="B124" s="531"/>
      <c r="C124" s="531"/>
      <c r="D124" s="531"/>
      <c r="E124" s="532"/>
      <c r="F124" s="556" t="s">
        <v>1081</v>
      </c>
      <c r="G124" s="531"/>
      <c r="H124" s="531"/>
      <c r="I124" s="531"/>
      <c r="J124" s="531"/>
      <c r="K124" s="531"/>
      <c r="L124" s="531"/>
      <c r="M124" s="531"/>
      <c r="N124" s="531"/>
      <c r="O124" s="531"/>
      <c r="P124" s="531"/>
      <c r="Q124" s="531"/>
      <c r="R124" s="531"/>
      <c r="S124" s="531"/>
      <c r="T124" s="531"/>
      <c r="U124" s="531"/>
      <c r="V124" s="531"/>
      <c r="W124" s="531"/>
      <c r="X124" s="531"/>
      <c r="Y124" s="531"/>
      <c r="Z124" s="531"/>
      <c r="AA124" s="531"/>
      <c r="AB124" s="531"/>
      <c r="AC124" s="531"/>
      <c r="AD124" s="531"/>
      <c r="AE124" s="531"/>
      <c r="AF124" s="531"/>
      <c r="AG124" s="531"/>
      <c r="AH124" s="531"/>
      <c r="AI124" s="531"/>
      <c r="AJ124" s="531"/>
      <c r="AK124" s="531"/>
      <c r="AL124" s="531"/>
      <c r="AM124" s="531"/>
      <c r="AN124" s="531"/>
      <c r="AO124" s="532"/>
      <c r="AP124" s="191"/>
      <c r="AQ124" s="191"/>
      <c r="AR124" s="191"/>
      <c r="AS124" s="191"/>
      <c r="AT124" s="191"/>
      <c r="AU124" s="191"/>
      <c r="AV124" s="191"/>
      <c r="AW124" s="191"/>
      <c r="AX124" s="191"/>
      <c r="AY124" s="191"/>
      <c r="AZ124" s="191"/>
      <c r="BA124" s="191"/>
      <c r="BB124" s="191"/>
      <c r="BC124" s="191"/>
      <c r="BD124" s="191"/>
      <c r="BE124" s="191"/>
      <c r="BF124" s="191"/>
      <c r="BG124" s="191"/>
      <c r="BH124" s="191"/>
      <c r="BI124" s="191"/>
      <c r="BJ124" s="191"/>
      <c r="BK124" s="191"/>
      <c r="BL124" s="191"/>
      <c r="BM124" s="191"/>
      <c r="BN124" s="191"/>
      <c r="BO124" s="191"/>
      <c r="BP124" s="191"/>
      <c r="BQ124" s="191"/>
      <c r="BR124" s="191"/>
      <c r="BS124" s="191"/>
      <c r="BT124" s="191"/>
      <c r="BU124" s="191"/>
      <c r="BV124" s="191"/>
      <c r="BW124" s="191"/>
      <c r="BX124" s="191"/>
      <c r="BY124" s="191"/>
      <c r="BZ124" s="191"/>
      <c r="CA124" s="191"/>
      <c r="CB124" s="191"/>
      <c r="CC124" s="191"/>
      <c r="CD124" s="191"/>
      <c r="CE124" s="191"/>
      <c r="CF124" s="191"/>
      <c r="CG124" s="191"/>
      <c r="CH124" s="191"/>
      <c r="CI124" s="191"/>
      <c r="CJ124" s="191"/>
      <c r="CK124" s="191"/>
      <c r="CL124" s="191"/>
      <c r="CM124" s="191"/>
      <c r="CN124" s="191"/>
      <c r="CO124" s="191"/>
      <c r="CP124" s="191"/>
      <c r="CQ124" s="191"/>
      <c r="CR124" s="191"/>
      <c r="CS124" s="191"/>
      <c r="CT124" s="191"/>
      <c r="CU124" s="191"/>
      <c r="CV124" s="191"/>
      <c r="CW124" s="191"/>
      <c r="CX124" s="191"/>
      <c r="CY124" s="191"/>
      <c r="CZ124" s="191"/>
      <c r="DA124" s="191"/>
      <c r="DB124" s="191"/>
      <c r="DC124" s="191"/>
      <c r="DD124" s="191"/>
      <c r="DE124" s="191"/>
      <c r="DF124" s="191"/>
      <c r="DG124" s="191"/>
      <c r="DH124" s="191"/>
      <c r="DI124" s="191"/>
      <c r="DJ124" s="191"/>
      <c r="DK124" s="191"/>
      <c r="DL124" s="191"/>
      <c r="DM124" s="191"/>
      <c r="DN124" s="191"/>
      <c r="DO124" s="191"/>
      <c r="DP124" s="191"/>
      <c r="DQ124" s="191"/>
      <c r="DR124" s="191"/>
      <c r="DS124" s="191"/>
      <c r="DT124" s="191"/>
      <c r="DU124" s="191"/>
      <c r="DV124" s="191"/>
      <c r="DW124" s="191"/>
      <c r="DX124" s="191"/>
      <c r="DY124" s="191"/>
      <c r="DZ124" s="191"/>
      <c r="EA124" s="191"/>
      <c r="EB124" s="191"/>
      <c r="EC124" s="191"/>
      <c r="ED124" s="191"/>
      <c r="EE124" s="191"/>
      <c r="EF124" s="191"/>
      <c r="EG124" s="191"/>
      <c r="EH124" s="191"/>
      <c r="EI124" s="191"/>
      <c r="EJ124" s="191"/>
      <c r="EK124" s="191"/>
      <c r="EL124" s="191"/>
      <c r="EM124" s="191"/>
      <c r="EN124" s="191"/>
      <c r="EO124" s="191"/>
      <c r="EP124" s="191"/>
      <c r="EQ124" s="191"/>
      <c r="ER124" s="191"/>
      <c r="ES124" s="191"/>
      <c r="ET124" s="191"/>
      <c r="EU124" s="191"/>
      <c r="EV124" s="191"/>
      <c r="EW124" s="191"/>
      <c r="EX124" s="191"/>
      <c r="EY124" s="191"/>
      <c r="EZ124" s="191"/>
      <c r="FA124" s="191"/>
      <c r="FB124" s="191"/>
      <c r="FC124" s="191"/>
      <c r="FD124" s="191"/>
      <c r="FE124" s="191"/>
      <c r="FF124" s="191"/>
      <c r="FG124" s="191"/>
      <c r="FQ124" s="191"/>
      <c r="FR124" s="191"/>
      <c r="FS124" s="191"/>
      <c r="FT124" s="191"/>
      <c r="FU124" s="191"/>
      <c r="FV124" s="191"/>
      <c r="FW124" s="191"/>
      <c r="FX124" s="191"/>
      <c r="FY124" s="191"/>
      <c r="FZ124" s="191"/>
    </row>
    <row r="125" spans="1:182" ht="9" customHeight="1">
      <c r="A125" s="618"/>
      <c r="B125" s="531"/>
      <c r="C125" s="531"/>
      <c r="D125" s="531"/>
      <c r="E125" s="531"/>
      <c r="F125" s="543"/>
      <c r="G125" s="531"/>
      <c r="H125" s="531"/>
      <c r="I125" s="531"/>
      <c r="J125" s="531"/>
      <c r="K125" s="531"/>
      <c r="L125" s="531"/>
      <c r="M125" s="531"/>
      <c r="N125" s="531"/>
      <c r="O125" s="531"/>
      <c r="P125" s="531"/>
      <c r="Q125" s="531"/>
      <c r="R125" s="531"/>
      <c r="S125" s="531"/>
      <c r="T125" s="531"/>
      <c r="U125" s="531"/>
      <c r="V125" s="531"/>
      <c r="W125" s="531"/>
      <c r="X125" s="531"/>
      <c r="Y125" s="531"/>
      <c r="Z125" s="531"/>
      <c r="AA125" s="531"/>
      <c r="AB125" s="531"/>
      <c r="AC125" s="531"/>
      <c r="AD125" s="531"/>
      <c r="AE125" s="531"/>
      <c r="AF125" s="531"/>
      <c r="AG125" s="531"/>
      <c r="AH125" s="531"/>
      <c r="AI125" s="531"/>
      <c r="AJ125" s="531"/>
      <c r="AK125" s="531"/>
      <c r="AL125" s="531"/>
      <c r="AM125" s="531"/>
      <c r="AN125" s="531"/>
      <c r="AO125" s="532"/>
      <c r="AP125" s="191"/>
      <c r="AQ125" s="191"/>
      <c r="AR125" s="191"/>
      <c r="AS125" s="191"/>
      <c r="AT125" s="191"/>
      <c r="AU125" s="191"/>
      <c r="AV125" s="191"/>
      <c r="AW125" s="191"/>
      <c r="AX125" s="191"/>
      <c r="AY125" s="191"/>
      <c r="AZ125" s="191"/>
      <c r="BA125" s="191"/>
      <c r="BB125" s="191"/>
      <c r="BC125" s="191"/>
      <c r="BD125" s="191"/>
      <c r="BE125" s="191"/>
      <c r="BF125" s="191"/>
      <c r="BG125" s="191"/>
      <c r="BH125" s="191"/>
      <c r="BI125" s="191"/>
      <c r="BJ125" s="191"/>
      <c r="BK125" s="191"/>
      <c r="BL125" s="191"/>
      <c r="BM125" s="191"/>
      <c r="BN125" s="191"/>
      <c r="BO125" s="191"/>
      <c r="BP125" s="191"/>
      <c r="BQ125" s="191"/>
      <c r="BR125" s="191"/>
      <c r="BS125" s="191"/>
      <c r="BT125" s="191"/>
      <c r="BU125" s="191"/>
      <c r="BV125" s="191"/>
      <c r="BW125" s="191"/>
      <c r="BX125" s="191"/>
      <c r="BY125" s="191"/>
      <c r="BZ125" s="191"/>
      <c r="CA125" s="191"/>
      <c r="CB125" s="191"/>
      <c r="CC125" s="191"/>
      <c r="CD125" s="191"/>
      <c r="CE125" s="191"/>
      <c r="CF125" s="191"/>
      <c r="CG125" s="191"/>
      <c r="CH125" s="191"/>
      <c r="CI125" s="191"/>
      <c r="CJ125" s="191"/>
      <c r="CK125" s="191"/>
      <c r="CL125" s="191"/>
      <c r="CM125" s="191"/>
      <c r="CN125" s="191"/>
      <c r="CO125" s="191"/>
      <c r="CP125" s="191"/>
      <c r="CQ125" s="191"/>
      <c r="CR125" s="191"/>
      <c r="CS125" s="191"/>
      <c r="CT125" s="191"/>
      <c r="CU125" s="191"/>
      <c r="CV125" s="191"/>
      <c r="CW125" s="191"/>
      <c r="CX125" s="191"/>
      <c r="CY125" s="191"/>
      <c r="CZ125" s="191"/>
      <c r="DA125" s="191"/>
      <c r="DB125" s="191"/>
      <c r="DC125" s="191"/>
      <c r="DD125" s="191"/>
      <c r="DE125" s="191"/>
      <c r="DF125" s="191"/>
      <c r="DG125" s="191"/>
      <c r="DH125" s="191"/>
      <c r="DI125" s="191"/>
      <c r="DJ125" s="191"/>
      <c r="DK125" s="191"/>
      <c r="DL125" s="191"/>
      <c r="DM125" s="191"/>
      <c r="DN125" s="191"/>
      <c r="DO125" s="191"/>
      <c r="DP125" s="191"/>
      <c r="DQ125" s="191"/>
      <c r="DR125" s="191"/>
      <c r="DS125" s="191"/>
      <c r="DT125" s="191"/>
      <c r="DU125" s="191"/>
      <c r="DV125" s="191"/>
      <c r="DW125" s="191"/>
      <c r="DX125" s="191"/>
      <c r="DY125" s="191"/>
      <c r="DZ125" s="191"/>
      <c r="EA125" s="191"/>
      <c r="EB125" s="191"/>
      <c r="EC125" s="191"/>
      <c r="ED125" s="191"/>
      <c r="EE125" s="191"/>
      <c r="EF125" s="191"/>
      <c r="EG125" s="191"/>
      <c r="EH125" s="191"/>
      <c r="EI125" s="191"/>
      <c r="EJ125" s="191"/>
      <c r="EK125" s="191"/>
      <c r="EL125" s="191"/>
      <c r="EM125" s="191"/>
      <c r="EN125" s="191"/>
      <c r="EO125" s="191"/>
      <c r="EP125" s="191"/>
      <c r="EQ125" s="191"/>
      <c r="ER125" s="191"/>
      <c r="ES125" s="191"/>
      <c r="ET125" s="191"/>
      <c r="EU125" s="191"/>
      <c r="EV125" s="191"/>
      <c r="EW125" s="191"/>
      <c r="EX125" s="191"/>
      <c r="EY125" s="191"/>
      <c r="EZ125" s="191"/>
      <c r="FA125" s="191"/>
      <c r="FB125" s="191"/>
      <c r="FC125" s="191"/>
      <c r="FD125" s="191"/>
      <c r="FE125" s="191"/>
      <c r="FF125" s="191"/>
      <c r="FG125" s="191"/>
      <c r="FQ125" s="191"/>
      <c r="FR125" s="191"/>
      <c r="FS125" s="191"/>
      <c r="FT125" s="191"/>
      <c r="FU125" s="191"/>
      <c r="FV125" s="191"/>
      <c r="FW125" s="191"/>
      <c r="FX125" s="191"/>
      <c r="FY125" s="191"/>
      <c r="FZ125" s="191"/>
    </row>
    <row r="126" spans="1:182" ht="23.25" customHeight="1">
      <c r="A126" s="622" t="s">
        <v>352</v>
      </c>
      <c r="B126" s="531"/>
      <c r="C126" s="623" t="s">
        <v>353</v>
      </c>
      <c r="D126" s="531"/>
      <c r="E126" s="532"/>
      <c r="F126" s="543"/>
      <c r="G126" s="531"/>
      <c r="H126" s="531"/>
      <c r="I126" s="531"/>
      <c r="J126" s="531"/>
      <c r="K126" s="531"/>
      <c r="L126" s="531"/>
      <c r="M126" s="531"/>
      <c r="N126" s="531"/>
      <c r="O126" s="531"/>
      <c r="P126" s="531"/>
      <c r="Q126" s="531"/>
      <c r="R126" s="531"/>
      <c r="S126" s="531"/>
      <c r="T126" s="531"/>
      <c r="U126" s="531"/>
      <c r="V126" s="531"/>
      <c r="W126" s="531"/>
      <c r="X126" s="531"/>
      <c r="Y126" s="531"/>
      <c r="Z126" s="531"/>
      <c r="AA126" s="531"/>
      <c r="AB126" s="531"/>
      <c r="AC126" s="531"/>
      <c r="AD126" s="531"/>
      <c r="AE126" s="531"/>
      <c r="AF126" s="531"/>
      <c r="AG126" s="531"/>
      <c r="AH126" s="531"/>
      <c r="AI126" s="531"/>
      <c r="AJ126" s="531"/>
      <c r="AK126" s="531"/>
      <c r="AL126" s="531"/>
      <c r="AM126" s="531"/>
      <c r="AN126" s="531"/>
      <c r="AO126" s="532"/>
      <c r="AP126" s="191"/>
      <c r="AQ126" s="191"/>
      <c r="AR126" s="191"/>
      <c r="AS126" s="191"/>
      <c r="AT126" s="191"/>
      <c r="AU126" s="191"/>
      <c r="AV126" s="191"/>
      <c r="AW126" s="191"/>
      <c r="AX126" s="191"/>
      <c r="AY126" s="191"/>
      <c r="AZ126" s="191"/>
      <c r="BA126" s="191"/>
      <c r="BB126" s="191"/>
      <c r="BC126" s="191"/>
      <c r="BD126" s="191"/>
      <c r="BE126" s="191"/>
      <c r="BF126" s="191"/>
      <c r="BG126" s="191"/>
      <c r="BH126" s="191"/>
      <c r="BI126" s="191"/>
      <c r="BJ126" s="191"/>
      <c r="BK126" s="191"/>
      <c r="BL126" s="191"/>
      <c r="BM126" s="191"/>
      <c r="BN126" s="191"/>
      <c r="BO126" s="191"/>
      <c r="BP126" s="191"/>
      <c r="BQ126" s="191"/>
      <c r="BR126" s="191"/>
      <c r="BS126" s="191"/>
      <c r="BT126" s="191"/>
      <c r="BU126" s="191"/>
      <c r="BV126" s="191"/>
      <c r="BW126" s="191"/>
      <c r="BX126" s="191"/>
      <c r="BY126" s="191"/>
      <c r="BZ126" s="191"/>
      <c r="CA126" s="191"/>
      <c r="CB126" s="191"/>
      <c r="CC126" s="191"/>
      <c r="CD126" s="191"/>
      <c r="CE126" s="191"/>
      <c r="CF126" s="191"/>
      <c r="CG126" s="191"/>
      <c r="CH126" s="191"/>
      <c r="CI126" s="191"/>
      <c r="CJ126" s="191"/>
      <c r="CK126" s="191"/>
      <c r="CL126" s="191"/>
      <c r="CM126" s="191"/>
      <c r="CN126" s="191"/>
      <c r="CO126" s="191"/>
      <c r="CP126" s="191"/>
      <c r="CQ126" s="191"/>
      <c r="CR126" s="191"/>
      <c r="CS126" s="191"/>
      <c r="CT126" s="191"/>
      <c r="CU126" s="191"/>
      <c r="CV126" s="191"/>
      <c r="CW126" s="191"/>
      <c r="CX126" s="191"/>
      <c r="CY126" s="191"/>
      <c r="CZ126" s="191"/>
      <c r="DA126" s="191"/>
      <c r="DB126" s="191"/>
      <c r="DC126" s="191"/>
      <c r="DD126" s="191"/>
      <c r="DE126" s="191"/>
      <c r="DF126" s="191"/>
      <c r="DG126" s="191"/>
      <c r="DH126" s="191"/>
      <c r="DI126" s="191"/>
      <c r="DJ126" s="191"/>
      <c r="DK126" s="191"/>
      <c r="DL126" s="191"/>
      <c r="DM126" s="191"/>
      <c r="DN126" s="191"/>
      <c r="DO126" s="191"/>
      <c r="DP126" s="191"/>
      <c r="DQ126" s="191"/>
      <c r="DR126" s="191"/>
      <c r="DS126" s="191"/>
      <c r="DT126" s="191"/>
      <c r="DU126" s="191"/>
      <c r="DV126" s="191"/>
      <c r="DW126" s="191"/>
      <c r="DX126" s="191"/>
      <c r="DY126" s="191"/>
      <c r="DZ126" s="191"/>
      <c r="EA126" s="191"/>
      <c r="EB126" s="191"/>
      <c r="EC126" s="191"/>
      <c r="ED126" s="191"/>
      <c r="EE126" s="191"/>
      <c r="EF126" s="191"/>
      <c r="EG126" s="191"/>
      <c r="EH126" s="191"/>
      <c r="EI126" s="191"/>
      <c r="EJ126" s="191"/>
      <c r="EK126" s="191"/>
      <c r="EL126" s="191"/>
      <c r="EM126" s="191"/>
      <c r="EN126" s="191"/>
      <c r="EO126" s="191"/>
      <c r="EP126" s="191"/>
      <c r="EQ126" s="191"/>
      <c r="ER126" s="191"/>
      <c r="ES126" s="191"/>
      <c r="ET126" s="191"/>
      <c r="EU126" s="191"/>
      <c r="EV126" s="191"/>
      <c r="EW126" s="191"/>
      <c r="EX126" s="191"/>
      <c r="EY126" s="191"/>
      <c r="EZ126" s="191"/>
      <c r="FA126" s="191"/>
      <c r="FB126" s="191"/>
      <c r="FC126" s="191"/>
      <c r="FD126" s="191"/>
      <c r="FE126" s="191"/>
      <c r="FF126" s="191"/>
      <c r="FG126" s="191"/>
      <c r="FQ126" s="191"/>
      <c r="FR126" s="191"/>
      <c r="FS126" s="191"/>
      <c r="FT126" s="191"/>
      <c r="FU126" s="191"/>
      <c r="FV126" s="191"/>
      <c r="FW126" s="191"/>
      <c r="FX126" s="191"/>
      <c r="FY126" s="191"/>
      <c r="FZ126" s="191"/>
    </row>
    <row r="127" spans="1:182" ht="8.25" customHeight="1">
      <c r="A127" s="543"/>
      <c r="B127" s="531"/>
      <c r="C127" s="531"/>
      <c r="D127" s="531"/>
      <c r="E127" s="532"/>
      <c r="F127" s="556"/>
      <c r="G127" s="531"/>
      <c r="H127" s="531"/>
      <c r="I127" s="531"/>
      <c r="J127" s="531"/>
      <c r="K127" s="531"/>
      <c r="L127" s="531"/>
      <c r="M127" s="531"/>
      <c r="N127" s="531"/>
      <c r="O127" s="531"/>
      <c r="P127" s="531"/>
      <c r="Q127" s="531"/>
      <c r="R127" s="531"/>
      <c r="S127" s="531"/>
      <c r="T127" s="531"/>
      <c r="U127" s="531"/>
      <c r="V127" s="531"/>
      <c r="W127" s="531"/>
      <c r="X127" s="531"/>
      <c r="Y127" s="531"/>
      <c r="Z127" s="531"/>
      <c r="AA127" s="531"/>
      <c r="AB127" s="531"/>
      <c r="AC127" s="531"/>
      <c r="AD127" s="531"/>
      <c r="AE127" s="531"/>
      <c r="AF127" s="531"/>
      <c r="AG127" s="531"/>
      <c r="AH127" s="531"/>
      <c r="AI127" s="531"/>
      <c r="AJ127" s="531"/>
      <c r="AK127" s="531"/>
      <c r="AL127" s="531"/>
      <c r="AM127" s="531"/>
      <c r="AN127" s="531"/>
      <c r="AO127" s="532"/>
      <c r="AP127" s="191"/>
      <c r="AQ127" s="191"/>
      <c r="AR127" s="191"/>
      <c r="AS127" s="191"/>
      <c r="AT127" s="191"/>
      <c r="AU127" s="191"/>
      <c r="AV127" s="191"/>
      <c r="AW127" s="191"/>
      <c r="AX127" s="191"/>
      <c r="AY127" s="191"/>
      <c r="AZ127" s="191"/>
      <c r="BA127" s="191"/>
      <c r="BB127" s="191"/>
      <c r="BC127" s="191"/>
      <c r="BD127" s="191"/>
      <c r="BE127" s="191"/>
      <c r="BF127" s="191"/>
      <c r="BG127" s="191"/>
      <c r="BH127" s="191"/>
      <c r="BI127" s="191"/>
      <c r="BJ127" s="191"/>
      <c r="BK127" s="191"/>
      <c r="BL127" s="191"/>
      <c r="BM127" s="191"/>
      <c r="BN127" s="191"/>
      <c r="BO127" s="191"/>
      <c r="BP127" s="191"/>
      <c r="BQ127" s="191"/>
      <c r="BR127" s="191"/>
      <c r="BS127" s="191"/>
      <c r="BT127" s="191"/>
      <c r="BU127" s="191"/>
      <c r="BV127" s="191"/>
      <c r="BW127" s="191"/>
      <c r="BX127" s="191"/>
      <c r="BY127" s="191"/>
      <c r="BZ127" s="191"/>
      <c r="CA127" s="191"/>
      <c r="CB127" s="191"/>
      <c r="CC127" s="191"/>
      <c r="CD127" s="191"/>
      <c r="CE127" s="191"/>
      <c r="CF127" s="191"/>
      <c r="CG127" s="191"/>
      <c r="CH127" s="191"/>
      <c r="CI127" s="191"/>
      <c r="CJ127" s="191"/>
      <c r="CK127" s="191"/>
      <c r="CL127" s="191"/>
      <c r="CM127" s="191"/>
      <c r="CN127" s="191"/>
      <c r="CO127" s="191"/>
      <c r="CP127" s="191"/>
      <c r="CQ127" s="191"/>
      <c r="CR127" s="191"/>
      <c r="CS127" s="191"/>
      <c r="CT127" s="191"/>
      <c r="CU127" s="191"/>
      <c r="CV127" s="191"/>
      <c r="CW127" s="191"/>
      <c r="CX127" s="191"/>
      <c r="CY127" s="191"/>
      <c r="CZ127" s="191"/>
      <c r="DA127" s="191"/>
      <c r="DB127" s="191"/>
      <c r="DC127" s="191"/>
      <c r="DD127" s="191"/>
      <c r="DE127" s="191"/>
      <c r="DF127" s="191"/>
      <c r="DG127" s="191"/>
      <c r="DH127" s="191"/>
      <c r="DI127" s="191"/>
      <c r="DJ127" s="191"/>
      <c r="DK127" s="191"/>
      <c r="DL127" s="191"/>
      <c r="DM127" s="191"/>
      <c r="DN127" s="191"/>
      <c r="DO127" s="191"/>
      <c r="DP127" s="191"/>
      <c r="DQ127" s="191"/>
      <c r="DR127" s="191"/>
      <c r="DS127" s="191"/>
      <c r="DT127" s="191"/>
      <c r="DU127" s="191"/>
      <c r="DV127" s="191"/>
      <c r="DW127" s="191"/>
      <c r="DX127" s="191"/>
      <c r="DY127" s="191"/>
      <c r="DZ127" s="191"/>
      <c r="EA127" s="191"/>
      <c r="EB127" s="191"/>
      <c r="EC127" s="191"/>
      <c r="ED127" s="191"/>
      <c r="EE127" s="191"/>
      <c r="EF127" s="191"/>
      <c r="EG127" s="191"/>
      <c r="EH127" s="191"/>
      <c r="EI127" s="191"/>
      <c r="EJ127" s="191"/>
      <c r="EK127" s="191"/>
      <c r="EL127" s="191"/>
      <c r="EM127" s="191"/>
      <c r="EN127" s="191"/>
      <c r="EO127" s="191"/>
      <c r="EP127" s="191"/>
      <c r="EQ127" s="191"/>
      <c r="ER127" s="191"/>
      <c r="ES127" s="191"/>
      <c r="ET127" s="191"/>
      <c r="EU127" s="191"/>
      <c r="EV127" s="191"/>
      <c r="EW127" s="191"/>
      <c r="EX127" s="191"/>
      <c r="EY127" s="191"/>
      <c r="EZ127" s="191"/>
      <c r="FA127" s="191"/>
      <c r="FB127" s="191"/>
      <c r="FC127" s="191"/>
      <c r="FD127" s="191"/>
      <c r="FE127" s="191"/>
      <c r="FF127" s="191"/>
      <c r="FG127" s="191"/>
      <c r="FQ127" s="191"/>
      <c r="FR127" s="191"/>
      <c r="FS127" s="191"/>
      <c r="FT127" s="191"/>
      <c r="FU127" s="191"/>
      <c r="FV127" s="191"/>
      <c r="FW127" s="191"/>
      <c r="FX127" s="191"/>
      <c r="FY127" s="191"/>
      <c r="FZ127" s="191"/>
    </row>
    <row r="128" spans="1:182" ht="12.75">
      <c r="A128" s="543"/>
      <c r="B128" s="531"/>
      <c r="C128" s="531"/>
      <c r="D128" s="531"/>
      <c r="E128" s="532"/>
      <c r="F128" s="556" t="s">
        <v>1086</v>
      </c>
      <c r="G128" s="531"/>
      <c r="H128" s="531"/>
      <c r="I128" s="531"/>
      <c r="J128" s="531"/>
      <c r="K128" s="531"/>
      <c r="L128" s="531"/>
      <c r="M128" s="531"/>
      <c r="N128" s="531"/>
      <c r="O128" s="531"/>
      <c r="P128" s="531"/>
      <c r="Q128" s="531"/>
      <c r="R128" s="531"/>
      <c r="S128" s="531"/>
      <c r="T128" s="531"/>
      <c r="U128" s="531"/>
      <c r="V128" s="531"/>
      <c r="W128" s="531"/>
      <c r="X128" s="531"/>
      <c r="Y128" s="531"/>
      <c r="Z128" s="531"/>
      <c r="AA128" s="531"/>
      <c r="AB128" s="531"/>
      <c r="AC128" s="531"/>
      <c r="AD128" s="531"/>
      <c r="AE128" s="531"/>
      <c r="AF128" s="531"/>
      <c r="AG128" s="531"/>
      <c r="AH128" s="531"/>
      <c r="AI128" s="531"/>
      <c r="AJ128" s="531"/>
      <c r="AK128" s="531"/>
      <c r="AL128" s="531"/>
      <c r="AM128" s="531"/>
      <c r="AN128" s="531"/>
      <c r="AO128" s="532"/>
      <c r="AP128" s="191"/>
      <c r="AQ128" s="191"/>
      <c r="AR128" s="191"/>
      <c r="AS128" s="191"/>
      <c r="AT128" s="191"/>
      <c r="AU128" s="191"/>
      <c r="AV128" s="191"/>
      <c r="AW128" s="191"/>
      <c r="AX128" s="191"/>
      <c r="AY128" s="191"/>
      <c r="AZ128" s="191"/>
      <c r="BA128" s="191"/>
      <c r="BB128" s="191"/>
      <c r="BC128" s="191"/>
      <c r="BD128" s="191"/>
      <c r="BE128" s="191"/>
      <c r="BF128" s="191"/>
      <c r="BG128" s="191"/>
      <c r="BH128" s="191"/>
      <c r="BI128" s="191"/>
      <c r="BJ128" s="191"/>
      <c r="BK128" s="191"/>
      <c r="BL128" s="191"/>
      <c r="BM128" s="191"/>
      <c r="BN128" s="191"/>
      <c r="BO128" s="191"/>
      <c r="BP128" s="191"/>
      <c r="BQ128" s="191"/>
      <c r="BR128" s="191"/>
      <c r="BS128" s="191"/>
      <c r="BT128" s="191"/>
      <c r="BU128" s="191"/>
      <c r="BV128" s="191"/>
      <c r="BW128" s="191"/>
      <c r="BX128" s="191"/>
      <c r="BY128" s="191"/>
      <c r="BZ128" s="191"/>
      <c r="CA128" s="191"/>
      <c r="CB128" s="191"/>
      <c r="CC128" s="191"/>
      <c r="CD128" s="191"/>
      <c r="CE128" s="191"/>
      <c r="CF128" s="191"/>
      <c r="CG128" s="191"/>
      <c r="CH128" s="191"/>
      <c r="CI128" s="191"/>
      <c r="CJ128" s="191"/>
      <c r="CK128" s="191"/>
      <c r="CL128" s="191"/>
      <c r="CM128" s="191"/>
      <c r="CN128" s="191"/>
      <c r="CO128" s="191"/>
      <c r="CP128" s="191"/>
      <c r="CQ128" s="191"/>
      <c r="CR128" s="191"/>
      <c r="CS128" s="191"/>
      <c r="CT128" s="191"/>
      <c r="CU128" s="191"/>
      <c r="CV128" s="191"/>
      <c r="CW128" s="191"/>
      <c r="CX128" s="191"/>
      <c r="CY128" s="191"/>
      <c r="CZ128" s="191"/>
      <c r="DA128" s="191"/>
      <c r="DB128" s="191"/>
      <c r="DC128" s="191"/>
      <c r="DD128" s="191"/>
      <c r="DE128" s="191"/>
      <c r="DF128" s="191"/>
      <c r="DG128" s="191"/>
      <c r="DH128" s="191"/>
      <c r="DI128" s="191"/>
      <c r="DJ128" s="191"/>
      <c r="DK128" s="191"/>
      <c r="DL128" s="191"/>
      <c r="DM128" s="191"/>
      <c r="DN128" s="191"/>
      <c r="DO128" s="191"/>
      <c r="DP128" s="191"/>
      <c r="DQ128" s="191"/>
      <c r="DR128" s="191"/>
      <c r="DS128" s="191"/>
      <c r="DT128" s="191"/>
      <c r="DU128" s="191"/>
      <c r="DV128" s="191"/>
      <c r="DW128" s="191"/>
      <c r="DX128" s="191"/>
      <c r="DY128" s="191"/>
      <c r="DZ128" s="191"/>
      <c r="EA128" s="191"/>
      <c r="EB128" s="191"/>
      <c r="EC128" s="191"/>
      <c r="ED128" s="191"/>
      <c r="EE128" s="191"/>
      <c r="EF128" s="191"/>
      <c r="EG128" s="191"/>
      <c r="EH128" s="191"/>
      <c r="EI128" s="191"/>
      <c r="EJ128" s="191"/>
      <c r="EK128" s="191"/>
      <c r="EL128" s="191"/>
      <c r="EM128" s="191"/>
      <c r="EN128" s="191"/>
      <c r="EO128" s="191"/>
      <c r="EP128" s="191"/>
      <c r="EQ128" s="191"/>
      <c r="ER128" s="191"/>
      <c r="ES128" s="191"/>
      <c r="ET128" s="191"/>
      <c r="EU128" s="191"/>
      <c r="EV128" s="191"/>
      <c r="EW128" s="191"/>
      <c r="EX128" s="191"/>
      <c r="EY128" s="191"/>
      <c r="EZ128" s="191"/>
      <c r="FA128" s="191"/>
      <c r="FB128" s="191"/>
      <c r="FC128" s="191"/>
      <c r="FD128" s="191"/>
      <c r="FE128" s="191"/>
      <c r="FF128" s="191"/>
      <c r="FG128" s="191"/>
      <c r="FQ128" s="191"/>
      <c r="FR128" s="191"/>
      <c r="FS128" s="191"/>
      <c r="FT128" s="191"/>
      <c r="FU128" s="191"/>
      <c r="FV128" s="191"/>
      <c r="FW128" s="191"/>
      <c r="FX128" s="191"/>
      <c r="FY128" s="191"/>
      <c r="FZ128" s="191"/>
    </row>
    <row r="129" spans="1:182" ht="8.25" customHeight="1">
      <c r="A129" s="621"/>
      <c r="B129" s="531"/>
      <c r="C129" s="531"/>
      <c r="D129" s="531"/>
      <c r="E129" s="532"/>
      <c r="F129" s="556"/>
      <c r="G129" s="531"/>
      <c r="H129" s="531"/>
      <c r="I129" s="531"/>
      <c r="J129" s="531"/>
      <c r="K129" s="531"/>
      <c r="L129" s="531"/>
      <c r="M129" s="531"/>
      <c r="N129" s="531"/>
      <c r="O129" s="531"/>
      <c r="P129" s="531"/>
      <c r="Q129" s="531"/>
      <c r="R129" s="531"/>
      <c r="S129" s="531"/>
      <c r="T129" s="531"/>
      <c r="U129" s="531"/>
      <c r="V129" s="531"/>
      <c r="W129" s="531"/>
      <c r="X129" s="531"/>
      <c r="Y129" s="531"/>
      <c r="Z129" s="531"/>
      <c r="AA129" s="531"/>
      <c r="AB129" s="531"/>
      <c r="AC129" s="531"/>
      <c r="AD129" s="531"/>
      <c r="AE129" s="531"/>
      <c r="AF129" s="531"/>
      <c r="AG129" s="531"/>
      <c r="AH129" s="531"/>
      <c r="AI129" s="531"/>
      <c r="AJ129" s="531"/>
      <c r="AK129" s="531"/>
      <c r="AL129" s="531"/>
      <c r="AM129" s="531"/>
      <c r="AN129" s="531"/>
      <c r="AO129" s="532"/>
      <c r="AP129" s="191"/>
      <c r="AQ129" s="191"/>
      <c r="AR129" s="191"/>
      <c r="AS129" s="191"/>
      <c r="AT129" s="191"/>
      <c r="AU129" s="191"/>
      <c r="AV129" s="191"/>
      <c r="AW129" s="191"/>
      <c r="AX129" s="191"/>
      <c r="AY129" s="191"/>
      <c r="AZ129" s="191"/>
      <c r="BA129" s="191"/>
      <c r="BB129" s="191"/>
      <c r="BC129" s="191"/>
      <c r="BD129" s="191"/>
      <c r="BE129" s="191"/>
      <c r="BF129" s="191"/>
      <c r="BG129" s="191"/>
      <c r="BH129" s="191"/>
      <c r="BI129" s="191"/>
      <c r="BJ129" s="191"/>
      <c r="BK129" s="191"/>
      <c r="BL129" s="191"/>
      <c r="BM129" s="191"/>
      <c r="BN129" s="191"/>
      <c r="BO129" s="191"/>
      <c r="BP129" s="191"/>
      <c r="BQ129" s="191"/>
      <c r="BR129" s="191"/>
      <c r="BS129" s="191"/>
      <c r="BT129" s="191"/>
      <c r="BU129" s="191"/>
      <c r="BV129" s="191"/>
      <c r="BW129" s="191"/>
      <c r="BX129" s="191"/>
      <c r="BY129" s="191"/>
      <c r="BZ129" s="191"/>
      <c r="CA129" s="191"/>
      <c r="CB129" s="191"/>
      <c r="CC129" s="191"/>
      <c r="CD129" s="191"/>
      <c r="CE129" s="191"/>
      <c r="CF129" s="191"/>
      <c r="CG129" s="191"/>
      <c r="CH129" s="191"/>
      <c r="CI129" s="191"/>
      <c r="CJ129" s="191"/>
      <c r="CK129" s="191"/>
      <c r="CL129" s="191"/>
      <c r="CM129" s="191"/>
      <c r="CN129" s="191"/>
      <c r="CO129" s="191"/>
      <c r="CP129" s="191"/>
      <c r="CQ129" s="191"/>
      <c r="CR129" s="191"/>
      <c r="CS129" s="191"/>
      <c r="CT129" s="191"/>
      <c r="CU129" s="191"/>
      <c r="CV129" s="191"/>
      <c r="CW129" s="191"/>
      <c r="CX129" s="191"/>
      <c r="CY129" s="191"/>
      <c r="CZ129" s="191"/>
      <c r="DA129" s="191"/>
      <c r="DB129" s="191"/>
      <c r="DC129" s="191"/>
      <c r="DD129" s="191"/>
      <c r="DE129" s="191"/>
      <c r="DF129" s="191"/>
      <c r="DG129" s="191"/>
      <c r="DH129" s="191"/>
      <c r="DI129" s="191"/>
      <c r="DJ129" s="191"/>
      <c r="DK129" s="191"/>
      <c r="DL129" s="191"/>
      <c r="DM129" s="191"/>
      <c r="DN129" s="191"/>
      <c r="DO129" s="191"/>
      <c r="DP129" s="191"/>
      <c r="DQ129" s="191"/>
      <c r="DR129" s="191"/>
      <c r="DS129" s="191"/>
      <c r="DT129" s="191"/>
      <c r="DU129" s="191"/>
      <c r="DV129" s="191"/>
      <c r="DW129" s="191"/>
      <c r="DX129" s="191"/>
      <c r="DY129" s="191"/>
      <c r="DZ129" s="191"/>
      <c r="EA129" s="191"/>
      <c r="EB129" s="191"/>
      <c r="EC129" s="191"/>
      <c r="ED129" s="191"/>
      <c r="EE129" s="191"/>
      <c r="EF129" s="191"/>
      <c r="EG129" s="191"/>
      <c r="EH129" s="191"/>
      <c r="EI129" s="191"/>
      <c r="EJ129" s="191"/>
      <c r="EK129" s="191"/>
      <c r="EL129" s="191"/>
      <c r="EM129" s="191"/>
      <c r="EN129" s="191"/>
      <c r="EO129" s="191"/>
      <c r="EP129" s="191"/>
      <c r="EQ129" s="191"/>
      <c r="ER129" s="191"/>
      <c r="ES129" s="191"/>
      <c r="ET129" s="191"/>
      <c r="EU129" s="191"/>
      <c r="EV129" s="191"/>
      <c r="EW129" s="191"/>
      <c r="EX129" s="191"/>
      <c r="EY129" s="191"/>
      <c r="EZ129" s="191"/>
      <c r="FA129" s="191"/>
      <c r="FB129" s="191"/>
      <c r="FC129" s="191"/>
      <c r="FD129" s="191"/>
      <c r="FE129" s="191"/>
      <c r="FF129" s="191"/>
      <c r="FG129" s="191"/>
      <c r="FQ129" s="191"/>
      <c r="FR129" s="191"/>
      <c r="FS129" s="191"/>
      <c r="FT129" s="191"/>
      <c r="FU129" s="191"/>
      <c r="FV129" s="191"/>
      <c r="FW129" s="191"/>
      <c r="FX129" s="191"/>
      <c r="FY129" s="191"/>
      <c r="FZ129" s="191"/>
    </row>
    <row r="130" spans="1:182" ht="12.75">
      <c r="A130" s="616" t="s">
        <v>356</v>
      </c>
      <c r="B130" s="540"/>
      <c r="C130" s="643" t="s">
        <v>357</v>
      </c>
      <c r="D130" s="540"/>
      <c r="E130" s="542"/>
      <c r="F130" s="644" t="s">
        <v>1090</v>
      </c>
      <c r="G130" s="540"/>
      <c r="H130" s="540"/>
      <c r="I130" s="540"/>
      <c r="J130" s="540"/>
      <c r="K130" s="540"/>
      <c r="L130" s="540"/>
      <c r="M130" s="540"/>
      <c r="N130" s="540"/>
      <c r="O130" s="540"/>
      <c r="P130" s="540"/>
      <c r="Q130" s="540"/>
      <c r="R130" s="540"/>
      <c r="S130" s="540"/>
      <c r="T130" s="540"/>
      <c r="U130" s="540"/>
      <c r="V130" s="540"/>
      <c r="W130" s="540"/>
      <c r="X130" s="540"/>
      <c r="Y130" s="540"/>
      <c r="Z130" s="540"/>
      <c r="AA130" s="540"/>
      <c r="AB130" s="540"/>
      <c r="AC130" s="540"/>
      <c r="AD130" s="540"/>
      <c r="AE130" s="540"/>
      <c r="AF130" s="540"/>
      <c r="AG130" s="540"/>
      <c r="AH130" s="540"/>
      <c r="AI130" s="540"/>
      <c r="AJ130" s="540"/>
      <c r="AK130" s="540"/>
      <c r="AL130" s="540"/>
      <c r="AM130" s="540"/>
      <c r="AN130" s="540"/>
      <c r="AO130" s="542"/>
      <c r="AP130" s="191"/>
      <c r="AQ130" s="191"/>
      <c r="AR130" s="191"/>
      <c r="AS130" s="191"/>
      <c r="AT130" s="191"/>
      <c r="AU130" s="191"/>
      <c r="AV130" s="191"/>
      <c r="AW130" s="191"/>
      <c r="AX130" s="191"/>
      <c r="AY130" s="191"/>
      <c r="AZ130" s="191"/>
      <c r="BA130" s="191"/>
      <c r="BB130" s="191"/>
      <c r="BC130" s="191"/>
      <c r="BD130" s="191"/>
      <c r="BE130" s="191"/>
      <c r="BF130" s="191"/>
      <c r="BG130" s="191"/>
      <c r="BH130" s="191"/>
      <c r="BI130" s="191"/>
      <c r="BJ130" s="191"/>
      <c r="BK130" s="191"/>
      <c r="BL130" s="191"/>
      <c r="BM130" s="191"/>
      <c r="BN130" s="191"/>
      <c r="BO130" s="191"/>
      <c r="BP130" s="191"/>
      <c r="BQ130" s="191"/>
      <c r="BR130" s="191"/>
      <c r="BS130" s="191"/>
      <c r="BT130" s="191"/>
      <c r="BU130" s="191"/>
      <c r="BV130" s="191"/>
      <c r="BW130" s="191"/>
      <c r="BX130" s="191"/>
      <c r="BY130" s="191"/>
      <c r="BZ130" s="191"/>
      <c r="CA130" s="191"/>
      <c r="CB130" s="191"/>
      <c r="CC130" s="191"/>
      <c r="CD130" s="191"/>
      <c r="CE130" s="191"/>
      <c r="CF130" s="191"/>
      <c r="CG130" s="191"/>
      <c r="CH130" s="191"/>
      <c r="CI130" s="191"/>
      <c r="CJ130" s="191"/>
      <c r="CK130" s="191"/>
      <c r="CL130" s="191"/>
      <c r="CM130" s="191"/>
      <c r="CN130" s="191"/>
      <c r="CO130" s="191"/>
      <c r="CP130" s="191"/>
      <c r="CQ130" s="191"/>
      <c r="CR130" s="191"/>
      <c r="CS130" s="191"/>
      <c r="CT130" s="191"/>
      <c r="CU130" s="191"/>
      <c r="CV130" s="191"/>
      <c r="CW130" s="191"/>
      <c r="CX130" s="191"/>
      <c r="CY130" s="191"/>
      <c r="CZ130" s="191"/>
      <c r="DA130" s="191"/>
      <c r="DB130" s="191"/>
      <c r="DC130" s="191"/>
      <c r="DD130" s="191"/>
      <c r="DE130" s="191"/>
      <c r="DF130" s="191"/>
      <c r="DG130" s="191"/>
      <c r="DH130" s="191"/>
      <c r="DI130" s="191"/>
      <c r="DJ130" s="191"/>
      <c r="DK130" s="191"/>
      <c r="DL130" s="191"/>
      <c r="DM130" s="191"/>
      <c r="DN130" s="191"/>
      <c r="DO130" s="191"/>
      <c r="DP130" s="191"/>
      <c r="DQ130" s="191"/>
      <c r="DR130" s="191"/>
      <c r="DS130" s="191"/>
      <c r="DT130" s="191"/>
      <c r="DU130" s="191"/>
      <c r="DV130" s="191"/>
      <c r="DW130" s="191"/>
      <c r="DX130" s="191"/>
      <c r="DY130" s="191"/>
      <c r="DZ130" s="191"/>
      <c r="EA130" s="191"/>
      <c r="EB130" s="191"/>
      <c r="EC130" s="191"/>
      <c r="ED130" s="191"/>
      <c r="EE130" s="191"/>
      <c r="EF130" s="191"/>
      <c r="EG130" s="191"/>
      <c r="EH130" s="191"/>
      <c r="EI130" s="191"/>
      <c r="EJ130" s="191"/>
      <c r="EK130" s="191"/>
      <c r="EL130" s="191"/>
      <c r="EM130" s="191"/>
      <c r="EN130" s="191"/>
      <c r="EO130" s="191"/>
      <c r="EP130" s="191"/>
      <c r="EQ130" s="191"/>
      <c r="ER130" s="191"/>
      <c r="ES130" s="191"/>
      <c r="ET130" s="191"/>
      <c r="EU130" s="191"/>
      <c r="EV130" s="191"/>
      <c r="EW130" s="191"/>
      <c r="EX130" s="191"/>
      <c r="EY130" s="191"/>
      <c r="EZ130" s="191"/>
      <c r="FA130" s="191"/>
      <c r="FB130" s="191"/>
      <c r="FC130" s="191"/>
      <c r="FD130" s="191"/>
      <c r="FE130" s="191"/>
      <c r="FF130" s="191"/>
      <c r="FG130" s="191"/>
      <c r="FQ130" s="191"/>
      <c r="FR130" s="191"/>
      <c r="FS130" s="191"/>
      <c r="FT130" s="191"/>
      <c r="FU130" s="191"/>
      <c r="FV130" s="191"/>
      <c r="FW130" s="191"/>
      <c r="FX130" s="191"/>
      <c r="FY130" s="191"/>
      <c r="FZ130" s="191"/>
    </row>
    <row r="131" spans="1:182" ht="8.25" customHeight="1">
      <c r="A131" s="618"/>
      <c r="B131" s="531"/>
      <c r="C131" s="531"/>
      <c r="D131" s="531"/>
      <c r="E131" s="531"/>
    </row>
    <row r="132" spans="1:182" ht="12.75">
      <c r="A132" s="619"/>
      <c r="B132" s="531"/>
      <c r="C132" s="531"/>
      <c r="D132" s="531"/>
      <c r="E132" s="531"/>
    </row>
    <row r="133" spans="1:182" ht="9" customHeight="1">
      <c r="A133" s="531"/>
      <c r="B133" s="531"/>
      <c r="C133" s="531"/>
      <c r="D133" s="531"/>
      <c r="E133" s="531"/>
    </row>
    <row r="134" spans="1:182" ht="12.75">
      <c r="A134"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B134" s="531"/>
      <c r="C134" s="531"/>
      <c r="D134" s="531"/>
      <c r="E134" s="531"/>
    </row>
    <row r="135" spans="1:182" ht="9" customHeight="1">
      <c r="A135" s="330"/>
      <c r="B135" s="331"/>
      <c r="C135" s="331"/>
      <c r="D135" s="331"/>
      <c r="E135" s="331"/>
    </row>
    <row r="136" spans="1:182" ht="12.75">
      <c r="A136" s="330"/>
      <c r="B136" s="331"/>
      <c r="C136" s="331"/>
      <c r="D136" s="331"/>
      <c r="E136" s="331"/>
    </row>
    <row r="137" spans="1:182" ht="9" customHeight="1">
      <c r="A137" s="188"/>
    </row>
    <row r="138" spans="1:182" ht="12.75">
      <c r="A138" s="188"/>
    </row>
    <row r="139" spans="1:182" ht="12.75">
      <c r="A139" s="188"/>
    </row>
    <row r="140" spans="1:182" ht="12.75">
      <c r="A140" s="188"/>
    </row>
    <row r="141" spans="1:182" ht="12.75">
      <c r="A141" s="188"/>
    </row>
    <row r="142" spans="1:182" ht="12.75">
      <c r="A142" s="188"/>
    </row>
    <row r="143" spans="1:182" ht="12.75">
      <c r="A143" s="188"/>
    </row>
    <row r="144" spans="1:182" ht="12.75">
      <c r="A144" s="188"/>
    </row>
    <row r="145" spans="1:1" ht="12.75">
      <c r="A145" s="188"/>
    </row>
    <row r="146" spans="1:1" ht="12.75">
      <c r="A146" s="188"/>
    </row>
    <row r="147" spans="1:1" ht="12.75">
      <c r="A147" s="188"/>
    </row>
    <row r="148" spans="1:1" ht="12.75">
      <c r="A148" s="188"/>
    </row>
    <row r="149" spans="1:1" ht="12.75">
      <c r="A149" s="188"/>
    </row>
    <row r="150" spans="1:1" ht="12.75">
      <c r="A150" s="188"/>
    </row>
    <row r="151" spans="1:1" ht="12.75">
      <c r="A151" s="188"/>
    </row>
    <row r="152" spans="1:1" ht="12.75">
      <c r="A152" s="188"/>
    </row>
    <row r="153" spans="1:1" ht="12.75">
      <c r="A153" s="188"/>
    </row>
    <row r="154" spans="1:1" ht="12.75">
      <c r="A154" s="188"/>
    </row>
    <row r="155" spans="1:1" ht="12.75">
      <c r="A155" s="188"/>
    </row>
    <row r="156" spans="1:1" ht="12.75">
      <c r="A156" s="188"/>
    </row>
    <row r="157" spans="1:1" ht="12.75">
      <c r="A157" s="188"/>
    </row>
    <row r="158" spans="1:1" ht="12.75">
      <c r="A158" s="188"/>
    </row>
    <row r="159" spans="1:1" ht="12.75">
      <c r="A159" s="188"/>
    </row>
    <row r="160" spans="1:1" ht="12.75">
      <c r="A160" s="188"/>
    </row>
    <row r="161" spans="1:1" ht="12.75">
      <c r="A161" s="188"/>
    </row>
    <row r="162" spans="1:1" ht="12.75">
      <c r="A162" s="188"/>
    </row>
    <row r="163" spans="1:1" ht="12.75">
      <c r="A163" s="188"/>
    </row>
    <row r="164" spans="1:1" ht="12.75">
      <c r="A164" s="188"/>
    </row>
    <row r="165" spans="1:1" ht="12.75">
      <c r="A165" s="188"/>
    </row>
    <row r="166" spans="1:1" ht="12.75">
      <c r="A166" s="188"/>
    </row>
    <row r="167" spans="1:1" ht="12.75">
      <c r="A167" s="188"/>
    </row>
    <row r="168" spans="1:1" ht="12.75">
      <c r="A168" s="188"/>
    </row>
    <row r="169" spans="1:1" ht="12.75">
      <c r="A169" s="188"/>
    </row>
    <row r="170" spans="1:1" ht="12.75">
      <c r="A170" s="188"/>
    </row>
    <row r="171" spans="1:1" ht="12.75">
      <c r="A171" s="188"/>
    </row>
    <row r="172" spans="1:1" ht="12.75">
      <c r="A172" s="188"/>
    </row>
    <row r="173" spans="1:1" ht="12.75">
      <c r="A173" s="188"/>
    </row>
    <row r="174" spans="1:1" ht="12.75">
      <c r="A174" s="188"/>
    </row>
    <row r="175" spans="1:1" ht="12.75">
      <c r="A175" s="188"/>
    </row>
    <row r="176" spans="1:1" ht="12.75">
      <c r="A176" s="188"/>
    </row>
    <row r="177" spans="1:1" ht="12.75">
      <c r="A177" s="188"/>
    </row>
    <row r="178" spans="1:1" ht="12.75">
      <c r="A178" s="188"/>
    </row>
    <row r="179" spans="1:1" ht="12.75">
      <c r="A179" s="188"/>
    </row>
    <row r="180" spans="1:1" ht="12.75">
      <c r="A180" s="188"/>
    </row>
    <row r="181" spans="1:1" ht="12.75">
      <c r="A181" s="188"/>
    </row>
    <row r="182" spans="1:1" ht="12.75">
      <c r="A182" s="188"/>
    </row>
    <row r="183" spans="1:1" ht="12.75">
      <c r="A183" s="188"/>
    </row>
    <row r="184" spans="1:1" ht="12.75">
      <c r="A184" s="188"/>
    </row>
    <row r="185" spans="1:1" ht="12.75">
      <c r="A185" s="188"/>
    </row>
    <row r="186" spans="1:1" ht="12.75">
      <c r="A186" s="188"/>
    </row>
    <row r="187" spans="1:1" ht="12.75">
      <c r="A187" s="188"/>
    </row>
    <row r="188" spans="1:1" ht="12.75">
      <c r="A188" s="188"/>
    </row>
    <row r="189" spans="1:1" ht="12.75">
      <c r="A189" s="188"/>
    </row>
    <row r="190" spans="1:1" ht="12.75">
      <c r="A190" s="188"/>
    </row>
    <row r="191" spans="1:1" ht="12.75">
      <c r="A191" s="188"/>
    </row>
    <row r="192" spans="1:1" ht="12.75">
      <c r="A192" s="188"/>
    </row>
    <row r="193" spans="1:1" ht="12.75">
      <c r="A193" s="188"/>
    </row>
    <row r="194" spans="1:1" ht="12.75">
      <c r="A194" s="188"/>
    </row>
    <row r="195" spans="1:1" ht="12.75">
      <c r="A195" s="188"/>
    </row>
    <row r="196" spans="1:1" ht="12.75">
      <c r="A196" s="188"/>
    </row>
    <row r="197" spans="1:1" ht="12.75">
      <c r="A197" s="188"/>
    </row>
    <row r="198" spans="1:1" ht="12.75">
      <c r="A198" s="188"/>
    </row>
    <row r="199" spans="1:1" ht="12.75">
      <c r="A199" s="188"/>
    </row>
    <row r="200" spans="1:1" ht="12.75">
      <c r="A200" s="188"/>
    </row>
    <row r="201" spans="1:1" ht="12.75">
      <c r="A201" s="188"/>
    </row>
    <row r="202" spans="1:1" ht="12.75">
      <c r="A202" s="188"/>
    </row>
    <row r="203" spans="1:1" ht="12.75">
      <c r="A203" s="188"/>
    </row>
    <row r="204" spans="1:1" ht="12.75">
      <c r="A204" s="188"/>
    </row>
    <row r="205" spans="1:1" ht="12.75">
      <c r="A205" s="188"/>
    </row>
    <row r="206" spans="1:1" ht="12.75">
      <c r="A206" s="188"/>
    </row>
    <row r="207" spans="1:1" ht="12.75">
      <c r="A207" s="188"/>
    </row>
    <row r="208" spans="1:1" ht="12.75">
      <c r="A208" s="188"/>
    </row>
    <row r="209" spans="1:1" ht="12.75">
      <c r="A209" s="188"/>
    </row>
    <row r="210" spans="1:1" ht="12.75">
      <c r="A210" s="188"/>
    </row>
    <row r="211" spans="1:1" ht="12.75">
      <c r="A211" s="188"/>
    </row>
    <row r="212" spans="1:1" ht="12.75">
      <c r="A212" s="188"/>
    </row>
    <row r="213" spans="1:1" ht="12.75">
      <c r="A213" s="188"/>
    </row>
    <row r="214" spans="1:1" ht="12.75">
      <c r="A214" s="188"/>
    </row>
    <row r="215" spans="1:1" ht="12.75">
      <c r="A215" s="188"/>
    </row>
    <row r="216" spans="1:1" ht="12.75">
      <c r="A216" s="188"/>
    </row>
    <row r="217" spans="1:1" ht="12.75">
      <c r="A217" s="188"/>
    </row>
    <row r="218" spans="1:1" ht="12.75">
      <c r="A218" s="188"/>
    </row>
    <row r="219" spans="1:1" ht="12.75">
      <c r="A219" s="188"/>
    </row>
    <row r="220" spans="1:1" ht="12.75">
      <c r="A220" s="188"/>
    </row>
    <row r="221" spans="1:1" ht="12.75">
      <c r="A221" s="188"/>
    </row>
    <row r="222" spans="1:1" ht="12.75">
      <c r="A222" s="188"/>
    </row>
    <row r="223" spans="1:1" ht="12.75">
      <c r="A223" s="188"/>
    </row>
    <row r="224" spans="1:1" ht="12.75">
      <c r="A224" s="188"/>
    </row>
    <row r="225" spans="1:1" ht="12.75">
      <c r="A225" s="188"/>
    </row>
    <row r="226" spans="1:1" ht="12.75">
      <c r="A226" s="188"/>
    </row>
    <row r="227" spans="1:1" ht="12.75">
      <c r="A227" s="188"/>
    </row>
    <row r="228" spans="1:1" ht="12.75">
      <c r="A228" s="188"/>
    </row>
    <row r="229" spans="1:1" ht="12.75">
      <c r="A229" s="188"/>
    </row>
    <row r="230" spans="1:1" ht="12.75">
      <c r="A230" s="188"/>
    </row>
    <row r="231" spans="1:1" ht="12.75">
      <c r="A231" s="188"/>
    </row>
    <row r="232" spans="1:1" ht="12.75">
      <c r="A232" s="188"/>
    </row>
    <row r="233" spans="1:1" ht="12.75">
      <c r="A233" s="188"/>
    </row>
    <row r="234" spans="1:1" ht="12.75">
      <c r="A234" s="188"/>
    </row>
    <row r="235" spans="1:1" ht="12.75">
      <c r="A235" s="188"/>
    </row>
    <row r="236" spans="1:1" ht="12.75">
      <c r="A236" s="188"/>
    </row>
    <row r="237" spans="1:1" ht="12.75">
      <c r="A237" s="188"/>
    </row>
    <row r="238" spans="1:1" ht="12.75">
      <c r="A238" s="188"/>
    </row>
    <row r="239" spans="1:1" ht="12.75">
      <c r="A239" s="188"/>
    </row>
    <row r="240" spans="1:1" ht="12.75">
      <c r="A240" s="188"/>
    </row>
    <row r="241" spans="1:1" ht="12.75">
      <c r="A241" s="188"/>
    </row>
    <row r="242" spans="1:1" ht="12.75">
      <c r="A242" s="188"/>
    </row>
    <row r="243" spans="1:1" ht="12.75">
      <c r="A243" s="188"/>
    </row>
    <row r="244" spans="1:1" ht="12.75">
      <c r="A244" s="188"/>
    </row>
    <row r="245" spans="1:1" ht="12.75">
      <c r="A245" s="188"/>
    </row>
    <row r="246" spans="1:1" ht="12.75">
      <c r="A246" s="188"/>
    </row>
    <row r="247" spans="1:1" ht="12.75">
      <c r="A247" s="188"/>
    </row>
    <row r="248" spans="1:1" ht="12.75">
      <c r="A248" s="188"/>
    </row>
    <row r="249" spans="1:1" ht="12.75">
      <c r="A249" s="188"/>
    </row>
    <row r="250" spans="1:1" ht="12.75">
      <c r="A250" s="188"/>
    </row>
    <row r="251" spans="1:1" ht="12.75">
      <c r="A251" s="188"/>
    </row>
    <row r="252" spans="1:1" ht="12.75">
      <c r="A252" s="188"/>
    </row>
    <row r="253" spans="1:1" ht="12.75">
      <c r="A253" s="188"/>
    </row>
    <row r="254" spans="1:1" ht="12.75">
      <c r="A254" s="188"/>
    </row>
    <row r="255" spans="1:1" ht="12.75">
      <c r="A255" s="188"/>
    </row>
    <row r="256" spans="1:1" ht="12.75">
      <c r="A256" s="188"/>
    </row>
    <row r="257" spans="1:1" ht="12.75">
      <c r="A257" s="188"/>
    </row>
    <row r="258" spans="1:1" ht="12.75">
      <c r="A258" s="188"/>
    </row>
    <row r="259" spans="1:1" ht="12.75">
      <c r="A259" s="188"/>
    </row>
    <row r="260" spans="1:1" ht="12.75">
      <c r="A260" s="188"/>
    </row>
    <row r="261" spans="1:1" ht="12.75">
      <c r="A261" s="188"/>
    </row>
    <row r="262" spans="1:1" ht="12.75">
      <c r="A262" s="188"/>
    </row>
    <row r="263" spans="1:1" ht="12.75">
      <c r="A263" s="188"/>
    </row>
    <row r="264" spans="1:1" ht="12.75">
      <c r="A264" s="188"/>
    </row>
    <row r="265" spans="1:1" ht="12.75">
      <c r="A265" s="188"/>
    </row>
    <row r="266" spans="1:1" ht="12.75">
      <c r="A266" s="188"/>
    </row>
    <row r="267" spans="1:1" ht="12.75">
      <c r="A267" s="188"/>
    </row>
    <row r="268" spans="1:1" ht="12.75">
      <c r="A268" s="188"/>
    </row>
    <row r="269" spans="1:1" ht="12.75">
      <c r="A269" s="188"/>
    </row>
    <row r="270" spans="1:1" ht="12.75">
      <c r="A270" s="188"/>
    </row>
    <row r="271" spans="1:1" ht="12.75">
      <c r="A271" s="188"/>
    </row>
    <row r="272" spans="1:1" ht="12.75">
      <c r="A272" s="188"/>
    </row>
    <row r="273" spans="1:1" ht="12.75">
      <c r="A273" s="188"/>
    </row>
    <row r="274" spans="1:1" ht="12.75">
      <c r="A274" s="188"/>
    </row>
    <row r="275" spans="1:1" ht="12.75">
      <c r="A275" s="188"/>
    </row>
    <row r="276" spans="1:1" ht="12.75">
      <c r="A276" s="188"/>
    </row>
    <row r="277" spans="1:1" ht="12.75">
      <c r="A277" s="188"/>
    </row>
    <row r="278" spans="1:1" ht="12.75">
      <c r="A278" s="188"/>
    </row>
    <row r="279" spans="1:1" ht="12.75">
      <c r="A279" s="188"/>
    </row>
    <row r="280" spans="1:1" ht="12.75">
      <c r="A280" s="188"/>
    </row>
    <row r="281" spans="1:1" ht="12.75">
      <c r="A281" s="188"/>
    </row>
    <row r="282" spans="1:1" ht="12.75">
      <c r="A282" s="188"/>
    </row>
    <row r="283" spans="1:1" ht="12.75">
      <c r="A283" s="188"/>
    </row>
    <row r="284" spans="1:1" ht="12.75">
      <c r="A284" s="188"/>
    </row>
    <row r="285" spans="1:1" ht="12.75">
      <c r="A285" s="188"/>
    </row>
    <row r="286" spans="1:1" ht="12.75">
      <c r="A286" s="188"/>
    </row>
    <row r="287" spans="1:1" ht="12.75">
      <c r="A287" s="188"/>
    </row>
    <row r="288" spans="1:1" ht="12.75">
      <c r="A288" s="188"/>
    </row>
    <row r="289" spans="1:1" ht="12.75">
      <c r="A289" s="188"/>
    </row>
    <row r="290" spans="1:1" ht="12.75">
      <c r="A290" s="188"/>
    </row>
    <row r="291" spans="1:1" ht="12.75">
      <c r="A291" s="188"/>
    </row>
    <row r="292" spans="1:1" ht="12.75">
      <c r="A292" s="188"/>
    </row>
    <row r="293" spans="1:1" ht="12.75">
      <c r="A293" s="188"/>
    </row>
    <row r="294" spans="1:1" ht="12.75">
      <c r="A294" s="188"/>
    </row>
    <row r="295" spans="1:1" ht="12.75">
      <c r="A295" s="188"/>
    </row>
    <row r="296" spans="1:1" ht="12.75">
      <c r="A296" s="188"/>
    </row>
    <row r="297" spans="1:1" ht="12.75">
      <c r="A297" s="188"/>
    </row>
    <row r="298" spans="1:1" ht="12.75">
      <c r="A298" s="188"/>
    </row>
    <row r="299" spans="1:1" ht="12.75">
      <c r="A299" s="188"/>
    </row>
    <row r="300" spans="1:1" ht="12.75">
      <c r="A300" s="188"/>
    </row>
    <row r="301" spans="1:1" ht="12.75">
      <c r="A301" s="188"/>
    </row>
    <row r="302" spans="1:1" ht="12.75">
      <c r="A302" s="188"/>
    </row>
    <row r="303" spans="1:1" ht="12.75">
      <c r="A303" s="188"/>
    </row>
    <row r="304" spans="1:1" ht="12.75">
      <c r="A304" s="188"/>
    </row>
    <row r="305" spans="1:1" ht="12.75">
      <c r="A305" s="188"/>
    </row>
    <row r="306" spans="1:1" ht="12.75">
      <c r="A306" s="188"/>
    </row>
    <row r="307" spans="1:1" ht="12.75">
      <c r="A307" s="188"/>
    </row>
    <row r="308" spans="1:1" ht="12.75">
      <c r="A308" s="188"/>
    </row>
    <row r="309" spans="1:1" ht="12.75">
      <c r="A309" s="188"/>
    </row>
    <row r="310" spans="1:1" ht="12.75">
      <c r="A310" s="188"/>
    </row>
    <row r="311" spans="1:1" ht="12.75">
      <c r="A311" s="188"/>
    </row>
    <row r="312" spans="1:1" ht="12.75">
      <c r="A312" s="188"/>
    </row>
    <row r="313" spans="1:1" ht="12.75">
      <c r="A313" s="188"/>
    </row>
    <row r="314" spans="1:1" ht="12.75">
      <c r="A314" s="188"/>
    </row>
    <row r="315" spans="1:1" ht="12.75">
      <c r="A315" s="188"/>
    </row>
    <row r="316" spans="1:1" ht="12.75">
      <c r="A316" s="188"/>
    </row>
    <row r="317" spans="1:1" ht="12.75">
      <c r="A317" s="188"/>
    </row>
    <row r="318" spans="1:1" ht="12.75">
      <c r="A318" s="188"/>
    </row>
    <row r="319" spans="1:1" ht="12.75">
      <c r="A319" s="188"/>
    </row>
    <row r="320" spans="1:1" ht="12.75">
      <c r="A320" s="188"/>
    </row>
    <row r="321" spans="1:1" ht="12.75">
      <c r="A321" s="188"/>
    </row>
    <row r="322" spans="1:1" ht="12.75">
      <c r="A322" s="188"/>
    </row>
    <row r="323" spans="1:1" ht="12.75">
      <c r="A323" s="188"/>
    </row>
    <row r="324" spans="1:1" ht="12.75">
      <c r="A324" s="188"/>
    </row>
    <row r="325" spans="1:1" ht="12.75">
      <c r="A325" s="188"/>
    </row>
    <row r="326" spans="1:1" ht="12.75">
      <c r="A326" s="188"/>
    </row>
    <row r="327" spans="1:1" ht="12.75">
      <c r="A327" s="188"/>
    </row>
    <row r="328" spans="1:1" ht="12.75">
      <c r="A328" s="188"/>
    </row>
    <row r="329" spans="1:1" ht="12.75">
      <c r="A329" s="188"/>
    </row>
    <row r="330" spans="1:1" ht="12.75">
      <c r="A330" s="188"/>
    </row>
    <row r="331" spans="1:1" ht="12.75">
      <c r="A331" s="188"/>
    </row>
    <row r="332" spans="1:1" ht="12.75">
      <c r="A332" s="188"/>
    </row>
    <row r="333" spans="1:1" ht="12.75">
      <c r="A333" s="188"/>
    </row>
    <row r="334" spans="1:1" ht="12.75">
      <c r="A334" s="188"/>
    </row>
    <row r="335" spans="1:1" ht="12.75">
      <c r="A335" s="188"/>
    </row>
    <row r="336" spans="1:1" ht="12.75">
      <c r="A336" s="188"/>
    </row>
    <row r="337" spans="1:1" ht="12.75">
      <c r="A337" s="188"/>
    </row>
    <row r="338" spans="1:1" ht="12.75">
      <c r="A338" s="188"/>
    </row>
    <row r="339" spans="1:1" ht="12.75">
      <c r="A339" s="188"/>
    </row>
    <row r="340" spans="1:1" ht="12.75">
      <c r="A340" s="188"/>
    </row>
    <row r="341" spans="1:1" ht="12.75">
      <c r="A341" s="188"/>
    </row>
    <row r="342" spans="1:1" ht="12.75">
      <c r="A342" s="188"/>
    </row>
    <row r="343" spans="1:1" ht="12.75">
      <c r="A343" s="188"/>
    </row>
    <row r="344" spans="1:1" ht="12.75">
      <c r="A344" s="188"/>
    </row>
    <row r="345" spans="1:1" ht="12.75">
      <c r="A345" s="188"/>
    </row>
    <row r="346" spans="1:1" ht="12.75">
      <c r="A346" s="188"/>
    </row>
    <row r="347" spans="1:1" ht="12.75">
      <c r="A347" s="188"/>
    </row>
    <row r="348" spans="1:1" ht="12.75">
      <c r="A348" s="188"/>
    </row>
    <row r="349" spans="1:1" ht="12.75">
      <c r="A349" s="188"/>
    </row>
    <row r="350" spans="1:1" ht="12.75">
      <c r="A350" s="188"/>
    </row>
    <row r="351" spans="1:1" ht="12.75">
      <c r="A351" s="188"/>
    </row>
    <row r="352" spans="1:1" ht="12.75">
      <c r="A352" s="188"/>
    </row>
    <row r="353" spans="1:1" ht="12.75">
      <c r="A353" s="188"/>
    </row>
    <row r="354" spans="1:1" ht="12.75">
      <c r="A354" s="188"/>
    </row>
    <row r="355" spans="1:1" ht="12.75">
      <c r="A355" s="188"/>
    </row>
    <row r="356" spans="1:1" ht="12.75">
      <c r="A356" s="188"/>
    </row>
    <row r="357" spans="1:1" ht="12.75">
      <c r="A357" s="188"/>
    </row>
    <row r="358" spans="1:1" ht="12.75">
      <c r="A358" s="188"/>
    </row>
    <row r="359" spans="1:1" ht="12.75">
      <c r="A359" s="188"/>
    </row>
    <row r="360" spans="1:1" ht="12.75">
      <c r="A360" s="188"/>
    </row>
    <row r="361" spans="1:1" ht="12.75">
      <c r="A361" s="188"/>
    </row>
    <row r="362" spans="1:1" ht="12.75">
      <c r="A362" s="188"/>
    </row>
    <row r="363" spans="1:1" ht="12.75">
      <c r="A363" s="188"/>
    </row>
    <row r="364" spans="1:1" ht="12.75">
      <c r="A364" s="188"/>
    </row>
    <row r="365" spans="1:1" ht="12.75">
      <c r="A365" s="188"/>
    </row>
    <row r="366" spans="1:1" ht="12.75">
      <c r="A366" s="188"/>
    </row>
    <row r="367" spans="1:1" ht="12.75">
      <c r="A367" s="188"/>
    </row>
    <row r="368" spans="1:1" ht="12.75">
      <c r="A368" s="188"/>
    </row>
    <row r="369" spans="1:1" ht="12.75">
      <c r="A369" s="188"/>
    </row>
    <row r="370" spans="1:1" ht="12.75">
      <c r="A370" s="188"/>
    </row>
    <row r="371" spans="1:1" ht="12.75">
      <c r="A371" s="188"/>
    </row>
    <row r="372" spans="1:1" ht="12.75">
      <c r="A372" s="188"/>
    </row>
    <row r="373" spans="1:1" ht="12.75">
      <c r="A373" s="188"/>
    </row>
    <row r="374" spans="1:1" ht="12.75">
      <c r="A374" s="188"/>
    </row>
    <row r="375" spans="1:1" ht="12.75">
      <c r="A375" s="188"/>
    </row>
    <row r="376" spans="1:1" ht="12.75">
      <c r="A376" s="188"/>
    </row>
    <row r="377" spans="1:1" ht="12.75">
      <c r="A377" s="188"/>
    </row>
    <row r="378" spans="1:1" ht="12.75">
      <c r="A378" s="188"/>
    </row>
    <row r="379" spans="1:1" ht="12.75">
      <c r="A379" s="188"/>
    </row>
    <row r="380" spans="1:1" ht="12.75">
      <c r="A380" s="188"/>
    </row>
    <row r="381" spans="1:1" ht="12.75">
      <c r="A381" s="188"/>
    </row>
    <row r="382" spans="1:1" ht="12.75">
      <c r="A382" s="188"/>
    </row>
    <row r="383" spans="1:1" ht="12.75">
      <c r="A383" s="188"/>
    </row>
    <row r="384" spans="1:1" ht="12.75">
      <c r="A384" s="188"/>
    </row>
    <row r="385" spans="1:1" ht="12.75">
      <c r="A385" s="188"/>
    </row>
    <row r="386" spans="1:1" ht="12.75">
      <c r="A386" s="188"/>
    </row>
    <row r="387" spans="1:1" ht="12.75">
      <c r="A387" s="188"/>
    </row>
    <row r="388" spans="1:1" ht="12.75">
      <c r="A388" s="188"/>
    </row>
    <row r="389" spans="1:1" ht="12.75">
      <c r="A389" s="188"/>
    </row>
    <row r="390" spans="1:1" ht="12.75">
      <c r="A390" s="188"/>
    </row>
    <row r="391" spans="1:1" ht="12.75">
      <c r="A391" s="188"/>
    </row>
    <row r="392" spans="1:1" ht="12.75">
      <c r="A392" s="188"/>
    </row>
    <row r="393" spans="1:1" ht="12.75">
      <c r="A393" s="188"/>
    </row>
    <row r="394" spans="1:1" ht="12.75">
      <c r="A394" s="188"/>
    </row>
    <row r="395" spans="1:1" ht="12.75">
      <c r="A395" s="188"/>
    </row>
    <row r="396" spans="1:1" ht="12.75">
      <c r="A396" s="188"/>
    </row>
    <row r="397" spans="1:1" ht="12.75">
      <c r="A397" s="188"/>
    </row>
    <row r="398" spans="1:1" ht="12.75">
      <c r="A398" s="188"/>
    </row>
    <row r="399" spans="1:1" ht="12.75">
      <c r="A399" s="188"/>
    </row>
    <row r="400" spans="1:1" ht="12.75">
      <c r="A400" s="188"/>
    </row>
    <row r="401" spans="1:1" ht="12.75">
      <c r="A401" s="188"/>
    </row>
    <row r="402" spans="1:1" ht="12.75">
      <c r="A402" s="188"/>
    </row>
    <row r="403" spans="1:1" ht="12.75">
      <c r="A403" s="188"/>
    </row>
    <row r="404" spans="1:1" ht="12.75">
      <c r="A404" s="188"/>
    </row>
    <row r="405" spans="1:1" ht="12.75">
      <c r="A405" s="188"/>
    </row>
    <row r="406" spans="1:1" ht="12.75">
      <c r="A406" s="188"/>
    </row>
    <row r="407" spans="1:1" ht="12.75">
      <c r="A407" s="188"/>
    </row>
    <row r="408" spans="1:1" ht="12.75">
      <c r="A408" s="188"/>
    </row>
    <row r="409" spans="1:1" ht="12.75">
      <c r="A409" s="188"/>
    </row>
    <row r="410" spans="1:1" ht="12.75">
      <c r="A410" s="188"/>
    </row>
    <row r="411" spans="1:1" ht="12.75">
      <c r="A411" s="188"/>
    </row>
    <row r="412" spans="1:1" ht="12.75">
      <c r="A412" s="188"/>
    </row>
    <row r="413" spans="1:1" ht="12.75">
      <c r="A413" s="188"/>
    </row>
    <row r="414" spans="1:1" ht="12.75">
      <c r="A414" s="188"/>
    </row>
    <row r="415" spans="1:1" ht="12.75">
      <c r="A415" s="188"/>
    </row>
    <row r="416" spans="1:1" ht="12.75">
      <c r="A416" s="188"/>
    </row>
    <row r="417" spans="1:1" ht="12.75">
      <c r="A417" s="188"/>
    </row>
    <row r="418" spans="1:1" ht="12.75">
      <c r="A418" s="188"/>
    </row>
    <row r="419" spans="1:1" ht="12.75">
      <c r="A419" s="188"/>
    </row>
    <row r="420" spans="1:1" ht="12.75">
      <c r="A420" s="188"/>
    </row>
    <row r="421" spans="1:1" ht="12.75">
      <c r="A421" s="188"/>
    </row>
    <row r="422" spans="1:1" ht="12.75">
      <c r="A422" s="188"/>
    </row>
    <row r="423" spans="1:1" ht="12.75">
      <c r="A423" s="188"/>
    </row>
    <row r="424" spans="1:1" ht="12.75">
      <c r="A424" s="188"/>
    </row>
    <row r="425" spans="1:1" ht="12.75">
      <c r="A425" s="188"/>
    </row>
    <row r="426" spans="1:1" ht="12.75">
      <c r="A426" s="188"/>
    </row>
    <row r="427" spans="1:1" ht="12.75">
      <c r="A427" s="188"/>
    </row>
    <row r="428" spans="1:1" ht="12.75">
      <c r="A428" s="188"/>
    </row>
    <row r="429" spans="1:1" ht="12.75">
      <c r="A429" s="188"/>
    </row>
    <row r="430" spans="1:1" ht="12.75">
      <c r="A430" s="188"/>
    </row>
    <row r="431" spans="1:1" ht="12.75">
      <c r="A431" s="188"/>
    </row>
    <row r="432" spans="1:1" ht="12.75">
      <c r="A432" s="188"/>
    </row>
    <row r="433" spans="1:1" ht="12.75">
      <c r="A433" s="188"/>
    </row>
    <row r="434" spans="1:1" ht="12.75">
      <c r="A434" s="188"/>
    </row>
    <row r="435" spans="1:1" ht="12.75">
      <c r="A435" s="188"/>
    </row>
    <row r="436" spans="1:1" ht="12.75">
      <c r="A436" s="188"/>
    </row>
    <row r="437" spans="1:1" ht="12.75">
      <c r="A437" s="188"/>
    </row>
    <row r="438" spans="1:1" ht="12.75">
      <c r="A438" s="188"/>
    </row>
    <row r="439" spans="1:1" ht="12.75">
      <c r="A439" s="188"/>
    </row>
    <row r="440" spans="1:1" ht="12.75">
      <c r="A440" s="188"/>
    </row>
    <row r="441" spans="1:1" ht="12.75">
      <c r="A441" s="188"/>
    </row>
    <row r="442" spans="1:1" ht="12.75">
      <c r="A442" s="188"/>
    </row>
    <row r="443" spans="1:1" ht="12.75">
      <c r="A443" s="188"/>
    </row>
    <row r="444" spans="1:1" ht="12.75">
      <c r="A444" s="188"/>
    </row>
    <row r="445" spans="1:1" ht="12.75">
      <c r="A445" s="188"/>
    </row>
    <row r="446" spans="1:1" ht="12.75">
      <c r="A446" s="188"/>
    </row>
    <row r="447" spans="1:1" ht="12.75">
      <c r="A447" s="188"/>
    </row>
    <row r="448" spans="1:1" ht="12.75">
      <c r="A448" s="188"/>
    </row>
    <row r="449" spans="1:1" ht="12.75">
      <c r="A449" s="188"/>
    </row>
    <row r="450" spans="1:1" ht="12.75">
      <c r="A450" s="188"/>
    </row>
    <row r="451" spans="1:1" ht="12.75">
      <c r="A451" s="188"/>
    </row>
    <row r="452" spans="1:1" ht="12.75">
      <c r="A452" s="188"/>
    </row>
    <row r="453" spans="1:1" ht="12.75">
      <c r="A453" s="188"/>
    </row>
    <row r="454" spans="1:1" ht="12.75">
      <c r="A454" s="188"/>
    </row>
    <row r="455" spans="1:1" ht="12.75">
      <c r="A455" s="188"/>
    </row>
    <row r="456" spans="1:1" ht="12.75">
      <c r="A456" s="188"/>
    </row>
    <row r="457" spans="1:1" ht="12.75">
      <c r="A457" s="188"/>
    </row>
    <row r="458" spans="1:1" ht="12.75">
      <c r="A458" s="188"/>
    </row>
    <row r="459" spans="1:1" ht="12.75">
      <c r="A459" s="188"/>
    </row>
    <row r="460" spans="1:1" ht="12.75">
      <c r="A460" s="188"/>
    </row>
    <row r="461" spans="1:1" ht="12.75">
      <c r="A461" s="188"/>
    </row>
    <row r="462" spans="1:1" ht="12.75">
      <c r="A462" s="188"/>
    </row>
    <row r="463" spans="1:1" ht="12.75">
      <c r="A463" s="188"/>
    </row>
    <row r="464" spans="1:1" ht="12.75">
      <c r="A464" s="188"/>
    </row>
    <row r="465" spans="1:1" ht="12.75">
      <c r="A465" s="188"/>
    </row>
    <row r="466" spans="1:1" ht="12.75">
      <c r="A466" s="188"/>
    </row>
    <row r="467" spans="1:1" ht="12.75">
      <c r="A467" s="188"/>
    </row>
    <row r="468" spans="1:1" ht="12.75">
      <c r="A468" s="188"/>
    </row>
    <row r="469" spans="1:1" ht="12.75">
      <c r="A469" s="188"/>
    </row>
    <row r="470" spans="1:1" ht="12.75">
      <c r="A470" s="188"/>
    </row>
    <row r="471" spans="1:1" ht="12.75">
      <c r="A471" s="188"/>
    </row>
    <row r="472" spans="1:1" ht="12.75">
      <c r="A472" s="188"/>
    </row>
    <row r="473" spans="1:1" ht="12.75">
      <c r="A473" s="188"/>
    </row>
    <row r="474" spans="1:1" ht="12.75">
      <c r="A474" s="188"/>
    </row>
    <row r="475" spans="1:1" ht="12.75">
      <c r="A475" s="188"/>
    </row>
    <row r="476" spans="1:1" ht="12.75">
      <c r="A476" s="188"/>
    </row>
    <row r="477" spans="1:1" ht="12.75">
      <c r="A477" s="188"/>
    </row>
    <row r="478" spans="1:1" ht="12.75">
      <c r="A478" s="188"/>
    </row>
    <row r="479" spans="1:1" ht="12.75">
      <c r="A479" s="188"/>
    </row>
    <row r="480" spans="1:1" ht="12.75">
      <c r="A480" s="188"/>
    </row>
    <row r="481" spans="1:1" ht="12.75">
      <c r="A481" s="188"/>
    </row>
    <row r="482" spans="1:1" ht="12.75">
      <c r="A482" s="188"/>
    </row>
    <row r="483" spans="1:1" ht="12.75">
      <c r="A483" s="188"/>
    </row>
    <row r="484" spans="1:1" ht="12.75">
      <c r="A484" s="188"/>
    </row>
    <row r="485" spans="1:1" ht="12.75">
      <c r="A485" s="188"/>
    </row>
    <row r="486" spans="1:1" ht="12.75">
      <c r="A486" s="188"/>
    </row>
    <row r="487" spans="1:1" ht="12.75">
      <c r="A487" s="188"/>
    </row>
    <row r="488" spans="1:1" ht="12.75">
      <c r="A488" s="188"/>
    </row>
    <row r="489" spans="1:1" ht="12.75">
      <c r="A489" s="188"/>
    </row>
    <row r="490" spans="1:1" ht="12.75">
      <c r="A490" s="188"/>
    </row>
    <row r="491" spans="1:1" ht="12.75">
      <c r="A491" s="188"/>
    </row>
    <row r="492" spans="1:1" ht="12.75">
      <c r="A492" s="188"/>
    </row>
    <row r="493" spans="1:1" ht="12.75">
      <c r="A493" s="188"/>
    </row>
    <row r="494" spans="1:1" ht="12.75">
      <c r="A494" s="188"/>
    </row>
    <row r="495" spans="1:1" ht="12.75">
      <c r="A495" s="188"/>
    </row>
    <row r="496" spans="1:1" ht="12.75">
      <c r="A496" s="188"/>
    </row>
    <row r="497" spans="1:1" ht="12.75">
      <c r="A497" s="188"/>
    </row>
    <row r="498" spans="1:1" ht="12.75">
      <c r="A498" s="188"/>
    </row>
    <row r="499" spans="1:1" ht="12.75">
      <c r="A499" s="188"/>
    </row>
    <row r="500" spans="1:1" ht="12.75">
      <c r="A500" s="188"/>
    </row>
    <row r="501" spans="1:1" ht="12.75">
      <c r="A501" s="188"/>
    </row>
    <row r="502" spans="1:1" ht="12.75">
      <c r="A502" s="188"/>
    </row>
    <row r="503" spans="1:1" ht="12.75">
      <c r="A503" s="188"/>
    </row>
    <row r="504" spans="1:1" ht="12.75">
      <c r="A504" s="188"/>
    </row>
    <row r="505" spans="1:1" ht="12.75">
      <c r="A505" s="188"/>
    </row>
    <row r="506" spans="1:1" ht="12.75">
      <c r="A506" s="188"/>
    </row>
    <row r="507" spans="1:1" ht="12.75">
      <c r="A507" s="188"/>
    </row>
    <row r="508" spans="1:1" ht="12.75">
      <c r="A508" s="188"/>
    </row>
    <row r="509" spans="1:1" ht="12.75">
      <c r="A509" s="188"/>
    </row>
    <row r="510" spans="1:1" ht="12.75">
      <c r="A510" s="188"/>
    </row>
    <row r="511" spans="1:1" ht="12.75">
      <c r="A511" s="188"/>
    </row>
    <row r="512" spans="1:1" ht="12.75">
      <c r="A512" s="188"/>
    </row>
    <row r="513" spans="1:1" ht="12.75">
      <c r="A513" s="188"/>
    </row>
    <row r="514" spans="1:1" ht="12.75">
      <c r="A514" s="188"/>
    </row>
    <row r="515" spans="1:1" ht="12.75">
      <c r="A515" s="188"/>
    </row>
    <row r="516" spans="1:1" ht="12.75">
      <c r="A516" s="188"/>
    </row>
    <row r="517" spans="1:1" ht="12.75">
      <c r="A517" s="188"/>
    </row>
    <row r="518" spans="1:1" ht="12.75">
      <c r="A518" s="188"/>
    </row>
    <row r="519" spans="1:1" ht="12.75">
      <c r="A519" s="188"/>
    </row>
    <row r="520" spans="1:1" ht="12.75">
      <c r="A520" s="188"/>
    </row>
    <row r="521" spans="1:1" ht="12.75">
      <c r="A521" s="188"/>
    </row>
    <row r="522" spans="1:1" ht="12.75">
      <c r="A522" s="188"/>
    </row>
    <row r="523" spans="1:1" ht="12.75">
      <c r="A523" s="188"/>
    </row>
    <row r="524" spans="1:1" ht="12.75">
      <c r="A524" s="188"/>
    </row>
    <row r="525" spans="1:1" ht="12.75">
      <c r="A525" s="188"/>
    </row>
    <row r="526" spans="1:1" ht="12.75">
      <c r="A526" s="188"/>
    </row>
    <row r="527" spans="1:1" ht="12.75">
      <c r="A527" s="188"/>
    </row>
    <row r="528" spans="1:1" ht="12.75">
      <c r="A528" s="188"/>
    </row>
    <row r="529" spans="1:1" ht="12.75">
      <c r="A529" s="188"/>
    </row>
    <row r="530" spans="1:1" ht="12.75">
      <c r="A530" s="188"/>
    </row>
    <row r="531" spans="1:1" ht="12.75">
      <c r="A531" s="188"/>
    </row>
    <row r="532" spans="1:1" ht="12.75">
      <c r="A532" s="188"/>
    </row>
    <row r="533" spans="1:1" ht="12.75">
      <c r="A533" s="188"/>
    </row>
    <row r="534" spans="1:1" ht="12.75">
      <c r="A534" s="188"/>
    </row>
    <row r="535" spans="1:1" ht="12.75">
      <c r="A535" s="188"/>
    </row>
    <row r="536" spans="1:1" ht="12.75">
      <c r="A536" s="188"/>
    </row>
    <row r="537" spans="1:1" ht="12.75">
      <c r="A537" s="188"/>
    </row>
    <row r="538" spans="1:1" ht="12.75">
      <c r="A538" s="188"/>
    </row>
    <row r="539" spans="1:1" ht="12.75">
      <c r="A539" s="188"/>
    </row>
    <row r="540" spans="1:1" ht="12.75">
      <c r="A540" s="188"/>
    </row>
    <row r="541" spans="1:1" ht="12.75">
      <c r="A541" s="188"/>
    </row>
    <row r="542" spans="1:1" ht="12.75">
      <c r="A542" s="188"/>
    </row>
    <row r="543" spans="1:1" ht="12.75">
      <c r="A543" s="188"/>
    </row>
    <row r="544" spans="1:1" ht="12.75">
      <c r="A544" s="188"/>
    </row>
    <row r="545" spans="1:1" ht="12.75">
      <c r="A545" s="188"/>
    </row>
    <row r="546" spans="1:1" ht="12.75">
      <c r="A546" s="188"/>
    </row>
    <row r="547" spans="1:1" ht="12.75">
      <c r="A547" s="188"/>
    </row>
    <row r="548" spans="1:1" ht="12.75">
      <c r="A548" s="188"/>
    </row>
    <row r="549" spans="1:1" ht="12.75">
      <c r="A549" s="188"/>
    </row>
    <row r="550" spans="1:1" ht="12.75">
      <c r="A550" s="188"/>
    </row>
    <row r="551" spans="1:1" ht="12.75">
      <c r="A551" s="188"/>
    </row>
    <row r="552" spans="1:1" ht="12.75">
      <c r="A552" s="188"/>
    </row>
    <row r="553" spans="1:1" ht="12.75">
      <c r="A553" s="188"/>
    </row>
    <row r="554" spans="1:1" ht="12.75">
      <c r="A554" s="188"/>
    </row>
    <row r="555" spans="1:1" ht="12.75">
      <c r="A555" s="188"/>
    </row>
    <row r="556" spans="1:1" ht="12.75">
      <c r="A556" s="188"/>
    </row>
    <row r="557" spans="1:1" ht="12.75">
      <c r="A557" s="188"/>
    </row>
    <row r="558" spans="1:1" ht="12.75">
      <c r="A558" s="188"/>
    </row>
    <row r="559" spans="1:1" ht="12.75">
      <c r="A559" s="188"/>
    </row>
    <row r="560" spans="1:1" ht="12.75">
      <c r="A560" s="188"/>
    </row>
    <row r="561" spans="1:1" ht="12.75">
      <c r="A561" s="188"/>
    </row>
    <row r="562" spans="1:1" ht="12.75">
      <c r="A562" s="188"/>
    </row>
    <row r="563" spans="1:1" ht="12.75">
      <c r="A563" s="188"/>
    </row>
    <row r="564" spans="1:1" ht="12.75">
      <c r="A564" s="188"/>
    </row>
    <row r="565" spans="1:1" ht="12.75">
      <c r="A565" s="188"/>
    </row>
    <row r="566" spans="1:1" ht="12.75">
      <c r="A566" s="188"/>
    </row>
    <row r="567" spans="1:1" ht="12.75">
      <c r="A567" s="188"/>
    </row>
    <row r="568" spans="1:1" ht="12.75">
      <c r="A568" s="188"/>
    </row>
    <row r="569" spans="1:1" ht="12.75">
      <c r="A569" s="188"/>
    </row>
    <row r="570" spans="1:1" ht="12.75">
      <c r="A570" s="188"/>
    </row>
    <row r="571" spans="1:1" ht="12.75">
      <c r="A571" s="188"/>
    </row>
    <row r="572" spans="1:1" ht="12.75">
      <c r="A572" s="188"/>
    </row>
    <row r="573" spans="1:1" ht="12.75">
      <c r="A573" s="188"/>
    </row>
    <row r="574" spans="1:1" ht="12.75">
      <c r="A574" s="188"/>
    </row>
    <row r="575" spans="1:1" ht="12.75">
      <c r="A575" s="188"/>
    </row>
    <row r="576" spans="1:1" ht="12.75">
      <c r="A576" s="188"/>
    </row>
    <row r="577" spans="1:1" ht="12.75">
      <c r="A577" s="188"/>
    </row>
    <row r="578" spans="1:1" ht="12.75">
      <c r="A578" s="188"/>
    </row>
    <row r="579" spans="1:1" ht="12.75">
      <c r="A579" s="188"/>
    </row>
    <row r="580" spans="1:1" ht="12.75">
      <c r="A580" s="188"/>
    </row>
    <row r="581" spans="1:1" ht="12.75">
      <c r="A581" s="188"/>
    </row>
    <row r="582" spans="1:1" ht="12.75">
      <c r="A582" s="188"/>
    </row>
    <row r="583" spans="1:1" ht="12.75">
      <c r="A583" s="188"/>
    </row>
    <row r="584" spans="1:1" ht="12.75">
      <c r="A584" s="188"/>
    </row>
    <row r="585" spans="1:1" ht="12.75">
      <c r="A585" s="188"/>
    </row>
    <row r="586" spans="1:1" ht="12.75">
      <c r="A586" s="188"/>
    </row>
    <row r="587" spans="1:1" ht="12.75">
      <c r="A587" s="188"/>
    </row>
    <row r="588" spans="1:1" ht="12.75">
      <c r="A588" s="188"/>
    </row>
    <row r="589" spans="1:1" ht="12.75">
      <c r="A589" s="188"/>
    </row>
    <row r="590" spans="1:1" ht="12.75">
      <c r="A590" s="188"/>
    </row>
    <row r="591" spans="1:1" ht="12.75">
      <c r="A591" s="188"/>
    </row>
    <row r="592" spans="1:1" ht="12.75">
      <c r="A592" s="188"/>
    </row>
    <row r="593" spans="1:1" ht="12.75">
      <c r="A593" s="188"/>
    </row>
    <row r="594" spans="1:1" ht="12.75">
      <c r="A594" s="188"/>
    </row>
    <row r="595" spans="1:1" ht="12.75">
      <c r="A595" s="188"/>
    </row>
    <row r="596" spans="1:1" ht="12.75">
      <c r="A596" s="188"/>
    </row>
    <row r="597" spans="1:1" ht="12.75">
      <c r="A597" s="188"/>
    </row>
    <row r="598" spans="1:1" ht="12.75">
      <c r="A598" s="188"/>
    </row>
    <row r="599" spans="1:1" ht="12.75">
      <c r="A599" s="188"/>
    </row>
    <row r="600" spans="1:1" ht="12.75">
      <c r="A600" s="188"/>
    </row>
    <row r="601" spans="1:1" ht="12.75">
      <c r="A601" s="188"/>
    </row>
    <row r="602" spans="1:1" ht="12.75">
      <c r="A602" s="188"/>
    </row>
    <row r="603" spans="1:1" ht="12.75">
      <c r="A603" s="188"/>
    </row>
    <row r="604" spans="1:1" ht="12.75">
      <c r="A604" s="188"/>
    </row>
    <row r="605" spans="1:1" ht="12.75">
      <c r="A605" s="188"/>
    </row>
    <row r="606" spans="1:1" ht="12.75">
      <c r="A606" s="188"/>
    </row>
    <row r="607" spans="1:1" ht="12.75">
      <c r="A607" s="188"/>
    </row>
    <row r="608" spans="1:1" ht="12.75">
      <c r="A608" s="188"/>
    </row>
    <row r="609" spans="1:1" ht="12.75">
      <c r="A609" s="188"/>
    </row>
    <row r="610" spans="1:1" ht="12.75">
      <c r="A610" s="188"/>
    </row>
    <row r="611" spans="1:1" ht="12.75">
      <c r="A611" s="188"/>
    </row>
    <row r="612" spans="1:1" ht="12.75">
      <c r="A612" s="188"/>
    </row>
    <row r="613" spans="1:1" ht="12.75">
      <c r="A613" s="188"/>
    </row>
    <row r="614" spans="1:1" ht="12.75">
      <c r="A614" s="188"/>
    </row>
    <row r="615" spans="1:1" ht="12.75">
      <c r="A615" s="188"/>
    </row>
    <row r="616" spans="1:1" ht="12.75">
      <c r="A616" s="188"/>
    </row>
    <row r="617" spans="1:1" ht="12.75">
      <c r="A617" s="188"/>
    </row>
    <row r="618" spans="1:1" ht="12.75">
      <c r="A618" s="188"/>
    </row>
    <row r="619" spans="1:1" ht="12.75">
      <c r="A619" s="188"/>
    </row>
    <row r="620" spans="1:1" ht="12.75">
      <c r="A620" s="188"/>
    </row>
    <row r="621" spans="1:1" ht="12.75">
      <c r="A621" s="188"/>
    </row>
    <row r="622" spans="1:1" ht="12.75">
      <c r="A622" s="188"/>
    </row>
    <row r="623" spans="1:1" ht="12.75">
      <c r="A623" s="188"/>
    </row>
    <row r="624" spans="1:1" ht="12.75">
      <c r="A624" s="188"/>
    </row>
    <row r="625" spans="1:1" ht="12.75">
      <c r="A625" s="188"/>
    </row>
    <row r="626" spans="1:1" ht="12.75">
      <c r="A626" s="188"/>
    </row>
    <row r="627" spans="1:1" ht="12.75">
      <c r="A627" s="188"/>
    </row>
    <row r="628" spans="1:1" ht="12.75">
      <c r="A628" s="188"/>
    </row>
    <row r="629" spans="1:1" ht="12.75">
      <c r="A629" s="188"/>
    </row>
    <row r="630" spans="1:1" ht="12.75">
      <c r="A630" s="188"/>
    </row>
    <row r="631" spans="1:1" ht="12.75">
      <c r="A631" s="188"/>
    </row>
    <row r="632" spans="1:1" ht="12.75">
      <c r="A632" s="188"/>
    </row>
    <row r="633" spans="1:1" ht="12.75">
      <c r="A633" s="188"/>
    </row>
    <row r="634" spans="1:1" ht="12.75">
      <c r="A634" s="188"/>
    </row>
    <row r="635" spans="1:1" ht="12.75">
      <c r="A635" s="188"/>
    </row>
    <row r="636" spans="1:1" ht="12.75">
      <c r="A636" s="188"/>
    </row>
    <row r="637" spans="1:1" ht="12.75">
      <c r="A637" s="188"/>
    </row>
    <row r="638" spans="1:1" ht="12.75">
      <c r="A638" s="188"/>
    </row>
    <row r="639" spans="1:1" ht="12.75">
      <c r="A639" s="188"/>
    </row>
    <row r="640" spans="1:1" ht="12.75">
      <c r="A640" s="188"/>
    </row>
    <row r="641" spans="1:1" ht="12.75">
      <c r="A641" s="188"/>
    </row>
    <row r="642" spans="1:1" ht="12.75">
      <c r="A642" s="188"/>
    </row>
    <row r="643" spans="1:1" ht="12.75">
      <c r="A643" s="188"/>
    </row>
    <row r="644" spans="1:1" ht="12.75">
      <c r="A644" s="188"/>
    </row>
    <row r="645" spans="1:1" ht="12.75">
      <c r="A645" s="188"/>
    </row>
    <row r="646" spans="1:1" ht="12.75">
      <c r="A646" s="188"/>
    </row>
    <row r="647" spans="1:1" ht="12.75">
      <c r="A647" s="188"/>
    </row>
    <row r="648" spans="1:1" ht="12.75">
      <c r="A648" s="188"/>
    </row>
    <row r="649" spans="1:1" ht="12.75">
      <c r="A649" s="188"/>
    </row>
    <row r="650" spans="1:1" ht="12.75">
      <c r="A650" s="188"/>
    </row>
    <row r="651" spans="1:1" ht="12.75">
      <c r="A651" s="188"/>
    </row>
    <row r="652" spans="1:1" ht="12.75">
      <c r="A652" s="188"/>
    </row>
    <row r="653" spans="1:1" ht="12.75">
      <c r="A653" s="188"/>
    </row>
    <row r="654" spans="1:1" ht="12.75">
      <c r="A654" s="188"/>
    </row>
    <row r="655" spans="1:1" ht="12.75">
      <c r="A655" s="188"/>
    </row>
    <row r="656" spans="1:1" ht="12.75">
      <c r="A656" s="188"/>
    </row>
    <row r="657" spans="1:1" ht="12.75">
      <c r="A657" s="188"/>
    </row>
    <row r="658" spans="1:1" ht="12.75">
      <c r="A658" s="188"/>
    </row>
    <row r="659" spans="1:1" ht="12.75">
      <c r="A659" s="188"/>
    </row>
    <row r="660" spans="1:1" ht="12.75">
      <c r="A660" s="188"/>
    </row>
    <row r="661" spans="1:1" ht="12.75">
      <c r="A661" s="188"/>
    </row>
    <row r="662" spans="1:1" ht="12.75">
      <c r="A662" s="188"/>
    </row>
    <row r="663" spans="1:1" ht="12.75">
      <c r="A663" s="188"/>
    </row>
    <row r="664" spans="1:1" ht="12.75">
      <c r="A664" s="188"/>
    </row>
    <row r="665" spans="1:1" ht="12.75">
      <c r="A665" s="188"/>
    </row>
    <row r="666" spans="1:1" ht="12.75">
      <c r="A666" s="188"/>
    </row>
    <row r="667" spans="1:1" ht="12.75">
      <c r="A667" s="188"/>
    </row>
    <row r="668" spans="1:1" ht="12.75">
      <c r="A668" s="188"/>
    </row>
    <row r="669" spans="1:1" ht="12.75">
      <c r="A669" s="188"/>
    </row>
    <row r="670" spans="1:1" ht="12.75">
      <c r="A670" s="188"/>
    </row>
    <row r="671" spans="1:1" ht="12.75">
      <c r="A671" s="188"/>
    </row>
    <row r="672" spans="1:1" ht="12.75">
      <c r="A672" s="188"/>
    </row>
    <row r="673" spans="1:1" ht="12.75">
      <c r="A673" s="188"/>
    </row>
    <row r="674" spans="1:1" ht="12.75">
      <c r="A674" s="188"/>
    </row>
    <row r="675" spans="1:1" ht="12.75">
      <c r="A675" s="188"/>
    </row>
    <row r="676" spans="1:1" ht="12.75">
      <c r="A676" s="188"/>
    </row>
    <row r="677" spans="1:1" ht="12.75">
      <c r="A677" s="188"/>
    </row>
    <row r="678" spans="1:1" ht="12.75">
      <c r="A678" s="188"/>
    </row>
    <row r="679" spans="1:1" ht="12.75">
      <c r="A679" s="188"/>
    </row>
    <row r="680" spans="1:1" ht="12.75">
      <c r="A680" s="188"/>
    </row>
    <row r="681" spans="1:1" ht="12.75">
      <c r="A681" s="188"/>
    </row>
    <row r="682" spans="1:1" ht="12.75">
      <c r="A682" s="188"/>
    </row>
    <row r="683" spans="1:1" ht="12.75">
      <c r="A683" s="188"/>
    </row>
    <row r="684" spans="1:1" ht="12.75">
      <c r="A684" s="188"/>
    </row>
    <row r="685" spans="1:1" ht="12.75">
      <c r="A685" s="188"/>
    </row>
    <row r="686" spans="1:1" ht="12.75">
      <c r="A686" s="188"/>
    </row>
    <row r="687" spans="1:1" ht="12.75">
      <c r="A687" s="188"/>
    </row>
    <row r="688" spans="1:1" ht="12.75">
      <c r="A688" s="188"/>
    </row>
    <row r="689" spans="1:1" ht="12.75">
      <c r="A689" s="188"/>
    </row>
    <row r="690" spans="1:1" ht="12.75">
      <c r="A690" s="188"/>
    </row>
    <row r="691" spans="1:1" ht="12.75">
      <c r="A691" s="188"/>
    </row>
    <row r="692" spans="1:1" ht="12.75">
      <c r="A692" s="188"/>
    </row>
    <row r="693" spans="1:1" ht="12.75">
      <c r="A693" s="188"/>
    </row>
    <row r="694" spans="1:1" ht="12.75">
      <c r="A694" s="188"/>
    </row>
    <row r="695" spans="1:1" ht="12.75">
      <c r="A695" s="188"/>
    </row>
    <row r="696" spans="1:1" ht="12.75">
      <c r="A696" s="188"/>
    </row>
    <row r="697" spans="1:1" ht="12.75">
      <c r="A697" s="188"/>
    </row>
    <row r="698" spans="1:1" ht="12.75">
      <c r="A698" s="188"/>
    </row>
    <row r="699" spans="1:1" ht="12.75">
      <c r="A699" s="188"/>
    </row>
    <row r="700" spans="1:1" ht="12.75">
      <c r="A700" s="188"/>
    </row>
    <row r="701" spans="1:1" ht="12.75">
      <c r="A701" s="188"/>
    </row>
    <row r="702" spans="1:1" ht="12.75">
      <c r="A702" s="188"/>
    </row>
    <row r="703" spans="1:1" ht="12.75">
      <c r="A703" s="188"/>
    </row>
    <row r="704" spans="1:1" ht="12.75">
      <c r="A704" s="188"/>
    </row>
    <row r="705" spans="1:1" ht="12.75">
      <c r="A705" s="188"/>
    </row>
    <row r="706" spans="1:1" ht="12.75">
      <c r="A706" s="188"/>
    </row>
    <row r="707" spans="1:1" ht="12.75">
      <c r="A707" s="188"/>
    </row>
    <row r="708" spans="1:1" ht="12.75">
      <c r="A708" s="188"/>
    </row>
    <row r="709" spans="1:1" ht="12.75">
      <c r="A709" s="188"/>
    </row>
    <row r="710" spans="1:1" ht="12.75">
      <c r="A710" s="188"/>
    </row>
    <row r="711" spans="1:1" ht="12.75">
      <c r="A711" s="188"/>
    </row>
    <row r="712" spans="1:1" ht="12.75">
      <c r="A712" s="188"/>
    </row>
    <row r="713" spans="1:1" ht="12.75">
      <c r="A713" s="188"/>
    </row>
    <row r="714" spans="1:1" ht="12.75">
      <c r="A714" s="188"/>
    </row>
    <row r="715" spans="1:1" ht="12.75">
      <c r="A715" s="188"/>
    </row>
    <row r="716" spans="1:1" ht="12.75">
      <c r="A716" s="188"/>
    </row>
    <row r="717" spans="1:1" ht="12.75">
      <c r="A717" s="188"/>
    </row>
    <row r="718" spans="1:1" ht="12.75">
      <c r="A718" s="188"/>
    </row>
    <row r="719" spans="1:1" ht="12.75">
      <c r="A719" s="188"/>
    </row>
    <row r="720" spans="1:1" ht="12.75">
      <c r="A720" s="188"/>
    </row>
    <row r="721" spans="1:1" ht="12.75">
      <c r="A721" s="188"/>
    </row>
    <row r="722" spans="1:1" ht="12.75">
      <c r="A722" s="188"/>
    </row>
    <row r="723" spans="1:1" ht="12.75">
      <c r="A723" s="188"/>
    </row>
    <row r="724" spans="1:1" ht="12.75">
      <c r="A724" s="188"/>
    </row>
    <row r="725" spans="1:1" ht="12.75">
      <c r="A725" s="188"/>
    </row>
    <row r="726" spans="1:1" ht="12.75">
      <c r="A726" s="188"/>
    </row>
    <row r="727" spans="1:1" ht="12.75">
      <c r="A727" s="188"/>
    </row>
    <row r="728" spans="1:1" ht="12.75">
      <c r="A728" s="188"/>
    </row>
    <row r="729" spans="1:1" ht="12.75">
      <c r="A729" s="188"/>
    </row>
    <row r="730" spans="1:1" ht="12.75">
      <c r="A730" s="188"/>
    </row>
    <row r="731" spans="1:1" ht="12.75">
      <c r="A731" s="188"/>
    </row>
    <row r="732" spans="1:1" ht="12.75">
      <c r="A732" s="188"/>
    </row>
    <row r="733" spans="1:1" ht="12.75">
      <c r="A733" s="188"/>
    </row>
    <row r="734" spans="1:1" ht="12.75">
      <c r="A734" s="188"/>
    </row>
    <row r="735" spans="1:1" ht="12.75">
      <c r="A735" s="188"/>
    </row>
    <row r="736" spans="1:1" ht="12.75">
      <c r="A736" s="188"/>
    </row>
    <row r="737" spans="1:1" ht="12.75">
      <c r="A737" s="188"/>
    </row>
    <row r="738" spans="1:1" ht="12.75">
      <c r="A738" s="188"/>
    </row>
    <row r="739" spans="1:1" ht="12.75">
      <c r="A739" s="188"/>
    </row>
    <row r="740" spans="1:1" ht="12.75">
      <c r="A740" s="188"/>
    </row>
    <row r="741" spans="1:1" ht="12.75">
      <c r="A741" s="188"/>
    </row>
    <row r="742" spans="1:1" ht="12.75">
      <c r="A742" s="188"/>
    </row>
    <row r="743" spans="1:1" ht="12.75">
      <c r="A743" s="188"/>
    </row>
    <row r="744" spans="1:1" ht="12.75">
      <c r="A744" s="188"/>
    </row>
    <row r="745" spans="1:1" ht="12.75">
      <c r="A745" s="188"/>
    </row>
    <row r="746" spans="1:1" ht="12.75">
      <c r="A746" s="188"/>
    </row>
    <row r="747" spans="1:1" ht="12.75">
      <c r="A747" s="188"/>
    </row>
    <row r="748" spans="1:1" ht="12.75">
      <c r="A748" s="188"/>
    </row>
    <row r="749" spans="1:1" ht="12.75">
      <c r="A749" s="188"/>
    </row>
    <row r="750" spans="1:1" ht="12.75">
      <c r="A750" s="188"/>
    </row>
    <row r="751" spans="1:1" ht="12.75">
      <c r="A751" s="188"/>
    </row>
    <row r="752" spans="1:1" ht="12.75">
      <c r="A752" s="188"/>
    </row>
    <row r="753" spans="1:1" ht="12.75">
      <c r="A753" s="188"/>
    </row>
    <row r="754" spans="1:1" ht="12.75">
      <c r="A754" s="188"/>
    </row>
    <row r="755" spans="1:1" ht="12.75">
      <c r="A755" s="188"/>
    </row>
    <row r="756" spans="1:1" ht="12.75">
      <c r="A756" s="188"/>
    </row>
    <row r="757" spans="1:1" ht="12.75">
      <c r="A757" s="188"/>
    </row>
    <row r="758" spans="1:1" ht="12.75">
      <c r="A758" s="188"/>
    </row>
    <row r="759" spans="1:1" ht="12.75">
      <c r="A759" s="188"/>
    </row>
    <row r="760" spans="1:1" ht="12.75">
      <c r="A760" s="188"/>
    </row>
    <row r="761" spans="1:1" ht="12.75">
      <c r="A761" s="188"/>
    </row>
    <row r="762" spans="1:1" ht="12.75">
      <c r="A762" s="188"/>
    </row>
    <row r="763" spans="1:1" ht="12.75">
      <c r="A763" s="188"/>
    </row>
    <row r="764" spans="1:1" ht="12.75">
      <c r="A764" s="188"/>
    </row>
    <row r="765" spans="1:1" ht="12.75">
      <c r="A765" s="188"/>
    </row>
    <row r="766" spans="1:1" ht="12.75">
      <c r="A766" s="188"/>
    </row>
    <row r="767" spans="1:1" ht="12.75">
      <c r="A767" s="188"/>
    </row>
    <row r="768" spans="1:1" ht="12.75">
      <c r="A768" s="188"/>
    </row>
    <row r="769" spans="1:1" ht="12.75">
      <c r="A769" s="188"/>
    </row>
    <row r="770" spans="1:1" ht="12.75">
      <c r="A770" s="188"/>
    </row>
    <row r="771" spans="1:1" ht="12.75">
      <c r="A771" s="188"/>
    </row>
    <row r="772" spans="1:1" ht="12.75">
      <c r="A772" s="188"/>
    </row>
    <row r="773" spans="1:1" ht="12.75">
      <c r="A773" s="188"/>
    </row>
    <row r="774" spans="1:1" ht="12.75">
      <c r="A774" s="188"/>
    </row>
    <row r="775" spans="1:1" ht="12.75">
      <c r="A775" s="188"/>
    </row>
    <row r="776" spans="1:1" ht="12.75">
      <c r="A776" s="188"/>
    </row>
    <row r="777" spans="1:1" ht="12.75">
      <c r="A777" s="188"/>
    </row>
    <row r="778" spans="1:1" ht="12.75">
      <c r="A778" s="188"/>
    </row>
    <row r="779" spans="1:1" ht="12.75">
      <c r="A779" s="188"/>
    </row>
    <row r="780" spans="1:1" ht="12.75">
      <c r="A780" s="188"/>
    </row>
    <row r="781" spans="1:1" ht="12.75">
      <c r="A781" s="188"/>
    </row>
    <row r="782" spans="1:1" ht="12.75">
      <c r="A782" s="188"/>
    </row>
    <row r="783" spans="1:1" ht="12.75">
      <c r="A783" s="188"/>
    </row>
    <row r="784" spans="1:1" ht="12.75">
      <c r="A784" s="188"/>
    </row>
    <row r="785" spans="1:1" ht="12.75">
      <c r="A785" s="188"/>
    </row>
    <row r="786" spans="1:1" ht="12.75">
      <c r="A786" s="188"/>
    </row>
    <row r="787" spans="1:1" ht="12.75">
      <c r="A787" s="188"/>
    </row>
    <row r="788" spans="1:1" ht="12.75">
      <c r="A788" s="188"/>
    </row>
    <row r="789" spans="1:1" ht="12.75">
      <c r="A789" s="188"/>
    </row>
    <row r="790" spans="1:1" ht="12.75">
      <c r="A790" s="188"/>
    </row>
    <row r="791" spans="1:1" ht="12.75">
      <c r="A791" s="188"/>
    </row>
    <row r="792" spans="1:1" ht="12.75">
      <c r="A792" s="188"/>
    </row>
    <row r="793" spans="1:1" ht="12.75">
      <c r="A793" s="188"/>
    </row>
    <row r="794" spans="1:1" ht="12.75">
      <c r="A794" s="188"/>
    </row>
    <row r="795" spans="1:1" ht="12.75">
      <c r="A795" s="188"/>
    </row>
    <row r="796" spans="1:1" ht="12.75">
      <c r="A796" s="188"/>
    </row>
    <row r="797" spans="1:1" ht="12.75">
      <c r="A797" s="188"/>
    </row>
    <row r="798" spans="1:1" ht="12.75">
      <c r="A798" s="188"/>
    </row>
    <row r="799" spans="1:1" ht="12.75">
      <c r="A799" s="188"/>
    </row>
    <row r="800" spans="1:1" ht="12.75">
      <c r="A800" s="188"/>
    </row>
    <row r="801" spans="1:1" ht="12.75">
      <c r="A801" s="188"/>
    </row>
    <row r="802" spans="1:1" ht="12.75">
      <c r="A802" s="188"/>
    </row>
    <row r="803" spans="1:1" ht="12.75">
      <c r="A803" s="188"/>
    </row>
    <row r="804" spans="1:1" ht="12.75">
      <c r="A804" s="188"/>
    </row>
    <row r="805" spans="1:1" ht="12.75">
      <c r="A805" s="188"/>
    </row>
    <row r="806" spans="1:1" ht="12.75">
      <c r="A806" s="188"/>
    </row>
    <row r="807" spans="1:1" ht="12.75">
      <c r="A807" s="188"/>
    </row>
    <row r="808" spans="1:1" ht="12.75">
      <c r="A808" s="188"/>
    </row>
    <row r="809" spans="1:1" ht="12.75">
      <c r="A809" s="188"/>
    </row>
    <row r="810" spans="1:1" ht="12.75">
      <c r="A810" s="188"/>
    </row>
    <row r="811" spans="1:1" ht="12.75">
      <c r="A811" s="188"/>
    </row>
    <row r="812" spans="1:1" ht="12.75">
      <c r="A812" s="188"/>
    </row>
    <row r="813" spans="1:1" ht="12.75">
      <c r="A813" s="188"/>
    </row>
    <row r="814" spans="1:1" ht="12.75">
      <c r="A814" s="188"/>
    </row>
    <row r="815" spans="1:1" ht="12.75">
      <c r="A815" s="188"/>
    </row>
    <row r="816" spans="1:1" ht="12.75">
      <c r="A816" s="188"/>
    </row>
    <row r="817" spans="1:1" ht="12.75">
      <c r="A817" s="188"/>
    </row>
    <row r="818" spans="1:1" ht="12.75">
      <c r="A818" s="188"/>
    </row>
    <row r="819" spans="1:1" ht="12.75">
      <c r="A819" s="188"/>
    </row>
    <row r="820" spans="1:1" ht="12.75">
      <c r="A820" s="188"/>
    </row>
    <row r="821" spans="1:1" ht="12.75">
      <c r="A821" s="188"/>
    </row>
    <row r="822" spans="1:1" ht="12.75">
      <c r="A822" s="188"/>
    </row>
    <row r="823" spans="1:1" ht="12.75">
      <c r="A823" s="188"/>
    </row>
    <row r="824" spans="1:1" ht="12.75">
      <c r="A824" s="188"/>
    </row>
    <row r="825" spans="1:1" ht="12.75">
      <c r="A825" s="188"/>
    </row>
    <row r="826" spans="1:1" ht="12.75">
      <c r="A826" s="188"/>
    </row>
    <row r="827" spans="1:1" ht="12.75">
      <c r="A827" s="188"/>
    </row>
    <row r="828" spans="1:1" ht="12.75">
      <c r="A828" s="188"/>
    </row>
    <row r="829" spans="1:1" ht="12.75">
      <c r="A829" s="188"/>
    </row>
    <row r="830" spans="1:1" ht="12.75">
      <c r="A830" s="188"/>
    </row>
    <row r="831" spans="1:1" ht="12.75">
      <c r="A831" s="188"/>
    </row>
    <row r="832" spans="1:1" ht="12.75">
      <c r="A832" s="188"/>
    </row>
    <row r="833" spans="1:1" ht="12.75">
      <c r="A833" s="188"/>
    </row>
    <row r="834" spans="1:1" ht="12.75">
      <c r="A834" s="188"/>
    </row>
    <row r="835" spans="1:1" ht="12.75">
      <c r="A835" s="188"/>
    </row>
    <row r="836" spans="1:1" ht="12.75">
      <c r="A836" s="188"/>
    </row>
    <row r="837" spans="1:1" ht="12.75">
      <c r="A837" s="188"/>
    </row>
    <row r="838" spans="1:1" ht="12.75">
      <c r="A838" s="188"/>
    </row>
    <row r="839" spans="1:1" ht="12.75">
      <c r="A839" s="188"/>
    </row>
    <row r="840" spans="1:1" ht="12.75">
      <c r="A840" s="188"/>
    </row>
    <row r="841" spans="1:1" ht="12.75">
      <c r="A841" s="188"/>
    </row>
    <row r="842" spans="1:1" ht="12.75">
      <c r="A842" s="188"/>
    </row>
    <row r="843" spans="1:1" ht="12.75">
      <c r="A843" s="188"/>
    </row>
    <row r="844" spans="1:1" ht="12.75">
      <c r="A844" s="188"/>
    </row>
    <row r="845" spans="1:1" ht="12.75">
      <c r="A845" s="188"/>
    </row>
    <row r="846" spans="1:1" ht="12.75">
      <c r="A846" s="188"/>
    </row>
    <row r="847" spans="1:1" ht="12.75">
      <c r="A847" s="188"/>
    </row>
    <row r="848" spans="1:1" ht="12.75">
      <c r="A848" s="188"/>
    </row>
    <row r="849" spans="1:1" ht="12.75">
      <c r="A849" s="188"/>
    </row>
    <row r="850" spans="1:1" ht="12.75">
      <c r="A850" s="188"/>
    </row>
    <row r="851" spans="1:1" ht="12.75">
      <c r="A851" s="188"/>
    </row>
    <row r="852" spans="1:1" ht="12.75">
      <c r="A852" s="188"/>
    </row>
    <row r="853" spans="1:1" ht="12.75">
      <c r="A853" s="188"/>
    </row>
    <row r="854" spans="1:1" ht="12.75">
      <c r="A854" s="188"/>
    </row>
    <row r="855" spans="1:1" ht="12.75">
      <c r="A855" s="188"/>
    </row>
    <row r="856" spans="1:1" ht="12.75">
      <c r="A856" s="188"/>
    </row>
    <row r="857" spans="1:1" ht="12.75">
      <c r="A857" s="188"/>
    </row>
    <row r="858" spans="1:1" ht="12.75">
      <c r="A858" s="188"/>
    </row>
    <row r="859" spans="1:1" ht="12.75">
      <c r="A859" s="188"/>
    </row>
    <row r="860" spans="1:1" ht="12.75">
      <c r="A860" s="188"/>
    </row>
    <row r="861" spans="1:1" ht="12.75">
      <c r="A861" s="188"/>
    </row>
    <row r="862" spans="1:1" ht="12.75">
      <c r="A862" s="188"/>
    </row>
    <row r="863" spans="1:1" ht="12.75">
      <c r="A863" s="188"/>
    </row>
    <row r="864" spans="1:1" ht="12.75">
      <c r="A864" s="188"/>
    </row>
    <row r="865" spans="1:1" ht="12.75">
      <c r="A865" s="188"/>
    </row>
    <row r="866" spans="1:1" ht="12.75">
      <c r="A866" s="188"/>
    </row>
    <row r="867" spans="1:1" ht="12.75">
      <c r="A867" s="188"/>
    </row>
    <row r="868" spans="1:1" ht="12.75">
      <c r="A868" s="188"/>
    </row>
    <row r="869" spans="1:1" ht="12.75">
      <c r="A869" s="188"/>
    </row>
    <row r="870" spans="1:1" ht="12.75">
      <c r="A870" s="188"/>
    </row>
    <row r="871" spans="1:1" ht="12.75">
      <c r="A871" s="188"/>
    </row>
    <row r="872" spans="1:1" ht="12.75">
      <c r="A872" s="188"/>
    </row>
    <row r="873" spans="1:1" ht="12.75">
      <c r="A873" s="188"/>
    </row>
    <row r="874" spans="1:1" ht="12.75">
      <c r="A874" s="188"/>
    </row>
    <row r="875" spans="1:1" ht="12.75">
      <c r="A875" s="188"/>
    </row>
    <row r="876" spans="1:1" ht="12.75">
      <c r="A876" s="188"/>
    </row>
    <row r="877" spans="1:1" ht="12.75">
      <c r="A877" s="188"/>
    </row>
    <row r="878" spans="1:1" ht="12.75">
      <c r="A878" s="188"/>
    </row>
    <row r="879" spans="1:1" ht="12.75">
      <c r="A879" s="188"/>
    </row>
    <row r="880" spans="1:1" ht="12.75">
      <c r="A880" s="188"/>
    </row>
    <row r="881" spans="1:1" ht="12.75">
      <c r="A881" s="188"/>
    </row>
    <row r="882" spans="1:1" ht="12.75">
      <c r="A882" s="188"/>
    </row>
    <row r="883" spans="1:1" ht="12.75">
      <c r="A883" s="188"/>
    </row>
    <row r="884" spans="1:1" ht="12.75">
      <c r="A884" s="188"/>
    </row>
    <row r="885" spans="1:1" ht="12.75">
      <c r="A885" s="188"/>
    </row>
    <row r="886" spans="1:1" ht="12.75">
      <c r="A886" s="188"/>
    </row>
    <row r="887" spans="1:1" ht="12.75">
      <c r="A887" s="188"/>
    </row>
    <row r="888" spans="1:1" ht="12.75">
      <c r="A888" s="188"/>
    </row>
    <row r="889" spans="1:1" ht="12.75">
      <c r="A889" s="188"/>
    </row>
    <row r="890" spans="1:1" ht="12.75">
      <c r="A890" s="188"/>
    </row>
    <row r="891" spans="1:1" ht="12.75">
      <c r="A891" s="188"/>
    </row>
    <row r="892" spans="1:1" ht="12.75">
      <c r="A892" s="188"/>
    </row>
    <row r="893" spans="1:1" ht="12.75">
      <c r="A893" s="188"/>
    </row>
    <row r="894" spans="1:1" ht="12.75">
      <c r="A894" s="188"/>
    </row>
    <row r="895" spans="1:1" ht="12.75">
      <c r="A895" s="188"/>
    </row>
    <row r="896" spans="1:1" ht="12.75">
      <c r="A896" s="188"/>
    </row>
    <row r="897" spans="1:1" ht="12.75">
      <c r="A897" s="188"/>
    </row>
    <row r="898" spans="1:1" ht="12.75">
      <c r="A898" s="188"/>
    </row>
    <row r="899" spans="1:1" ht="12.75">
      <c r="A899" s="188"/>
    </row>
    <row r="900" spans="1:1" ht="12.75">
      <c r="A900" s="188"/>
    </row>
    <row r="901" spans="1:1" ht="12.75">
      <c r="A901" s="188"/>
    </row>
    <row r="902" spans="1:1" ht="12.75">
      <c r="A902" s="188"/>
    </row>
    <row r="903" spans="1:1" ht="12.75">
      <c r="A903" s="188"/>
    </row>
    <row r="904" spans="1:1" ht="12.75">
      <c r="A904" s="188"/>
    </row>
    <row r="905" spans="1:1" ht="12.75">
      <c r="A905" s="188"/>
    </row>
    <row r="906" spans="1:1" ht="12.75">
      <c r="A906" s="188"/>
    </row>
    <row r="907" spans="1:1" ht="12.75">
      <c r="A907" s="188"/>
    </row>
    <row r="908" spans="1:1" ht="12.75">
      <c r="A908" s="188"/>
    </row>
    <row r="909" spans="1:1" ht="12.75">
      <c r="A909" s="188"/>
    </row>
    <row r="910" spans="1:1" ht="12.75">
      <c r="A910" s="188"/>
    </row>
    <row r="911" spans="1:1" ht="12.75">
      <c r="A911" s="188"/>
    </row>
    <row r="912" spans="1:1" ht="12.75">
      <c r="A912" s="188"/>
    </row>
    <row r="913" spans="1:1" ht="12.75">
      <c r="A913" s="188"/>
    </row>
    <row r="914" spans="1:1" ht="12.75">
      <c r="A914" s="188"/>
    </row>
    <row r="915" spans="1:1" ht="12.75">
      <c r="A915" s="188"/>
    </row>
    <row r="916" spans="1:1" ht="12.75">
      <c r="A916" s="188"/>
    </row>
    <row r="917" spans="1:1" ht="12.75">
      <c r="A917" s="188"/>
    </row>
    <row r="918" spans="1:1" ht="12.75">
      <c r="A918" s="188"/>
    </row>
    <row r="919" spans="1:1" ht="12.75">
      <c r="A919" s="188"/>
    </row>
    <row r="920" spans="1:1" ht="12.75">
      <c r="A920" s="188"/>
    </row>
    <row r="921" spans="1:1" ht="12.75">
      <c r="A921" s="188"/>
    </row>
    <row r="922" spans="1:1" ht="12.75">
      <c r="A922" s="188"/>
    </row>
    <row r="923" spans="1:1" ht="12.75">
      <c r="A923" s="188"/>
    </row>
    <row r="924" spans="1:1" ht="12.75">
      <c r="A924" s="188"/>
    </row>
    <row r="925" spans="1:1" ht="12.75">
      <c r="A925" s="188"/>
    </row>
    <row r="926" spans="1:1" ht="12.75">
      <c r="A926" s="188"/>
    </row>
    <row r="927" spans="1:1" ht="12.75">
      <c r="A927" s="188"/>
    </row>
    <row r="928" spans="1:1" ht="12.75">
      <c r="A928" s="188"/>
    </row>
    <row r="929" spans="1:1" ht="12.75">
      <c r="A929" s="188"/>
    </row>
    <row r="930" spans="1:1" ht="12.75">
      <c r="A930" s="188"/>
    </row>
    <row r="931" spans="1:1" ht="12.75">
      <c r="A931" s="188"/>
    </row>
    <row r="932" spans="1:1" ht="12.75">
      <c r="A932" s="188"/>
    </row>
    <row r="933" spans="1:1" ht="12.75">
      <c r="A933" s="188"/>
    </row>
    <row r="934" spans="1:1" ht="12.75">
      <c r="A934" s="188"/>
    </row>
    <row r="935" spans="1:1" ht="12.75">
      <c r="A935" s="188"/>
    </row>
    <row r="936" spans="1:1" ht="12.75">
      <c r="A936" s="188"/>
    </row>
    <row r="937" spans="1:1" ht="12.75">
      <c r="A937" s="188"/>
    </row>
    <row r="938" spans="1:1" ht="12.75">
      <c r="A938" s="188"/>
    </row>
    <row r="939" spans="1:1" ht="12.75">
      <c r="A939" s="188"/>
    </row>
    <row r="940" spans="1:1" ht="12.75">
      <c r="A940" s="188"/>
    </row>
    <row r="941" spans="1:1" ht="12.75">
      <c r="A941" s="188"/>
    </row>
    <row r="942" spans="1:1" ht="12.75">
      <c r="A942" s="188"/>
    </row>
    <row r="943" spans="1:1" ht="12.75">
      <c r="A943" s="188"/>
    </row>
    <row r="944" spans="1:1" ht="12.75">
      <c r="A944" s="188"/>
    </row>
    <row r="945" spans="1:1" ht="12.75">
      <c r="A945" s="188"/>
    </row>
    <row r="946" spans="1:1" ht="12.75">
      <c r="A946" s="188"/>
    </row>
    <row r="947" spans="1:1" ht="12.75">
      <c r="A947" s="188"/>
    </row>
    <row r="948" spans="1:1" ht="12.75">
      <c r="A948" s="188"/>
    </row>
    <row r="949" spans="1:1" ht="12.75">
      <c r="A949" s="188"/>
    </row>
    <row r="950" spans="1:1" ht="12.75">
      <c r="A950" s="188"/>
    </row>
    <row r="951" spans="1:1" ht="12.75">
      <c r="A951" s="188"/>
    </row>
    <row r="952" spans="1:1" ht="12.75">
      <c r="A952" s="188"/>
    </row>
    <row r="953" spans="1:1" ht="12.75">
      <c r="A953" s="188"/>
    </row>
    <row r="954" spans="1:1" ht="12.75">
      <c r="A954" s="188"/>
    </row>
    <row r="955" spans="1:1" ht="12.75">
      <c r="A955" s="188"/>
    </row>
    <row r="956" spans="1:1" ht="12.75">
      <c r="A956" s="188"/>
    </row>
    <row r="957" spans="1:1" ht="12.75">
      <c r="A957" s="188"/>
    </row>
    <row r="958" spans="1:1" ht="12.75">
      <c r="A958" s="188"/>
    </row>
    <row r="959" spans="1:1" ht="12.75">
      <c r="A959" s="188"/>
    </row>
    <row r="960" spans="1:1" ht="12.75">
      <c r="A960" s="188"/>
    </row>
    <row r="961" spans="1:1" ht="12.75">
      <c r="A961" s="188"/>
    </row>
    <row r="962" spans="1:1" ht="12.75">
      <c r="A962" s="188"/>
    </row>
    <row r="963" spans="1:1" ht="12.75">
      <c r="A963" s="188"/>
    </row>
    <row r="964" spans="1:1" ht="12.75">
      <c r="A964" s="188"/>
    </row>
    <row r="965" spans="1:1" ht="12.75">
      <c r="A965" s="188"/>
    </row>
    <row r="966" spans="1:1" ht="12.75">
      <c r="A966" s="188"/>
    </row>
    <row r="967" spans="1:1" ht="12.75">
      <c r="A967" s="188"/>
    </row>
    <row r="968" spans="1:1" ht="12.75">
      <c r="A968" s="188"/>
    </row>
    <row r="969" spans="1:1" ht="12.75">
      <c r="A969" s="188"/>
    </row>
    <row r="970" spans="1:1" ht="12.75">
      <c r="A970" s="188"/>
    </row>
    <row r="971" spans="1:1" ht="12.75">
      <c r="A971" s="188"/>
    </row>
    <row r="972" spans="1:1" ht="12.75">
      <c r="A972" s="188"/>
    </row>
    <row r="973" spans="1:1" ht="12.75">
      <c r="A973" s="188"/>
    </row>
    <row r="974" spans="1:1" ht="12.75">
      <c r="A974" s="188"/>
    </row>
    <row r="975" spans="1:1" ht="12.75">
      <c r="A975" s="188"/>
    </row>
    <row r="976" spans="1:1" ht="12.75">
      <c r="A976" s="188"/>
    </row>
    <row r="977" spans="1:1" ht="12.75">
      <c r="A977" s="188"/>
    </row>
    <row r="978" spans="1:1" ht="12.75">
      <c r="A978" s="188"/>
    </row>
    <row r="979" spans="1:1" ht="12.75">
      <c r="A979" s="188"/>
    </row>
    <row r="980" spans="1:1" ht="12.75">
      <c r="A980" s="188"/>
    </row>
    <row r="981" spans="1:1" ht="12.75">
      <c r="A981" s="188"/>
    </row>
    <row r="982" spans="1:1" ht="12.75">
      <c r="A982" s="188"/>
    </row>
    <row r="983" spans="1:1" ht="12.75">
      <c r="A983" s="188"/>
    </row>
    <row r="984" spans="1:1" ht="12.75">
      <c r="A984" s="188"/>
    </row>
    <row r="985" spans="1:1" ht="12.75">
      <c r="A985" s="188"/>
    </row>
    <row r="986" spans="1:1" ht="12.75">
      <c r="A986" s="188"/>
    </row>
    <row r="987" spans="1:1" ht="12.75">
      <c r="A987" s="188"/>
    </row>
    <row r="988" spans="1:1" ht="12.75">
      <c r="A988" s="188"/>
    </row>
    <row r="989" spans="1:1" ht="12.75">
      <c r="A989" s="188"/>
    </row>
    <row r="990" spans="1:1" ht="12.75">
      <c r="A990" s="188"/>
    </row>
    <row r="991" spans="1:1" ht="12.75">
      <c r="A991" s="188"/>
    </row>
    <row r="992" spans="1:1" ht="12.75">
      <c r="A992" s="188"/>
    </row>
    <row r="993" spans="1:1" ht="12.75">
      <c r="A993" s="188"/>
    </row>
    <row r="994" spans="1:1" ht="12.75">
      <c r="A994" s="188"/>
    </row>
    <row r="995" spans="1:1" ht="12.75">
      <c r="A995" s="188"/>
    </row>
    <row r="996" spans="1:1" ht="12.75">
      <c r="A996" s="188"/>
    </row>
    <row r="997" spans="1:1" ht="12.75">
      <c r="A997" s="188"/>
    </row>
    <row r="998" spans="1:1" ht="12.75">
      <c r="A998" s="188"/>
    </row>
    <row r="999" spans="1:1" ht="12.75">
      <c r="A999" s="188"/>
    </row>
    <row r="1000" spans="1:1" ht="12.75">
      <c r="A1000" s="188"/>
    </row>
    <row r="1001" spans="1:1" ht="12.75">
      <c r="A1001" s="188"/>
    </row>
    <row r="1002" spans="1:1" ht="12.75">
      <c r="A1002" s="188"/>
    </row>
    <row r="1003" spans="1:1" ht="12.75">
      <c r="A1003" s="188"/>
    </row>
    <row r="1004" spans="1:1" ht="12.75">
      <c r="A1004" s="188"/>
    </row>
    <row r="1005" spans="1:1" ht="12.75">
      <c r="A1005" s="188"/>
    </row>
    <row r="1006" spans="1:1" ht="12.75">
      <c r="A1006" s="188"/>
    </row>
    <row r="1007" spans="1:1" ht="12.75">
      <c r="A1007" s="188"/>
    </row>
    <row r="1008" spans="1:1" ht="12.75">
      <c r="A1008" s="188"/>
    </row>
    <row r="1009" spans="1:1" ht="12.75">
      <c r="A1009" s="188"/>
    </row>
    <row r="1010" spans="1:1" ht="12.75">
      <c r="A1010" s="188"/>
    </row>
    <row r="1011" spans="1:1" ht="12.75">
      <c r="A1011" s="188"/>
    </row>
    <row r="1012" spans="1:1" ht="12.75">
      <c r="A1012" s="188"/>
    </row>
    <row r="1013" spans="1:1" ht="12.75">
      <c r="A1013" s="188"/>
    </row>
    <row r="1014" spans="1:1" ht="12.75">
      <c r="A1014" s="188"/>
    </row>
    <row r="1015" spans="1:1" ht="12.75">
      <c r="A1015" s="188"/>
    </row>
    <row r="1016" spans="1:1" ht="12.75">
      <c r="A1016" s="188"/>
    </row>
    <row r="1017" spans="1:1" ht="12.75">
      <c r="A1017" s="188"/>
    </row>
    <row r="1018" spans="1:1" ht="12.75">
      <c r="A1018" s="188"/>
    </row>
    <row r="1019" spans="1:1" ht="12.75">
      <c r="A1019" s="188"/>
    </row>
    <row r="1020" spans="1:1" ht="12.75">
      <c r="A1020" s="188"/>
    </row>
    <row r="1021" spans="1:1" ht="12.75">
      <c r="A1021" s="188"/>
    </row>
    <row r="1022" spans="1:1" ht="12.75">
      <c r="A1022" s="188"/>
    </row>
    <row r="1023" spans="1:1" ht="12.75">
      <c r="A1023" s="188"/>
    </row>
    <row r="1024" spans="1:1" ht="12.75">
      <c r="A1024" s="188"/>
    </row>
    <row r="1025" spans="1:1" ht="12.75">
      <c r="A1025" s="188"/>
    </row>
    <row r="1026" spans="1:1" ht="12.75">
      <c r="A1026" s="188"/>
    </row>
    <row r="1027" spans="1:1" ht="12.75">
      <c r="A1027" s="188"/>
    </row>
    <row r="1028" spans="1:1" ht="12.75">
      <c r="A1028" s="188"/>
    </row>
    <row r="1029" spans="1:1" ht="12.75">
      <c r="A1029" s="188"/>
    </row>
    <row r="1030" spans="1:1" ht="12.75">
      <c r="A1030" s="188"/>
    </row>
    <row r="1031" spans="1:1" ht="12.75">
      <c r="A1031" s="188"/>
    </row>
    <row r="1032" spans="1:1" ht="12.75">
      <c r="A1032" s="188"/>
    </row>
    <row r="1033" spans="1:1" ht="12.75">
      <c r="A1033" s="188"/>
    </row>
    <row r="1034" spans="1:1" ht="12.75">
      <c r="A1034" s="188"/>
    </row>
    <row r="1035" spans="1:1" ht="12.75">
      <c r="A1035" s="188"/>
    </row>
    <row r="1036" spans="1:1" ht="12.75">
      <c r="A1036" s="188"/>
    </row>
    <row r="1037" spans="1:1" ht="12.75">
      <c r="A1037" s="188"/>
    </row>
    <row r="1038" spans="1:1" ht="12.75">
      <c r="A1038" s="188"/>
    </row>
    <row r="1039" spans="1:1" ht="12.75">
      <c r="A1039" s="188"/>
    </row>
    <row r="1040" spans="1:1" ht="12.75">
      <c r="A1040" s="188"/>
    </row>
    <row r="1041" spans="1:1" ht="12.75">
      <c r="A1041" s="188"/>
    </row>
    <row r="1042" spans="1:1" ht="12.75">
      <c r="A1042" s="188"/>
    </row>
    <row r="1043" spans="1:1" ht="12.75">
      <c r="A1043" s="188"/>
    </row>
    <row r="1044" spans="1:1" ht="12.75">
      <c r="A1044" s="188"/>
    </row>
    <row r="1045" spans="1:1" ht="12.75">
      <c r="A1045" s="188"/>
    </row>
    <row r="1046" spans="1:1" ht="12.75">
      <c r="A1046" s="188"/>
    </row>
    <row r="1047" spans="1:1" ht="12.75">
      <c r="A1047" s="188"/>
    </row>
    <row r="1048" spans="1:1" ht="12.75">
      <c r="A1048" s="188"/>
    </row>
    <row r="1049" spans="1:1" ht="12.75">
      <c r="A1049" s="188"/>
    </row>
    <row r="1050" spans="1:1" ht="12.75">
      <c r="A1050" s="188"/>
    </row>
    <row r="1051" spans="1:1" ht="12.75">
      <c r="A1051" s="188"/>
    </row>
    <row r="1052" spans="1:1" ht="12.75">
      <c r="A1052" s="188"/>
    </row>
    <row r="1053" spans="1:1" ht="12.75">
      <c r="A1053" s="188"/>
    </row>
    <row r="1054" spans="1:1" ht="12.75">
      <c r="A1054" s="188"/>
    </row>
    <row r="1055" spans="1:1" ht="12.75">
      <c r="A1055" s="188"/>
    </row>
    <row r="1056" spans="1:1" ht="12.75">
      <c r="A1056" s="188"/>
    </row>
    <row r="1057" spans="1:1" ht="12.75">
      <c r="A1057" s="188"/>
    </row>
    <row r="1058" spans="1:1" ht="12.75">
      <c r="A1058" s="188"/>
    </row>
    <row r="1059" spans="1:1" ht="12.75">
      <c r="A1059" s="188"/>
    </row>
    <row r="1060" spans="1:1" ht="12.75">
      <c r="A1060" s="188"/>
    </row>
    <row r="1061" spans="1:1" ht="12.75">
      <c r="A1061" s="188"/>
    </row>
    <row r="1062" spans="1:1" ht="12.75">
      <c r="A1062" s="188"/>
    </row>
    <row r="1063" spans="1:1" ht="12.75">
      <c r="A1063" s="188"/>
    </row>
    <row r="1064" spans="1:1" ht="12.75">
      <c r="A1064" s="188"/>
    </row>
    <row r="1065" spans="1:1" ht="12.75">
      <c r="A1065" s="188"/>
    </row>
    <row r="1066" spans="1:1" ht="12.75">
      <c r="A1066" s="188"/>
    </row>
    <row r="1067" spans="1:1" ht="12.75">
      <c r="A1067" s="188"/>
    </row>
    <row r="1068" spans="1:1" ht="12.75">
      <c r="A1068" s="188"/>
    </row>
    <row r="1069" spans="1:1" ht="12.75">
      <c r="A1069" s="188"/>
    </row>
    <row r="1070" spans="1:1" ht="12.75">
      <c r="A1070" s="188"/>
    </row>
    <row r="1071" spans="1:1" ht="12.75">
      <c r="A1071" s="188"/>
    </row>
  </sheetData>
  <mergeCells count="449">
    <mergeCell ref="L2:N2"/>
    <mergeCell ref="O2:Q2"/>
    <mergeCell ref="R2:T2"/>
    <mergeCell ref="U2:W2"/>
    <mergeCell ref="X2:Z2"/>
    <mergeCell ref="AA2:AC2"/>
    <mergeCell ref="AD2:AF2"/>
    <mergeCell ref="AG2:AI2"/>
    <mergeCell ref="AJ2:AL2"/>
    <mergeCell ref="AM2:AO2"/>
    <mergeCell ref="AP2:AR2"/>
    <mergeCell ref="AS2:AU2"/>
    <mergeCell ref="AV2:AX2"/>
    <mergeCell ref="AY2:BA2"/>
    <mergeCell ref="BB2:BD2"/>
    <mergeCell ref="BE2:BG2"/>
    <mergeCell ref="BH2:BJ2"/>
    <mergeCell ref="BK2:BM2"/>
    <mergeCell ref="DA2:DC2"/>
    <mergeCell ref="DD2:DF2"/>
    <mergeCell ref="DG2:DI2"/>
    <mergeCell ref="DJ2:DL2"/>
    <mergeCell ref="DM2:DO2"/>
    <mergeCell ref="BN2:BP2"/>
    <mergeCell ref="BQ2:BS2"/>
    <mergeCell ref="BT2:BV2"/>
    <mergeCell ref="BW2:BY2"/>
    <mergeCell ref="BZ2:CB2"/>
    <mergeCell ref="CC2:CE2"/>
    <mergeCell ref="CF2:CH2"/>
    <mergeCell ref="CI2:CK2"/>
    <mergeCell ref="CL2:CN2"/>
    <mergeCell ref="AP3:AR3"/>
    <mergeCell ref="AS3:AU3"/>
    <mergeCell ref="AV3:AX3"/>
    <mergeCell ref="AY3:BA3"/>
    <mergeCell ref="BB3:BD3"/>
    <mergeCell ref="CU3:CW3"/>
    <mergeCell ref="CX3:CZ3"/>
    <mergeCell ref="BZ3:CB3"/>
    <mergeCell ref="CC3:CE3"/>
    <mergeCell ref="O3:Q3"/>
    <mergeCell ref="R3:T3"/>
    <mergeCell ref="U3:W3"/>
    <mergeCell ref="X3:Z3"/>
    <mergeCell ref="AA3:AC3"/>
    <mergeCell ref="AD3:AF3"/>
    <mergeCell ref="AG3:AI3"/>
    <mergeCell ref="AJ3:AL3"/>
    <mergeCell ref="AM3:AO3"/>
    <mergeCell ref="CF3:CH3"/>
    <mergeCell ref="CI3:CK3"/>
    <mergeCell ref="CL3:CN3"/>
    <mergeCell ref="CO3:CQ3"/>
    <mergeCell ref="CR3:CT3"/>
    <mergeCell ref="EH2:EJ2"/>
    <mergeCell ref="EK2:EM2"/>
    <mergeCell ref="EN2:EP2"/>
    <mergeCell ref="EQ2:ES2"/>
    <mergeCell ref="EQ3:ES3"/>
    <mergeCell ref="EE3:EG3"/>
    <mergeCell ref="EH3:EJ3"/>
    <mergeCell ref="EK3:EM3"/>
    <mergeCell ref="EN3:EP3"/>
    <mergeCell ref="DP2:DR2"/>
    <mergeCell ref="DS2:DU2"/>
    <mergeCell ref="DV2:DX2"/>
    <mergeCell ref="DY2:EA2"/>
    <mergeCell ref="EB2:ED2"/>
    <mergeCell ref="EE2:EG2"/>
    <mergeCell ref="CO2:CQ2"/>
    <mergeCell ref="CR2:CT2"/>
    <mergeCell ref="CU2:CW2"/>
    <mergeCell ref="CX2:CZ2"/>
    <mergeCell ref="ET2:EV2"/>
    <mergeCell ref="EW2:EY2"/>
    <mergeCell ref="ET3:EV3"/>
    <mergeCell ref="EW3:EY3"/>
    <mergeCell ref="EZ2:FB2"/>
    <mergeCell ref="FC2:FE2"/>
    <mergeCell ref="EZ3:FB3"/>
    <mergeCell ref="FC3:FE3"/>
    <mergeCell ref="FF2:FH2"/>
    <mergeCell ref="FI2:FK2"/>
    <mergeCell ref="FF3:FH3"/>
    <mergeCell ref="FI3:FK3"/>
    <mergeCell ref="F2:H2"/>
    <mergeCell ref="F3:H3"/>
    <mergeCell ref="I3:K3"/>
    <mergeCell ref="L3:N3"/>
    <mergeCell ref="BK3:BM3"/>
    <mergeCell ref="BN3:BP3"/>
    <mergeCell ref="BQ3:BS3"/>
    <mergeCell ref="BT3:BV3"/>
    <mergeCell ref="BW3:BY3"/>
    <mergeCell ref="BE3:BG3"/>
    <mergeCell ref="BH3:BJ3"/>
    <mergeCell ref="DA3:DC3"/>
    <mergeCell ref="DD3:DF3"/>
    <mergeCell ref="DG3:DI3"/>
    <mergeCell ref="DJ3:DL3"/>
    <mergeCell ref="DM3:DO3"/>
    <mergeCell ref="DP3:DR3"/>
    <mergeCell ref="DS3:DU3"/>
    <mergeCell ref="DV3:DX3"/>
    <mergeCell ref="DY3:EA3"/>
    <mergeCell ref="EB3:ED3"/>
    <mergeCell ref="FO90:FT90"/>
    <mergeCell ref="FO91:FT91"/>
    <mergeCell ref="FO92:FT92"/>
    <mergeCell ref="FO93:FT93"/>
    <mergeCell ref="FO94:FT94"/>
    <mergeCell ref="FO95:FT95"/>
    <mergeCell ref="FO78:FT78"/>
    <mergeCell ref="FO79:FT79"/>
    <mergeCell ref="FO80:FT80"/>
    <mergeCell ref="FO81:FT81"/>
    <mergeCell ref="FO82:FT82"/>
    <mergeCell ref="FO83:FT83"/>
    <mergeCell ref="FO84:FT84"/>
    <mergeCell ref="FO85:FT85"/>
    <mergeCell ref="FO86:FT86"/>
    <mergeCell ref="FO96:FT96"/>
    <mergeCell ref="FO97:FT97"/>
    <mergeCell ref="FO98:FT98"/>
    <mergeCell ref="FO106:FT106"/>
    <mergeCell ref="FO107:FT107"/>
    <mergeCell ref="FO108:FT108"/>
    <mergeCell ref="FO109:FT109"/>
    <mergeCell ref="FO111:FT111"/>
    <mergeCell ref="FO110:FT110"/>
    <mergeCell ref="FO99:FT99"/>
    <mergeCell ref="FO100:FT100"/>
    <mergeCell ref="FO101:FT101"/>
    <mergeCell ref="FO102:FT102"/>
    <mergeCell ref="FO103:FT103"/>
    <mergeCell ref="FO104:FT104"/>
    <mergeCell ref="FO105:FT105"/>
    <mergeCell ref="FO29:FT29"/>
    <mergeCell ref="FO30:FT30"/>
    <mergeCell ref="FO31:FT31"/>
    <mergeCell ref="FO32:FT32"/>
    <mergeCell ref="FO33:FT33"/>
    <mergeCell ref="FO34:FT34"/>
    <mergeCell ref="FO35:FT35"/>
    <mergeCell ref="FO36:FT36"/>
    <mergeCell ref="FO37:FT37"/>
    <mergeCell ref="FO38:FT38"/>
    <mergeCell ref="FO39:FT39"/>
    <mergeCell ref="FO40:FT40"/>
    <mergeCell ref="FO41:FT41"/>
    <mergeCell ref="FO42:FT42"/>
    <mergeCell ref="FO43:FT43"/>
    <mergeCell ref="FO44:FT44"/>
    <mergeCell ref="FO45:FT45"/>
    <mergeCell ref="FO46:FT46"/>
    <mergeCell ref="FO47:FT47"/>
    <mergeCell ref="FO48:FT48"/>
    <mergeCell ref="FO49:FT49"/>
    <mergeCell ref="FO50:FT50"/>
    <mergeCell ref="FO51:FT51"/>
    <mergeCell ref="FO52:FT52"/>
    <mergeCell ref="FO53:FT53"/>
    <mergeCell ref="FO54:FT54"/>
    <mergeCell ref="FO55:FT55"/>
    <mergeCell ref="FO56:FT56"/>
    <mergeCell ref="FO57:FT57"/>
    <mergeCell ref="FO58:FT58"/>
    <mergeCell ref="FO59:FT59"/>
    <mergeCell ref="FO60:FT60"/>
    <mergeCell ref="FO61:FT61"/>
    <mergeCell ref="FO62:FT62"/>
    <mergeCell ref="FO63:FT63"/>
    <mergeCell ref="FO64:FT64"/>
    <mergeCell ref="FO65:FT65"/>
    <mergeCell ref="FO66:FT66"/>
    <mergeCell ref="FO67:FT67"/>
    <mergeCell ref="FO68:FT68"/>
    <mergeCell ref="FO69:FT69"/>
    <mergeCell ref="FO70:FT70"/>
    <mergeCell ref="FO71:FT71"/>
    <mergeCell ref="FO72:FT72"/>
    <mergeCell ref="FO73:FT73"/>
    <mergeCell ref="FO74:FT74"/>
    <mergeCell ref="FO75:FT75"/>
    <mergeCell ref="FO76:FT76"/>
    <mergeCell ref="FO77:FT77"/>
    <mergeCell ref="FU86:FZ86"/>
    <mergeCell ref="FU87:FZ87"/>
    <mergeCell ref="FU88:FZ88"/>
    <mergeCell ref="FU89:FZ89"/>
    <mergeCell ref="FU90:FZ90"/>
    <mergeCell ref="FU74:FZ74"/>
    <mergeCell ref="FU75:FZ75"/>
    <mergeCell ref="FU76:FZ76"/>
    <mergeCell ref="FU77:FZ77"/>
    <mergeCell ref="FU78:FZ78"/>
    <mergeCell ref="FU79:FZ79"/>
    <mergeCell ref="FU80:FZ80"/>
    <mergeCell ref="FU81:FZ81"/>
    <mergeCell ref="FU82:FZ82"/>
    <mergeCell ref="FU83:FZ83"/>
    <mergeCell ref="FU84:FZ84"/>
    <mergeCell ref="FU85:FZ85"/>
    <mergeCell ref="FO87:FT87"/>
    <mergeCell ref="FO88:FT88"/>
    <mergeCell ref="FO89:FT89"/>
    <mergeCell ref="FU91:FZ91"/>
    <mergeCell ref="FU92:FZ92"/>
    <mergeCell ref="FU93:FZ93"/>
    <mergeCell ref="FU94:FZ94"/>
    <mergeCell ref="FU95:FZ95"/>
    <mergeCell ref="FU96:FZ96"/>
    <mergeCell ref="FU97:FZ97"/>
    <mergeCell ref="FU99:FZ99"/>
    <mergeCell ref="FU100:FZ100"/>
    <mergeCell ref="FU101:FZ101"/>
    <mergeCell ref="FU102:FZ102"/>
    <mergeCell ref="FU103:FZ103"/>
    <mergeCell ref="FU105:FZ105"/>
    <mergeCell ref="FU106:FZ106"/>
    <mergeCell ref="FU107:FZ107"/>
    <mergeCell ref="FU108:FZ108"/>
    <mergeCell ref="FU110:FZ110"/>
    <mergeCell ref="R113:T113"/>
    <mergeCell ref="U113:W113"/>
    <mergeCell ref="X113:Z113"/>
    <mergeCell ref="AA113:AC113"/>
    <mergeCell ref="AD113:AF113"/>
    <mergeCell ref="AG113:AI113"/>
    <mergeCell ref="EQ113:ES113"/>
    <mergeCell ref="EW113:EY113"/>
    <mergeCell ref="FC113:FE113"/>
    <mergeCell ref="FF113:FH113"/>
    <mergeCell ref="FI113:FK113"/>
    <mergeCell ref="FL113:FN113"/>
    <mergeCell ref="AJ113:AL113"/>
    <mergeCell ref="AM113:AO113"/>
    <mergeCell ref="DG113:DI113"/>
    <mergeCell ref="DP113:DR113"/>
    <mergeCell ref="DS113:DU113"/>
    <mergeCell ref="EE113:EG113"/>
    <mergeCell ref="EN113:EP113"/>
    <mergeCell ref="CU113:CW113"/>
    <mergeCell ref="DD113:DF113"/>
    <mergeCell ref="FU109:FZ109"/>
    <mergeCell ref="FU111:FZ111"/>
    <mergeCell ref="B113:E113"/>
    <mergeCell ref="F113:H113"/>
    <mergeCell ref="I113:K113"/>
    <mergeCell ref="L113:N113"/>
    <mergeCell ref="O113:Q113"/>
    <mergeCell ref="AS113:AU113"/>
    <mergeCell ref="AV113:AX113"/>
    <mergeCell ref="AY113:BA113"/>
    <mergeCell ref="BB113:BD113"/>
    <mergeCell ref="BE113:BG113"/>
    <mergeCell ref="BH113:BJ113"/>
    <mergeCell ref="BQ113:BS113"/>
    <mergeCell ref="BW113:BY113"/>
    <mergeCell ref="BZ113:CB113"/>
    <mergeCell ref="CF113:CH113"/>
    <mergeCell ref="CI113:CK113"/>
    <mergeCell ref="CL113:CN113"/>
    <mergeCell ref="A131:E131"/>
    <mergeCell ref="A132:E133"/>
    <mergeCell ref="A134:E134"/>
    <mergeCell ref="A122:B124"/>
    <mergeCell ref="A126:B128"/>
    <mergeCell ref="C126:E128"/>
    <mergeCell ref="F127:AO127"/>
    <mergeCell ref="F128:AO128"/>
    <mergeCell ref="A129:E129"/>
    <mergeCell ref="F129:AO129"/>
    <mergeCell ref="F120:AO122"/>
    <mergeCell ref="C122:E124"/>
    <mergeCell ref="F123:AO123"/>
    <mergeCell ref="F124:AO126"/>
    <mergeCell ref="A125:E125"/>
    <mergeCell ref="AS4:AU4"/>
    <mergeCell ref="AV4:AX4"/>
    <mergeCell ref="AY4:BA4"/>
    <mergeCell ref="BB4:BD4"/>
    <mergeCell ref="BE4:BG4"/>
    <mergeCell ref="CO113:CQ113"/>
    <mergeCell ref="CR113:CT113"/>
    <mergeCell ref="A130:B130"/>
    <mergeCell ref="C130:E130"/>
    <mergeCell ref="F130:AO130"/>
    <mergeCell ref="A114:E114"/>
    <mergeCell ref="F114:H114"/>
    <mergeCell ref="A115:E115"/>
    <mergeCell ref="F115:H115"/>
    <mergeCell ref="G116:H116"/>
    <mergeCell ref="A116:E116"/>
    <mergeCell ref="A120:E121"/>
    <mergeCell ref="DG4:DI4"/>
    <mergeCell ref="DJ4:DL4"/>
    <mergeCell ref="CL4:CN4"/>
    <mergeCell ref="CO4:CQ4"/>
    <mergeCell ref="CR4:CT4"/>
    <mergeCell ref="CU4:CW4"/>
    <mergeCell ref="CX4:CZ4"/>
    <mergeCell ref="DA4:DC4"/>
    <mergeCell ref="DD4:DF4"/>
    <mergeCell ref="BZ4:CB4"/>
    <mergeCell ref="CC4:CE4"/>
    <mergeCell ref="CF4:CH4"/>
    <mergeCell ref="CI4:CK4"/>
    <mergeCell ref="E4:E5"/>
    <mergeCell ref="F4:H4"/>
    <mergeCell ref="A1:A5"/>
    <mergeCell ref="B4:B5"/>
    <mergeCell ref="C4:C5"/>
    <mergeCell ref="D4:D5"/>
    <mergeCell ref="I4:K4"/>
    <mergeCell ref="L4:N4"/>
    <mergeCell ref="O4:Q4"/>
    <mergeCell ref="R4:T4"/>
    <mergeCell ref="U4:W4"/>
    <mergeCell ref="BH4:BJ4"/>
    <mergeCell ref="BK4:BM4"/>
    <mergeCell ref="BN4:BP4"/>
    <mergeCell ref="BQ4:BS4"/>
    <mergeCell ref="BT4:BV4"/>
    <mergeCell ref="AG4:AI4"/>
    <mergeCell ref="AJ4:AL4"/>
    <mergeCell ref="AM4:AO4"/>
    <mergeCell ref="AP4:AR4"/>
    <mergeCell ref="B1:E3"/>
    <mergeCell ref="F1:FN1"/>
    <mergeCell ref="FO1:FT5"/>
    <mergeCell ref="FU1:FZ5"/>
    <mergeCell ref="I2:K2"/>
    <mergeCell ref="FL2:FN2"/>
    <mergeCell ref="FL3:FN3"/>
    <mergeCell ref="DM4:DO4"/>
    <mergeCell ref="DP4:DR4"/>
    <mergeCell ref="DS4:DU4"/>
    <mergeCell ref="DV4:DX4"/>
    <mergeCell ref="DY4:EA4"/>
    <mergeCell ref="EB4:ED4"/>
    <mergeCell ref="EE4:EG4"/>
    <mergeCell ref="EH4:EJ4"/>
    <mergeCell ref="EK4:EM4"/>
    <mergeCell ref="EN4:EP4"/>
    <mergeCell ref="EQ4:ES4"/>
    <mergeCell ref="ET4:EV4"/>
    <mergeCell ref="EW4:EY4"/>
    <mergeCell ref="X4:Z4"/>
    <mergeCell ref="AA4:AC4"/>
    <mergeCell ref="AD4:AF4"/>
    <mergeCell ref="BW4:BY4"/>
    <mergeCell ref="EZ4:FB4"/>
    <mergeCell ref="FO6:FT6"/>
    <mergeCell ref="FU6:FZ6"/>
    <mergeCell ref="FO7:FT7"/>
    <mergeCell ref="FU7:FZ7"/>
    <mergeCell ref="FU8:FZ8"/>
    <mergeCell ref="FO8:FT8"/>
    <mergeCell ref="FO9:FT9"/>
    <mergeCell ref="FU9:FZ9"/>
    <mergeCell ref="FC4:FE4"/>
    <mergeCell ref="FF4:FH4"/>
    <mergeCell ref="FI4:FK4"/>
    <mergeCell ref="FL4:FN4"/>
    <mergeCell ref="FO10:FT10"/>
    <mergeCell ref="FU10:FZ10"/>
    <mergeCell ref="FO11:FT11"/>
    <mergeCell ref="FU11:FZ11"/>
    <mergeCell ref="FO12:FT12"/>
    <mergeCell ref="FU12:FZ12"/>
    <mergeCell ref="FO13:FT13"/>
    <mergeCell ref="FU13:FZ13"/>
    <mergeCell ref="FO14:FT14"/>
    <mergeCell ref="FU14:FZ14"/>
    <mergeCell ref="FU15:FZ15"/>
    <mergeCell ref="FO15:FT15"/>
    <mergeCell ref="FO16:FT16"/>
    <mergeCell ref="FO17:FT17"/>
    <mergeCell ref="FO18:FT18"/>
    <mergeCell ref="FO19:FT19"/>
    <mergeCell ref="FO20:FT20"/>
    <mergeCell ref="FO21:FT21"/>
    <mergeCell ref="FU16:FZ16"/>
    <mergeCell ref="FU17:FZ17"/>
    <mergeCell ref="FU18:FZ18"/>
    <mergeCell ref="FU19:FZ19"/>
    <mergeCell ref="FU20:FZ20"/>
    <mergeCell ref="FU21:FZ21"/>
    <mergeCell ref="FU22:FZ22"/>
    <mergeCell ref="FO22:FT22"/>
    <mergeCell ref="FO23:FT23"/>
    <mergeCell ref="FO24:FT24"/>
    <mergeCell ref="FO25:FT25"/>
    <mergeCell ref="FO26:FT26"/>
    <mergeCell ref="FO27:FT27"/>
    <mergeCell ref="FO28:FT28"/>
    <mergeCell ref="FU23:FZ23"/>
    <mergeCell ref="FU24:FZ24"/>
    <mergeCell ref="FU25:FZ25"/>
    <mergeCell ref="FU26:FZ26"/>
    <mergeCell ref="FU27:FZ27"/>
    <mergeCell ref="FU28:FZ28"/>
    <mergeCell ref="FU29:FZ29"/>
    <mergeCell ref="FU30:FZ30"/>
    <mergeCell ref="FU31:FZ31"/>
    <mergeCell ref="FU32:FZ32"/>
    <mergeCell ref="FU33:FZ33"/>
    <mergeCell ref="FU34:FZ34"/>
    <mergeCell ref="FU35:FZ35"/>
    <mergeCell ref="FU36:FZ36"/>
    <mergeCell ref="FU37:FZ37"/>
    <mergeCell ref="FU38:FZ38"/>
    <mergeCell ref="FU39:FZ39"/>
    <mergeCell ref="FU40:FZ40"/>
    <mergeCell ref="FU41:FZ41"/>
    <mergeCell ref="FU42:FZ42"/>
    <mergeCell ref="FU43:FZ43"/>
    <mergeCell ref="FU44:FZ44"/>
    <mergeCell ref="FU45:FZ45"/>
    <mergeCell ref="FU46:FZ46"/>
    <mergeCell ref="FU47:FZ47"/>
    <mergeCell ref="FU48:FZ48"/>
    <mergeCell ref="FU49:FZ49"/>
    <mergeCell ref="FU50:FZ50"/>
    <mergeCell ref="FU51:FZ51"/>
    <mergeCell ref="FU52:FZ52"/>
    <mergeCell ref="FU53:FZ53"/>
    <mergeCell ref="FU54:FZ54"/>
    <mergeCell ref="FU55:FZ55"/>
    <mergeCell ref="FU56:FZ56"/>
    <mergeCell ref="FU57:FZ57"/>
    <mergeCell ref="FU58:FZ58"/>
    <mergeCell ref="FU59:FZ59"/>
    <mergeCell ref="FU60:FZ60"/>
    <mergeCell ref="FU61:FZ61"/>
    <mergeCell ref="FU62:FZ62"/>
    <mergeCell ref="FU63:FZ63"/>
    <mergeCell ref="FU64:FZ64"/>
    <mergeCell ref="FU65:FZ65"/>
    <mergeCell ref="FU66:FZ66"/>
    <mergeCell ref="FU67:FZ67"/>
    <mergeCell ref="FU68:FZ68"/>
    <mergeCell ref="FU69:FZ69"/>
    <mergeCell ref="FU70:FZ70"/>
    <mergeCell ref="FU71:FZ71"/>
    <mergeCell ref="FU72:FZ72"/>
    <mergeCell ref="FU73:FZ73"/>
  </mergeCells>
  <conditionalFormatting sqref="A6:FO110 FP6:FT43 FU6:FU110 FP45:FT110">
    <cfRule type="expression" dxfId="5" priority="1">
      <formula>ISODD(ROW())</formula>
    </cfRule>
  </conditionalFormatting>
  <hyperlinks>
    <hyperlink ref="FU59" r:id="rId1" xr:uid="{00000000-0004-0000-0400-000000000000}"/>
    <hyperlink ref="FU62" r:id="rId2" xr:uid="{00000000-0004-0000-0400-000001000000}"/>
    <hyperlink ref="FU65" r:id="rId3" xr:uid="{00000000-0004-0000-0400-000002000000}"/>
    <hyperlink ref="FU66" r:id="rId4" xr:uid="{00000000-0004-0000-0400-000003000000}"/>
    <hyperlink ref="FU67" r:id="rId5" xr:uid="{00000000-0004-0000-0400-000004000000}"/>
    <hyperlink ref="FU69" r:id="rId6" xr:uid="{00000000-0004-0000-0400-000005000000}"/>
    <hyperlink ref="FU74" r:id="rId7" xr:uid="{00000000-0004-0000-0400-000006000000}"/>
    <hyperlink ref="FU76" r:id="rId8" xr:uid="{00000000-0004-0000-0400-000007000000}"/>
    <hyperlink ref="FU85" r:id="rId9" xr:uid="{00000000-0004-0000-0400-000008000000}"/>
    <hyperlink ref="FU86" r:id="rId10" xr:uid="{00000000-0004-0000-0400-000009000000}"/>
    <hyperlink ref="FU87" r:id="rId11" xr:uid="{00000000-0004-0000-0400-00000A000000}"/>
    <hyperlink ref="FU94" r:id="rId12" xr:uid="{00000000-0004-0000-0400-00000B000000}"/>
    <hyperlink ref="FU96" r:id="rId13" xr:uid="{00000000-0004-0000-0400-00000C000000}"/>
    <hyperlink ref="FU97" r:id="rId14" xr:uid="{00000000-0004-0000-0400-00000D000000}"/>
    <hyperlink ref="FU98" r:id="rId15" xr:uid="{00000000-0004-0000-0400-00000E000000}"/>
    <hyperlink ref="FU99" r:id="rId16" xr:uid="{00000000-0004-0000-0400-00000F000000}"/>
    <hyperlink ref="FU103" r:id="rId17" xr:uid="{00000000-0004-0000-0400-000010000000}"/>
    <hyperlink ref="FU104" r:id="rId18" xr:uid="{00000000-0004-0000-0400-000011000000}"/>
    <hyperlink ref="FU106" r:id="rId19" xr:uid="{00000000-0004-0000-0400-000012000000}"/>
    <hyperlink ref="C122" r:id="rId20" xr:uid="{00000000-0004-0000-0400-000013000000}"/>
    <hyperlink ref="C126" r:id="rId21" location="/c88e37cfc43b4ed3baf977d77e4a0667" xr:uid="{00000000-0004-0000-0400-000014000000}"/>
    <hyperlink ref="C130" r:id="rId22" xr:uid="{00000000-0004-0000-0400-000015000000}"/>
  </hyperlinks>
  <printOptions horizontalCentered="1"/>
  <pageMargins left="0.7" right="0.7" top="0.75" bottom="0.75" header="0" footer="0"/>
  <pageSetup fitToHeight="0" pageOrder="overThenDown" orientation="landscape" cellComments="atEnd"/>
  <drawing r:id="rId2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EU1073"/>
  <sheetViews>
    <sheetView workbookViewId="0">
      <pane xSplit="5" ySplit="5" topLeftCell="F6" activePane="bottomRight" state="frozen"/>
      <selection pane="topRight" activeCell="F1" sqref="F1"/>
      <selection pane="bottomLeft" activeCell="A6" sqref="A6"/>
      <selection pane="bottomRight" activeCell="F6" sqref="F6"/>
    </sheetView>
  </sheetViews>
  <sheetFormatPr baseColWidth="10" defaultColWidth="14.42578125" defaultRowHeight="15.75" customHeight="1"/>
  <cols>
    <col min="1" max="1" width="10.42578125" customWidth="1"/>
    <col min="2" max="5" width="7.28515625" customWidth="1"/>
    <col min="6" max="8" width="4.140625" customWidth="1"/>
    <col min="9" max="9" width="5" customWidth="1"/>
    <col min="10" max="10" width="4.140625" customWidth="1"/>
    <col min="11" max="11" width="5.28515625" customWidth="1"/>
    <col min="12" max="26" width="4.140625" customWidth="1"/>
    <col min="27" max="27" width="6.140625" customWidth="1"/>
    <col min="28" max="28" width="5.42578125" customWidth="1"/>
    <col min="29" max="30" width="6.7109375" customWidth="1"/>
    <col min="31" max="31" width="5.28515625" customWidth="1"/>
    <col min="32" max="32" width="5.7109375" customWidth="1"/>
    <col min="33" max="33" width="5.5703125" customWidth="1"/>
    <col min="34" max="34" width="4.85546875" customWidth="1"/>
    <col min="35" max="36" width="5.5703125" customWidth="1"/>
    <col min="37" max="38" width="4.5703125" customWidth="1"/>
    <col min="39" max="41" width="4.140625" customWidth="1"/>
    <col min="42" max="42" width="5" customWidth="1"/>
    <col min="43" max="53" width="4.140625" customWidth="1"/>
    <col min="54" max="56" width="5.28515625" customWidth="1"/>
    <col min="57" max="57" width="8" customWidth="1"/>
    <col min="58" max="58" width="7.42578125" customWidth="1"/>
    <col min="59" max="59" width="6.42578125" customWidth="1"/>
    <col min="60" max="92" width="4.140625" customWidth="1"/>
    <col min="93" max="93" width="5.28515625" customWidth="1"/>
    <col min="94" max="94" width="4.5703125" customWidth="1"/>
    <col min="95" max="95" width="5.28515625" customWidth="1"/>
    <col min="96" max="98" width="4.140625" customWidth="1"/>
    <col min="99" max="99" width="5.140625" customWidth="1"/>
    <col min="100" max="100" width="4.85546875" customWidth="1"/>
    <col min="101" max="101" width="4.5703125" customWidth="1"/>
    <col min="102" max="104" width="4.140625" customWidth="1"/>
    <col min="105" max="105" width="6" customWidth="1"/>
    <col min="106" max="106" width="4.140625" customWidth="1"/>
    <col min="107" max="107" width="5.7109375" customWidth="1"/>
    <col min="108" max="110" width="4.140625" customWidth="1"/>
    <col min="111" max="113" width="5" customWidth="1"/>
    <col min="114" max="143" width="4.140625" customWidth="1"/>
    <col min="144" max="149" width="5.5703125" customWidth="1"/>
    <col min="150" max="150" width="8.28515625" customWidth="1"/>
    <col min="151" max="151" width="39.140625" customWidth="1"/>
  </cols>
  <sheetData>
    <row r="1" spans="1:151" ht="12.75">
      <c r="A1" s="530" t="s">
        <v>16</v>
      </c>
      <c r="B1" s="530" t="s">
        <v>733</v>
      </c>
      <c r="C1" s="531"/>
      <c r="D1" s="531"/>
      <c r="E1" s="532"/>
      <c r="F1" s="530" t="s">
        <v>77</v>
      </c>
      <c r="G1" s="531"/>
      <c r="H1" s="531"/>
      <c r="I1" s="531"/>
      <c r="J1" s="531"/>
      <c r="K1" s="531"/>
      <c r="L1" s="531"/>
      <c r="M1" s="531"/>
      <c r="N1" s="531"/>
      <c r="O1" s="531"/>
      <c r="P1" s="531"/>
      <c r="Q1" s="531"/>
      <c r="R1" s="531"/>
      <c r="S1" s="531"/>
      <c r="T1" s="531"/>
      <c r="U1" s="531"/>
      <c r="V1" s="531"/>
      <c r="W1" s="531"/>
      <c r="X1" s="531"/>
      <c r="Y1" s="531"/>
      <c r="Z1" s="531"/>
      <c r="AA1" s="531"/>
      <c r="AB1" s="531"/>
      <c r="AC1" s="531"/>
      <c r="AD1" s="531"/>
      <c r="AE1" s="531"/>
      <c r="AF1" s="531"/>
      <c r="AG1" s="531"/>
      <c r="AH1" s="531"/>
      <c r="AI1" s="531"/>
      <c r="AJ1" s="531"/>
      <c r="AK1" s="531"/>
      <c r="AL1" s="531"/>
      <c r="AM1" s="531"/>
      <c r="AN1" s="531"/>
      <c r="AO1" s="531"/>
      <c r="AP1" s="531"/>
      <c r="AQ1" s="531"/>
      <c r="AR1" s="531"/>
      <c r="AS1" s="531"/>
      <c r="AT1" s="531"/>
      <c r="AU1" s="531"/>
      <c r="AV1" s="531"/>
      <c r="AW1" s="531"/>
      <c r="AX1" s="531"/>
      <c r="AY1" s="531"/>
      <c r="AZ1" s="531"/>
      <c r="BA1" s="531"/>
      <c r="BB1" s="531"/>
      <c r="BC1" s="531"/>
      <c r="BD1" s="531"/>
      <c r="BE1" s="531"/>
      <c r="BF1" s="531"/>
      <c r="BG1" s="531"/>
      <c r="BH1" s="531"/>
      <c r="BI1" s="531"/>
      <c r="BJ1" s="531"/>
      <c r="BK1" s="531"/>
      <c r="BL1" s="531"/>
      <c r="BM1" s="531"/>
      <c r="BN1" s="531"/>
      <c r="BO1" s="531"/>
      <c r="BP1" s="531"/>
      <c r="BQ1" s="531"/>
      <c r="BR1" s="531"/>
      <c r="BS1" s="531"/>
      <c r="BT1" s="531"/>
      <c r="BU1" s="531"/>
      <c r="BV1" s="531"/>
      <c r="BW1" s="531"/>
      <c r="BX1" s="531"/>
      <c r="BY1" s="531"/>
      <c r="BZ1" s="531"/>
      <c r="CA1" s="531"/>
      <c r="CB1" s="531"/>
      <c r="CC1" s="531"/>
      <c r="CD1" s="531"/>
      <c r="CE1" s="531"/>
      <c r="CF1" s="531"/>
      <c r="CG1" s="531"/>
      <c r="CH1" s="531"/>
      <c r="CI1" s="531"/>
      <c r="CJ1" s="531"/>
      <c r="CK1" s="531"/>
      <c r="CL1" s="531"/>
      <c r="CM1" s="531"/>
      <c r="CN1" s="531"/>
      <c r="CO1" s="531"/>
      <c r="CP1" s="531"/>
      <c r="CQ1" s="531"/>
      <c r="CR1" s="531"/>
      <c r="CS1" s="531"/>
      <c r="CT1" s="531"/>
      <c r="CU1" s="531"/>
      <c r="CV1" s="531"/>
      <c r="CW1" s="531"/>
      <c r="CX1" s="531"/>
      <c r="CY1" s="531"/>
      <c r="CZ1" s="531"/>
      <c r="DA1" s="531"/>
      <c r="DB1" s="531"/>
      <c r="DC1" s="531"/>
      <c r="DD1" s="531"/>
      <c r="DE1" s="531"/>
      <c r="DF1" s="531"/>
      <c r="DG1" s="531"/>
      <c r="DH1" s="531"/>
      <c r="DI1" s="531"/>
      <c r="DJ1" s="531"/>
      <c r="DK1" s="531"/>
      <c r="DL1" s="531"/>
      <c r="DM1" s="531"/>
      <c r="DN1" s="531"/>
      <c r="DO1" s="531"/>
      <c r="DP1" s="531"/>
      <c r="DQ1" s="531"/>
      <c r="DR1" s="531"/>
      <c r="DS1" s="531"/>
      <c r="DT1" s="531"/>
      <c r="DU1" s="531"/>
      <c r="DV1" s="531"/>
      <c r="DW1" s="531"/>
      <c r="DX1" s="531"/>
      <c r="DY1" s="531"/>
      <c r="DZ1" s="531"/>
      <c r="EA1" s="531"/>
      <c r="EB1" s="531"/>
      <c r="EC1" s="531"/>
      <c r="ED1" s="531"/>
      <c r="EE1" s="531"/>
      <c r="EF1" s="531"/>
      <c r="EG1" s="531"/>
      <c r="EH1" s="531"/>
      <c r="EI1" s="531"/>
      <c r="EJ1" s="531"/>
      <c r="EK1" s="531"/>
      <c r="EL1" s="531"/>
      <c r="EM1" s="532"/>
      <c r="EN1" s="530" t="s">
        <v>6</v>
      </c>
      <c r="EO1" s="531"/>
      <c r="EP1" s="531"/>
      <c r="EQ1" s="531"/>
      <c r="ER1" s="531"/>
      <c r="ES1" s="531"/>
      <c r="ET1" s="531"/>
      <c r="EU1" s="530" t="s">
        <v>7</v>
      </c>
    </row>
    <row r="2" spans="1:151" ht="12.75">
      <c r="A2" s="531"/>
      <c r="B2" s="531"/>
      <c r="C2" s="531"/>
      <c r="D2" s="531"/>
      <c r="E2" s="532"/>
      <c r="F2" s="530" t="s">
        <v>734</v>
      </c>
      <c r="G2" s="531"/>
      <c r="H2" s="532"/>
      <c r="I2" s="530" t="s">
        <v>735</v>
      </c>
      <c r="J2" s="531"/>
      <c r="K2" s="532"/>
      <c r="L2" s="530" t="s">
        <v>736</v>
      </c>
      <c r="M2" s="531"/>
      <c r="N2" s="532"/>
      <c r="O2" s="530" t="s">
        <v>737</v>
      </c>
      <c r="P2" s="531"/>
      <c r="Q2" s="532"/>
      <c r="R2" s="530" t="s">
        <v>738</v>
      </c>
      <c r="S2" s="531"/>
      <c r="T2" s="532"/>
      <c r="U2" s="530" t="s">
        <v>739</v>
      </c>
      <c r="V2" s="531"/>
      <c r="W2" s="532"/>
      <c r="X2" s="530" t="s">
        <v>740</v>
      </c>
      <c r="Y2" s="531"/>
      <c r="Z2" s="532"/>
      <c r="AA2" s="530" t="s">
        <v>741</v>
      </c>
      <c r="AB2" s="531"/>
      <c r="AC2" s="532"/>
      <c r="AD2" s="530" t="s">
        <v>742</v>
      </c>
      <c r="AE2" s="531"/>
      <c r="AF2" s="532"/>
      <c r="AG2" s="530" t="s">
        <v>743</v>
      </c>
      <c r="AH2" s="531"/>
      <c r="AI2" s="532"/>
      <c r="AJ2" s="530" t="s">
        <v>744</v>
      </c>
      <c r="AK2" s="531"/>
      <c r="AL2" s="532"/>
      <c r="AM2" s="530" t="s">
        <v>745</v>
      </c>
      <c r="AN2" s="531"/>
      <c r="AO2" s="532"/>
      <c r="AP2" s="530" t="s">
        <v>746</v>
      </c>
      <c r="AQ2" s="531"/>
      <c r="AR2" s="532"/>
      <c r="AS2" s="530" t="s">
        <v>747</v>
      </c>
      <c r="AT2" s="531"/>
      <c r="AU2" s="532"/>
      <c r="AV2" s="530" t="s">
        <v>748</v>
      </c>
      <c r="AW2" s="531"/>
      <c r="AX2" s="532"/>
      <c r="AY2" s="530" t="s">
        <v>749</v>
      </c>
      <c r="AZ2" s="531"/>
      <c r="BA2" s="532"/>
      <c r="BB2" s="530" t="s">
        <v>750</v>
      </c>
      <c r="BC2" s="531"/>
      <c r="BD2" s="532"/>
      <c r="BE2" s="530" t="s">
        <v>751</v>
      </c>
      <c r="BF2" s="531"/>
      <c r="BG2" s="532"/>
      <c r="BH2" s="530" t="s">
        <v>752</v>
      </c>
      <c r="BI2" s="531"/>
      <c r="BJ2" s="532"/>
      <c r="BK2" s="530" t="s">
        <v>753</v>
      </c>
      <c r="BL2" s="531"/>
      <c r="BM2" s="532"/>
      <c r="BN2" s="530" t="s">
        <v>754</v>
      </c>
      <c r="BO2" s="531"/>
      <c r="BP2" s="532"/>
      <c r="BQ2" s="530" t="s">
        <v>755</v>
      </c>
      <c r="BR2" s="531"/>
      <c r="BS2" s="532"/>
      <c r="BT2" s="530" t="s">
        <v>756</v>
      </c>
      <c r="BU2" s="531"/>
      <c r="BV2" s="532"/>
      <c r="BW2" s="530" t="s">
        <v>757</v>
      </c>
      <c r="BX2" s="531"/>
      <c r="BY2" s="532"/>
      <c r="BZ2" s="530" t="s">
        <v>758</v>
      </c>
      <c r="CA2" s="531"/>
      <c r="CB2" s="532"/>
      <c r="CC2" s="530" t="s">
        <v>759</v>
      </c>
      <c r="CD2" s="531"/>
      <c r="CE2" s="532"/>
      <c r="CF2" s="530" t="s">
        <v>760</v>
      </c>
      <c r="CG2" s="531"/>
      <c r="CH2" s="532"/>
      <c r="CI2" s="530" t="s">
        <v>761</v>
      </c>
      <c r="CJ2" s="531"/>
      <c r="CK2" s="532"/>
      <c r="CL2" s="530" t="s">
        <v>762</v>
      </c>
      <c r="CM2" s="531"/>
      <c r="CN2" s="532"/>
      <c r="CO2" s="530" t="s">
        <v>763</v>
      </c>
      <c r="CP2" s="531"/>
      <c r="CQ2" s="532"/>
      <c r="CR2" s="530" t="s">
        <v>764</v>
      </c>
      <c r="CS2" s="531"/>
      <c r="CT2" s="532"/>
      <c r="CU2" s="530" t="s">
        <v>765</v>
      </c>
      <c r="CV2" s="531"/>
      <c r="CW2" s="532"/>
      <c r="CX2" s="530" t="s">
        <v>766</v>
      </c>
      <c r="CY2" s="531"/>
      <c r="CZ2" s="532"/>
      <c r="DA2" s="530" t="s">
        <v>767</v>
      </c>
      <c r="DB2" s="531"/>
      <c r="DC2" s="532"/>
      <c r="DD2" s="530" t="s">
        <v>768</v>
      </c>
      <c r="DE2" s="531"/>
      <c r="DF2" s="532"/>
      <c r="DG2" s="530" t="s">
        <v>769</v>
      </c>
      <c r="DH2" s="531"/>
      <c r="DI2" s="532"/>
      <c r="DJ2" s="530" t="s">
        <v>770</v>
      </c>
      <c r="DK2" s="531"/>
      <c r="DL2" s="532"/>
      <c r="DM2" s="530" t="s">
        <v>771</v>
      </c>
      <c r="DN2" s="531"/>
      <c r="DO2" s="532"/>
      <c r="DP2" s="530" t="s">
        <v>772</v>
      </c>
      <c r="DQ2" s="531"/>
      <c r="DR2" s="532"/>
      <c r="DS2" s="530" t="s">
        <v>773</v>
      </c>
      <c r="DT2" s="531"/>
      <c r="DU2" s="532"/>
      <c r="DV2" s="530" t="s">
        <v>774</v>
      </c>
      <c r="DW2" s="531"/>
      <c r="DX2" s="532"/>
      <c r="DY2" s="530" t="s">
        <v>775</v>
      </c>
      <c r="DZ2" s="531"/>
      <c r="EA2" s="532"/>
      <c r="EB2" s="530" t="s">
        <v>776</v>
      </c>
      <c r="EC2" s="531"/>
      <c r="ED2" s="532"/>
      <c r="EE2" s="530" t="s">
        <v>777</v>
      </c>
      <c r="EF2" s="531"/>
      <c r="EG2" s="532"/>
      <c r="EH2" s="530" t="s">
        <v>778</v>
      </c>
      <c r="EI2" s="531"/>
      <c r="EJ2" s="532"/>
      <c r="EK2" s="530" t="s">
        <v>779</v>
      </c>
      <c r="EL2" s="531"/>
      <c r="EM2" s="532"/>
      <c r="EN2" s="531"/>
      <c r="EO2" s="531"/>
      <c r="EP2" s="531"/>
      <c r="EQ2" s="531"/>
      <c r="ER2" s="531"/>
      <c r="ES2" s="531"/>
      <c r="ET2" s="531"/>
      <c r="EU2" s="531"/>
    </row>
    <row r="3" spans="1:151" ht="12.75">
      <c r="A3" s="531"/>
      <c r="B3" s="531"/>
      <c r="C3" s="531"/>
      <c r="D3" s="531"/>
      <c r="E3" s="532"/>
      <c r="F3" s="530" t="s">
        <v>780</v>
      </c>
      <c r="G3" s="531"/>
      <c r="H3" s="532"/>
      <c r="I3" s="530" t="s">
        <v>781</v>
      </c>
      <c r="J3" s="531"/>
      <c r="K3" s="532"/>
      <c r="L3" s="530" t="s">
        <v>782</v>
      </c>
      <c r="M3" s="531"/>
      <c r="N3" s="532"/>
      <c r="O3" s="530" t="s">
        <v>783</v>
      </c>
      <c r="P3" s="531"/>
      <c r="Q3" s="532"/>
      <c r="R3" s="530" t="s">
        <v>784</v>
      </c>
      <c r="S3" s="531"/>
      <c r="T3" s="532"/>
      <c r="U3" s="530" t="s">
        <v>785</v>
      </c>
      <c r="V3" s="531"/>
      <c r="W3" s="532"/>
      <c r="X3" s="530" t="s">
        <v>786</v>
      </c>
      <c r="Y3" s="531"/>
      <c r="Z3" s="532"/>
      <c r="AA3" s="530" t="s">
        <v>787</v>
      </c>
      <c r="AB3" s="531"/>
      <c r="AC3" s="532"/>
      <c r="AD3" s="530" t="s">
        <v>788</v>
      </c>
      <c r="AE3" s="531"/>
      <c r="AF3" s="532"/>
      <c r="AG3" s="530" t="s">
        <v>789</v>
      </c>
      <c r="AH3" s="531"/>
      <c r="AI3" s="532"/>
      <c r="AJ3" s="530" t="s">
        <v>790</v>
      </c>
      <c r="AK3" s="531"/>
      <c r="AL3" s="532"/>
      <c r="AM3" s="530" t="s">
        <v>791</v>
      </c>
      <c r="AN3" s="531"/>
      <c r="AO3" s="532"/>
      <c r="AP3" s="530" t="s">
        <v>792</v>
      </c>
      <c r="AQ3" s="531"/>
      <c r="AR3" s="532"/>
      <c r="AS3" s="530" t="s">
        <v>793</v>
      </c>
      <c r="AT3" s="531"/>
      <c r="AU3" s="532"/>
      <c r="AV3" s="530" t="s">
        <v>794</v>
      </c>
      <c r="AW3" s="531"/>
      <c r="AX3" s="532"/>
      <c r="AY3" s="530" t="s">
        <v>795</v>
      </c>
      <c r="AZ3" s="531"/>
      <c r="BA3" s="532"/>
      <c r="BB3" s="530" t="s">
        <v>796</v>
      </c>
      <c r="BC3" s="531"/>
      <c r="BD3" s="532"/>
      <c r="BE3" s="530" t="s">
        <v>797</v>
      </c>
      <c r="BF3" s="531"/>
      <c r="BG3" s="532"/>
      <c r="BH3" s="530" t="s">
        <v>798</v>
      </c>
      <c r="BI3" s="531"/>
      <c r="BJ3" s="532"/>
      <c r="BK3" s="530" t="s">
        <v>799</v>
      </c>
      <c r="BL3" s="531"/>
      <c r="BM3" s="532"/>
      <c r="BN3" s="530" t="s">
        <v>800</v>
      </c>
      <c r="BO3" s="531"/>
      <c r="BP3" s="532"/>
      <c r="BQ3" s="530" t="s">
        <v>801</v>
      </c>
      <c r="BR3" s="531"/>
      <c r="BS3" s="532"/>
      <c r="BT3" s="530" t="s">
        <v>802</v>
      </c>
      <c r="BU3" s="531"/>
      <c r="BV3" s="532"/>
      <c r="BW3" s="530" t="s">
        <v>803</v>
      </c>
      <c r="BX3" s="531"/>
      <c r="BY3" s="532"/>
      <c r="BZ3" s="530" t="s">
        <v>804</v>
      </c>
      <c r="CA3" s="531"/>
      <c r="CB3" s="532"/>
      <c r="CC3" s="530" t="s">
        <v>805</v>
      </c>
      <c r="CD3" s="531"/>
      <c r="CE3" s="532"/>
      <c r="CF3" s="530" t="s">
        <v>806</v>
      </c>
      <c r="CG3" s="531"/>
      <c r="CH3" s="532"/>
      <c r="CI3" s="530" t="s">
        <v>807</v>
      </c>
      <c r="CJ3" s="531"/>
      <c r="CK3" s="532"/>
      <c r="CL3" s="530" t="s">
        <v>808</v>
      </c>
      <c r="CM3" s="531"/>
      <c r="CN3" s="532"/>
      <c r="CO3" s="530" t="s">
        <v>809</v>
      </c>
      <c r="CP3" s="531"/>
      <c r="CQ3" s="532"/>
      <c r="CR3" s="530" t="s">
        <v>810</v>
      </c>
      <c r="CS3" s="531"/>
      <c r="CT3" s="532"/>
      <c r="CU3" s="530" t="s">
        <v>811</v>
      </c>
      <c r="CV3" s="531"/>
      <c r="CW3" s="532"/>
      <c r="CX3" s="530" t="s">
        <v>812</v>
      </c>
      <c r="CY3" s="531"/>
      <c r="CZ3" s="532"/>
      <c r="DA3" s="530" t="s">
        <v>813</v>
      </c>
      <c r="DB3" s="531"/>
      <c r="DC3" s="532"/>
      <c r="DD3" s="530" t="s">
        <v>814</v>
      </c>
      <c r="DE3" s="531"/>
      <c r="DF3" s="532"/>
      <c r="DG3" s="530" t="s">
        <v>815</v>
      </c>
      <c r="DH3" s="531"/>
      <c r="DI3" s="532"/>
      <c r="DJ3" s="530" t="s">
        <v>816</v>
      </c>
      <c r="DK3" s="531"/>
      <c r="DL3" s="532"/>
      <c r="DM3" s="530" t="s">
        <v>817</v>
      </c>
      <c r="DN3" s="531"/>
      <c r="DO3" s="532"/>
      <c r="DP3" s="530" t="s">
        <v>818</v>
      </c>
      <c r="DQ3" s="531"/>
      <c r="DR3" s="532"/>
      <c r="DS3" s="530" t="s">
        <v>819</v>
      </c>
      <c r="DT3" s="531"/>
      <c r="DU3" s="532"/>
      <c r="DV3" s="530" t="s">
        <v>820</v>
      </c>
      <c r="DW3" s="531"/>
      <c r="DX3" s="532"/>
      <c r="DY3" s="530" t="s">
        <v>821</v>
      </c>
      <c r="DZ3" s="531"/>
      <c r="EA3" s="532"/>
      <c r="EB3" s="530" t="s">
        <v>822</v>
      </c>
      <c r="EC3" s="531"/>
      <c r="ED3" s="532"/>
      <c r="EE3" s="530" t="s">
        <v>823</v>
      </c>
      <c r="EF3" s="531"/>
      <c r="EG3" s="532"/>
      <c r="EH3" s="530" t="s">
        <v>824</v>
      </c>
      <c r="EI3" s="531"/>
      <c r="EJ3" s="532"/>
      <c r="EK3" s="530" t="s">
        <v>825</v>
      </c>
      <c r="EL3" s="531"/>
      <c r="EM3" s="532"/>
      <c r="EN3" s="531"/>
      <c r="EO3" s="531"/>
      <c r="EP3" s="531"/>
      <c r="EQ3" s="531"/>
      <c r="ER3" s="531"/>
      <c r="ES3" s="531"/>
      <c r="ET3" s="531"/>
      <c r="EU3" s="531"/>
    </row>
    <row r="4" spans="1:151" ht="12.75">
      <c r="A4" s="531"/>
      <c r="B4" s="625" t="s">
        <v>8</v>
      </c>
      <c r="C4" s="626" t="s">
        <v>9</v>
      </c>
      <c r="D4" s="642" t="s">
        <v>10</v>
      </c>
      <c r="E4" s="633" t="s">
        <v>11</v>
      </c>
      <c r="F4" s="530"/>
      <c r="G4" s="531"/>
      <c r="H4" s="532"/>
      <c r="I4" s="530"/>
      <c r="J4" s="531"/>
      <c r="K4" s="532"/>
      <c r="L4" s="530"/>
      <c r="M4" s="531"/>
      <c r="N4" s="532"/>
      <c r="O4" s="530"/>
      <c r="P4" s="531"/>
      <c r="Q4" s="532"/>
      <c r="R4" s="530"/>
      <c r="S4" s="531"/>
      <c r="T4" s="532"/>
      <c r="U4" s="530"/>
      <c r="V4" s="531"/>
      <c r="W4" s="532"/>
      <c r="X4" s="530"/>
      <c r="Y4" s="531"/>
      <c r="Z4" s="532"/>
      <c r="AA4" s="530"/>
      <c r="AB4" s="531"/>
      <c r="AC4" s="532"/>
      <c r="AD4" s="530"/>
      <c r="AE4" s="531"/>
      <c r="AF4" s="532"/>
      <c r="AG4" s="530"/>
      <c r="AH4" s="531"/>
      <c r="AI4" s="532"/>
      <c r="AJ4" s="530"/>
      <c r="AK4" s="531"/>
      <c r="AL4" s="532"/>
      <c r="AM4" s="530"/>
      <c r="AN4" s="531"/>
      <c r="AO4" s="532"/>
      <c r="AP4" s="530"/>
      <c r="AQ4" s="531"/>
      <c r="AR4" s="532"/>
      <c r="AS4" s="530"/>
      <c r="AT4" s="531"/>
      <c r="AU4" s="532"/>
      <c r="AV4" s="530"/>
      <c r="AW4" s="531"/>
      <c r="AX4" s="532"/>
      <c r="AY4" s="530"/>
      <c r="AZ4" s="531"/>
      <c r="BA4" s="532"/>
      <c r="BB4" s="530"/>
      <c r="BC4" s="531"/>
      <c r="BD4" s="532"/>
      <c r="BE4" s="530"/>
      <c r="BF4" s="531"/>
      <c r="BG4" s="532"/>
      <c r="BH4" s="530"/>
      <c r="BI4" s="531"/>
      <c r="BJ4" s="532"/>
      <c r="BK4" s="530"/>
      <c r="BL4" s="531"/>
      <c r="BM4" s="532"/>
      <c r="BN4" s="530"/>
      <c r="BO4" s="531"/>
      <c r="BP4" s="532"/>
      <c r="BQ4" s="530"/>
      <c r="BR4" s="531"/>
      <c r="BS4" s="532"/>
      <c r="BT4" s="530"/>
      <c r="BU4" s="531"/>
      <c r="BV4" s="532"/>
      <c r="BW4" s="530"/>
      <c r="BX4" s="531"/>
      <c r="BY4" s="532"/>
      <c r="BZ4" s="530"/>
      <c r="CA4" s="531"/>
      <c r="CB4" s="532"/>
      <c r="CC4" s="530"/>
      <c r="CD4" s="531"/>
      <c r="CE4" s="532"/>
      <c r="CF4" s="530"/>
      <c r="CG4" s="531"/>
      <c r="CH4" s="532"/>
      <c r="CI4" s="530"/>
      <c r="CJ4" s="531"/>
      <c r="CK4" s="532"/>
      <c r="CL4" s="530"/>
      <c r="CM4" s="531"/>
      <c r="CN4" s="532"/>
      <c r="CO4" s="530"/>
      <c r="CP4" s="531"/>
      <c r="CQ4" s="532"/>
      <c r="CR4" s="530"/>
      <c r="CS4" s="531"/>
      <c r="CT4" s="532"/>
      <c r="CU4" s="530"/>
      <c r="CV4" s="531"/>
      <c r="CW4" s="532"/>
      <c r="CX4" s="530"/>
      <c r="CY4" s="531"/>
      <c r="CZ4" s="532"/>
      <c r="DA4" s="530"/>
      <c r="DB4" s="531"/>
      <c r="DC4" s="532"/>
      <c r="DD4" s="530"/>
      <c r="DE4" s="531"/>
      <c r="DF4" s="532"/>
      <c r="DG4" s="530"/>
      <c r="DH4" s="531"/>
      <c r="DI4" s="532"/>
      <c r="DJ4" s="530"/>
      <c r="DK4" s="531"/>
      <c r="DL4" s="532"/>
      <c r="DM4" s="530"/>
      <c r="DN4" s="531"/>
      <c r="DO4" s="532"/>
      <c r="DP4" s="530"/>
      <c r="DQ4" s="531"/>
      <c r="DR4" s="532"/>
      <c r="DS4" s="530"/>
      <c r="DT4" s="531"/>
      <c r="DU4" s="532"/>
      <c r="DV4" s="530"/>
      <c r="DW4" s="531"/>
      <c r="DX4" s="532"/>
      <c r="DY4" s="530"/>
      <c r="DZ4" s="531"/>
      <c r="EA4" s="532"/>
      <c r="EB4" s="530"/>
      <c r="EC4" s="531"/>
      <c r="ED4" s="532"/>
      <c r="EE4" s="530"/>
      <c r="EF4" s="531"/>
      <c r="EG4" s="532"/>
      <c r="EH4" s="530"/>
      <c r="EI4" s="531"/>
      <c r="EJ4" s="532"/>
      <c r="EK4" s="530"/>
      <c r="EL4" s="531"/>
      <c r="EM4" s="532"/>
      <c r="EN4" s="531"/>
      <c r="EO4" s="531"/>
      <c r="EP4" s="531"/>
      <c r="EQ4" s="531"/>
      <c r="ER4" s="531"/>
      <c r="ES4" s="531"/>
      <c r="ET4" s="531"/>
      <c r="EU4" s="531"/>
    </row>
    <row r="5" spans="1:151" ht="12.75">
      <c r="A5" s="531"/>
      <c r="B5" s="531"/>
      <c r="C5" s="531"/>
      <c r="D5" s="531"/>
      <c r="E5" s="532"/>
      <c r="F5" s="30" t="s">
        <v>99</v>
      </c>
      <c r="G5" s="31" t="s">
        <v>100</v>
      </c>
      <c r="H5" s="32" t="s">
        <v>102</v>
      </c>
      <c r="I5" s="30" t="s">
        <v>99</v>
      </c>
      <c r="J5" s="31" t="s">
        <v>100</v>
      </c>
      <c r="K5" s="32" t="s">
        <v>102</v>
      </c>
      <c r="L5" s="30" t="s">
        <v>99</v>
      </c>
      <c r="M5" s="31" t="s">
        <v>100</v>
      </c>
      <c r="N5" s="32" t="s">
        <v>102</v>
      </c>
      <c r="O5" s="30" t="s">
        <v>99</v>
      </c>
      <c r="P5" s="31" t="s">
        <v>100</v>
      </c>
      <c r="Q5" s="32" t="s">
        <v>102</v>
      </c>
      <c r="R5" s="30" t="s">
        <v>99</v>
      </c>
      <c r="S5" s="31" t="s">
        <v>100</v>
      </c>
      <c r="T5" s="32" t="s">
        <v>102</v>
      </c>
      <c r="U5" s="30" t="s">
        <v>99</v>
      </c>
      <c r="V5" s="31" t="s">
        <v>100</v>
      </c>
      <c r="W5" s="32" t="s">
        <v>102</v>
      </c>
      <c r="X5" s="30" t="s">
        <v>99</v>
      </c>
      <c r="Y5" s="31" t="s">
        <v>100</v>
      </c>
      <c r="Z5" s="32" t="s">
        <v>102</v>
      </c>
      <c r="AA5" s="30" t="s">
        <v>99</v>
      </c>
      <c r="AB5" s="31" t="s">
        <v>100</v>
      </c>
      <c r="AC5" s="32" t="s">
        <v>102</v>
      </c>
      <c r="AD5" s="30" t="s">
        <v>99</v>
      </c>
      <c r="AE5" s="31" t="s">
        <v>100</v>
      </c>
      <c r="AF5" s="32" t="s">
        <v>102</v>
      </c>
      <c r="AG5" s="30" t="s">
        <v>99</v>
      </c>
      <c r="AH5" s="31" t="s">
        <v>100</v>
      </c>
      <c r="AI5" s="32" t="s">
        <v>102</v>
      </c>
      <c r="AJ5" s="30" t="s">
        <v>99</v>
      </c>
      <c r="AK5" s="31" t="s">
        <v>100</v>
      </c>
      <c r="AL5" s="32" t="s">
        <v>102</v>
      </c>
      <c r="AM5" s="30" t="s">
        <v>99</v>
      </c>
      <c r="AN5" s="31" t="s">
        <v>100</v>
      </c>
      <c r="AO5" s="32" t="s">
        <v>102</v>
      </c>
      <c r="AP5" s="30" t="s">
        <v>99</v>
      </c>
      <c r="AQ5" s="31" t="s">
        <v>100</v>
      </c>
      <c r="AR5" s="32" t="s">
        <v>102</v>
      </c>
      <c r="AS5" s="30" t="s">
        <v>99</v>
      </c>
      <c r="AT5" s="31" t="s">
        <v>100</v>
      </c>
      <c r="AU5" s="32" t="s">
        <v>102</v>
      </c>
      <c r="AV5" s="30" t="s">
        <v>99</v>
      </c>
      <c r="AW5" s="31" t="s">
        <v>100</v>
      </c>
      <c r="AX5" s="32" t="s">
        <v>102</v>
      </c>
      <c r="AY5" s="30" t="s">
        <v>99</v>
      </c>
      <c r="AZ5" s="31" t="s">
        <v>100</v>
      </c>
      <c r="BA5" s="32" t="s">
        <v>102</v>
      </c>
      <c r="BB5" s="30" t="s">
        <v>99</v>
      </c>
      <c r="BC5" s="31" t="s">
        <v>100</v>
      </c>
      <c r="BD5" s="32" t="s">
        <v>102</v>
      </c>
      <c r="BE5" s="30" t="s">
        <v>99</v>
      </c>
      <c r="BF5" s="31" t="s">
        <v>100</v>
      </c>
      <c r="BG5" s="32" t="s">
        <v>102</v>
      </c>
      <c r="BH5" s="30" t="s">
        <v>99</v>
      </c>
      <c r="BI5" s="31" t="s">
        <v>100</v>
      </c>
      <c r="BJ5" s="32" t="s">
        <v>102</v>
      </c>
      <c r="BK5" s="30" t="s">
        <v>99</v>
      </c>
      <c r="BL5" s="31" t="s">
        <v>100</v>
      </c>
      <c r="BM5" s="32" t="s">
        <v>102</v>
      </c>
      <c r="BN5" s="30" t="s">
        <v>99</v>
      </c>
      <c r="BO5" s="31" t="s">
        <v>100</v>
      </c>
      <c r="BP5" s="32" t="s">
        <v>102</v>
      </c>
      <c r="BQ5" s="30" t="s">
        <v>99</v>
      </c>
      <c r="BR5" s="31" t="s">
        <v>100</v>
      </c>
      <c r="BS5" s="32" t="s">
        <v>102</v>
      </c>
      <c r="BT5" s="30" t="s">
        <v>99</v>
      </c>
      <c r="BU5" s="31" t="s">
        <v>100</v>
      </c>
      <c r="BV5" s="32" t="s">
        <v>102</v>
      </c>
      <c r="BW5" s="30" t="s">
        <v>99</v>
      </c>
      <c r="BX5" s="31" t="s">
        <v>100</v>
      </c>
      <c r="BY5" s="32" t="s">
        <v>102</v>
      </c>
      <c r="BZ5" s="30" t="s">
        <v>99</v>
      </c>
      <c r="CA5" s="31" t="s">
        <v>100</v>
      </c>
      <c r="CB5" s="32" t="s">
        <v>102</v>
      </c>
      <c r="CC5" s="30" t="s">
        <v>99</v>
      </c>
      <c r="CD5" s="31" t="s">
        <v>100</v>
      </c>
      <c r="CE5" s="32" t="s">
        <v>102</v>
      </c>
      <c r="CF5" s="30" t="s">
        <v>99</v>
      </c>
      <c r="CG5" s="31" t="s">
        <v>100</v>
      </c>
      <c r="CH5" s="32" t="s">
        <v>102</v>
      </c>
      <c r="CI5" s="30" t="s">
        <v>99</v>
      </c>
      <c r="CJ5" s="31" t="s">
        <v>100</v>
      </c>
      <c r="CK5" s="32" t="s">
        <v>102</v>
      </c>
      <c r="CL5" s="30" t="s">
        <v>99</v>
      </c>
      <c r="CM5" s="31" t="s">
        <v>100</v>
      </c>
      <c r="CN5" s="32" t="s">
        <v>102</v>
      </c>
      <c r="CO5" s="30" t="s">
        <v>99</v>
      </c>
      <c r="CP5" s="31" t="s">
        <v>100</v>
      </c>
      <c r="CQ5" s="32" t="s">
        <v>102</v>
      </c>
      <c r="CR5" s="30" t="s">
        <v>99</v>
      </c>
      <c r="CS5" s="31" t="s">
        <v>100</v>
      </c>
      <c r="CT5" s="32" t="s">
        <v>102</v>
      </c>
      <c r="CU5" s="30" t="s">
        <v>99</v>
      </c>
      <c r="CV5" s="31" t="s">
        <v>100</v>
      </c>
      <c r="CW5" s="32" t="s">
        <v>102</v>
      </c>
      <c r="CX5" s="30" t="s">
        <v>99</v>
      </c>
      <c r="CY5" s="31" t="s">
        <v>100</v>
      </c>
      <c r="CZ5" s="32" t="s">
        <v>102</v>
      </c>
      <c r="DA5" s="30" t="s">
        <v>99</v>
      </c>
      <c r="DB5" s="31" t="s">
        <v>100</v>
      </c>
      <c r="DC5" s="32" t="s">
        <v>102</v>
      </c>
      <c r="DD5" s="30" t="s">
        <v>99</v>
      </c>
      <c r="DE5" s="31" t="s">
        <v>100</v>
      </c>
      <c r="DF5" s="32" t="s">
        <v>102</v>
      </c>
      <c r="DG5" s="30" t="s">
        <v>99</v>
      </c>
      <c r="DH5" s="31" t="s">
        <v>100</v>
      </c>
      <c r="DI5" s="32" t="s">
        <v>102</v>
      </c>
      <c r="DJ5" s="30" t="s">
        <v>99</v>
      </c>
      <c r="DK5" s="31" t="s">
        <v>100</v>
      </c>
      <c r="DL5" s="32" t="s">
        <v>102</v>
      </c>
      <c r="DM5" s="30" t="s">
        <v>99</v>
      </c>
      <c r="DN5" s="31" t="s">
        <v>100</v>
      </c>
      <c r="DO5" s="32" t="s">
        <v>102</v>
      </c>
      <c r="DP5" s="30" t="s">
        <v>99</v>
      </c>
      <c r="DQ5" s="31" t="s">
        <v>100</v>
      </c>
      <c r="DR5" s="32" t="s">
        <v>102</v>
      </c>
      <c r="DS5" s="30" t="s">
        <v>99</v>
      </c>
      <c r="DT5" s="31" t="s">
        <v>100</v>
      </c>
      <c r="DU5" s="32" t="s">
        <v>102</v>
      </c>
      <c r="DV5" s="30" t="s">
        <v>99</v>
      </c>
      <c r="DW5" s="31" t="s">
        <v>100</v>
      </c>
      <c r="DX5" s="32" t="s">
        <v>102</v>
      </c>
      <c r="DY5" s="30" t="s">
        <v>99</v>
      </c>
      <c r="DZ5" s="31" t="s">
        <v>100</v>
      </c>
      <c r="EA5" s="32" t="s">
        <v>102</v>
      </c>
      <c r="EB5" s="30" t="s">
        <v>99</v>
      </c>
      <c r="EC5" s="31" t="s">
        <v>100</v>
      </c>
      <c r="ED5" s="32" t="s">
        <v>102</v>
      </c>
      <c r="EE5" s="30" t="s">
        <v>99</v>
      </c>
      <c r="EF5" s="31" t="s">
        <v>100</v>
      </c>
      <c r="EG5" s="32" t="s">
        <v>102</v>
      </c>
      <c r="EH5" s="30" t="s">
        <v>99</v>
      </c>
      <c r="EI5" s="31" t="s">
        <v>100</v>
      </c>
      <c r="EJ5" s="32" t="s">
        <v>102</v>
      </c>
      <c r="EK5" s="30" t="s">
        <v>99</v>
      </c>
      <c r="EL5" s="31" t="s">
        <v>100</v>
      </c>
      <c r="EM5" s="32" t="s">
        <v>102</v>
      </c>
      <c r="EN5" s="531"/>
      <c r="EO5" s="531"/>
      <c r="EP5" s="531"/>
      <c r="EQ5" s="531"/>
      <c r="ER5" s="531"/>
      <c r="ES5" s="531"/>
      <c r="ET5" s="531"/>
      <c r="EU5" s="531"/>
    </row>
    <row r="6" spans="1:151" ht="12.75">
      <c r="A6" s="40">
        <v>43815</v>
      </c>
      <c r="B6" s="15">
        <f t="shared" ref="B6:B19" si="0">SUM(AA6,AD6,BE6)</f>
        <v>0</v>
      </c>
      <c r="C6" s="15">
        <f t="shared" ref="C6:D6" si="1">SUM(AB6,AE6,BF6,)</f>
        <v>0</v>
      </c>
      <c r="D6" s="15">
        <f t="shared" si="1"/>
        <v>0</v>
      </c>
      <c r="E6" s="154">
        <f t="shared" ref="E6:E110" si="2">B6-C6-D6</f>
        <v>0</v>
      </c>
      <c r="F6" s="18">
        <v>0</v>
      </c>
      <c r="G6" s="18">
        <v>0</v>
      </c>
      <c r="H6" s="317">
        <v>0</v>
      </c>
      <c r="I6" s="18">
        <v>0</v>
      </c>
      <c r="J6" s="18">
        <v>0</v>
      </c>
      <c r="K6" s="317">
        <v>0</v>
      </c>
      <c r="L6" s="18">
        <v>0</v>
      </c>
      <c r="M6" s="18">
        <v>0</v>
      </c>
      <c r="N6" s="317">
        <v>0</v>
      </c>
      <c r="O6" s="18">
        <v>0</v>
      </c>
      <c r="P6" s="18">
        <v>0</v>
      </c>
      <c r="Q6" s="317">
        <v>0</v>
      </c>
      <c r="R6" s="18">
        <v>0</v>
      </c>
      <c r="S6" s="18">
        <v>0</v>
      </c>
      <c r="T6" s="317">
        <v>0</v>
      </c>
      <c r="U6" s="18">
        <v>0</v>
      </c>
      <c r="V6" s="18">
        <v>0</v>
      </c>
      <c r="W6" s="317">
        <v>0</v>
      </c>
      <c r="X6" s="18">
        <v>0</v>
      </c>
      <c r="Y6" s="18">
        <v>0</v>
      </c>
      <c r="Z6" s="317">
        <v>0</v>
      </c>
      <c r="AA6" s="18">
        <v>0</v>
      </c>
      <c r="AB6" s="18">
        <v>0</v>
      </c>
      <c r="AC6" s="317">
        <v>0</v>
      </c>
      <c r="AD6" s="18">
        <v>0</v>
      </c>
      <c r="AE6" s="18">
        <v>0</v>
      </c>
      <c r="AF6" s="317">
        <v>0</v>
      </c>
      <c r="AG6" s="18">
        <v>0</v>
      </c>
      <c r="AH6" s="18">
        <v>0</v>
      </c>
      <c r="AI6" s="317">
        <v>0</v>
      </c>
      <c r="AJ6" s="18">
        <v>0</v>
      </c>
      <c r="AK6" s="18">
        <v>0</v>
      </c>
      <c r="AL6" s="317">
        <v>0</v>
      </c>
      <c r="AM6" s="18">
        <v>0</v>
      </c>
      <c r="AN6" s="18">
        <v>0</v>
      </c>
      <c r="AO6" s="317">
        <v>0</v>
      </c>
      <c r="AP6" s="18">
        <v>0</v>
      </c>
      <c r="AQ6" s="18">
        <v>0</v>
      </c>
      <c r="AR6" s="317">
        <v>0</v>
      </c>
      <c r="AS6" s="18">
        <v>0</v>
      </c>
      <c r="AT6" s="18">
        <v>0</v>
      </c>
      <c r="AU6" s="317">
        <v>0</v>
      </c>
      <c r="AV6" s="18">
        <v>0</v>
      </c>
      <c r="AW6" s="18">
        <v>0</v>
      </c>
      <c r="AX6" s="317">
        <v>0</v>
      </c>
      <c r="AY6" s="18">
        <v>0</v>
      </c>
      <c r="AZ6" s="18">
        <v>0</v>
      </c>
      <c r="BA6" s="317">
        <v>0</v>
      </c>
      <c r="BB6" s="18">
        <v>0</v>
      </c>
      <c r="BC6" s="18">
        <v>0</v>
      </c>
      <c r="BD6" s="317">
        <v>0</v>
      </c>
      <c r="BE6" s="18">
        <v>0</v>
      </c>
      <c r="BF6" s="18">
        <v>0</v>
      </c>
      <c r="BG6" s="317">
        <v>0</v>
      </c>
      <c r="BH6" s="18">
        <v>0</v>
      </c>
      <c r="BI6" s="18">
        <v>0</v>
      </c>
      <c r="BJ6" s="317">
        <v>0</v>
      </c>
      <c r="BK6" s="18">
        <v>0</v>
      </c>
      <c r="BL6" s="18">
        <v>0</v>
      </c>
      <c r="BM6" s="317">
        <v>0</v>
      </c>
      <c r="BN6" s="18">
        <v>0</v>
      </c>
      <c r="BO6" s="18">
        <v>0</v>
      </c>
      <c r="BP6" s="317">
        <v>0</v>
      </c>
      <c r="BQ6" s="18">
        <v>0</v>
      </c>
      <c r="BR6" s="18">
        <v>0</v>
      </c>
      <c r="BS6" s="317">
        <v>0</v>
      </c>
      <c r="BT6" s="18">
        <v>0</v>
      </c>
      <c r="BU6" s="18">
        <v>0</v>
      </c>
      <c r="BV6" s="317">
        <v>0</v>
      </c>
      <c r="BW6" s="18">
        <v>0</v>
      </c>
      <c r="BX6" s="18">
        <v>0</v>
      </c>
      <c r="BY6" s="317">
        <v>0</v>
      </c>
      <c r="BZ6" s="18">
        <v>0</v>
      </c>
      <c r="CA6" s="18">
        <v>0</v>
      </c>
      <c r="CB6" s="317">
        <v>0</v>
      </c>
      <c r="CC6" s="18">
        <v>0</v>
      </c>
      <c r="CD6" s="18">
        <v>0</v>
      </c>
      <c r="CE6" s="317">
        <v>0</v>
      </c>
      <c r="CF6" s="18">
        <v>0</v>
      </c>
      <c r="CG6" s="18">
        <v>0</v>
      </c>
      <c r="CH6" s="317">
        <v>0</v>
      </c>
      <c r="CI6" s="18">
        <v>0</v>
      </c>
      <c r="CJ6" s="18">
        <v>0</v>
      </c>
      <c r="CK6" s="317">
        <v>0</v>
      </c>
      <c r="CL6" s="18">
        <v>0</v>
      </c>
      <c r="CM6" s="18">
        <v>0</v>
      </c>
      <c r="CN6" s="317">
        <v>0</v>
      </c>
      <c r="CO6" s="18">
        <v>0</v>
      </c>
      <c r="CP6" s="18">
        <v>0</v>
      </c>
      <c r="CQ6" s="317">
        <v>0</v>
      </c>
      <c r="CR6" s="18">
        <v>0</v>
      </c>
      <c r="CS6" s="18">
        <v>0</v>
      </c>
      <c r="CT6" s="317">
        <v>0</v>
      </c>
      <c r="CU6" s="18">
        <v>0</v>
      </c>
      <c r="CV6" s="18">
        <v>0</v>
      </c>
      <c r="CW6" s="317">
        <v>0</v>
      </c>
      <c r="CX6" s="18">
        <v>0</v>
      </c>
      <c r="CY6" s="18">
        <v>0</v>
      </c>
      <c r="CZ6" s="317">
        <v>0</v>
      </c>
      <c r="DA6" s="18">
        <v>0</v>
      </c>
      <c r="DB6" s="18">
        <v>0</v>
      </c>
      <c r="DC6" s="317">
        <v>0</v>
      </c>
      <c r="DD6" s="18">
        <v>0</v>
      </c>
      <c r="DE6" s="18">
        <v>0</v>
      </c>
      <c r="DF6" s="317">
        <v>0</v>
      </c>
      <c r="DG6" s="18">
        <v>0</v>
      </c>
      <c r="DH6" s="18">
        <v>0</v>
      </c>
      <c r="DI6" s="317">
        <v>0</v>
      </c>
      <c r="DJ6" s="18">
        <v>0</v>
      </c>
      <c r="DK6" s="18">
        <v>0</v>
      </c>
      <c r="DL6" s="317">
        <v>0</v>
      </c>
      <c r="DM6" s="18">
        <v>0</v>
      </c>
      <c r="DN6" s="18">
        <v>0</v>
      </c>
      <c r="DO6" s="317">
        <v>0</v>
      </c>
      <c r="DP6" s="18">
        <v>0</v>
      </c>
      <c r="DQ6" s="18">
        <v>0</v>
      </c>
      <c r="DR6" s="317">
        <v>0</v>
      </c>
      <c r="DS6" s="18">
        <v>0</v>
      </c>
      <c r="DT6" s="18">
        <v>0</v>
      </c>
      <c r="DU6" s="317">
        <v>0</v>
      </c>
      <c r="DV6" s="18">
        <v>0</v>
      </c>
      <c r="DW6" s="18">
        <v>0</v>
      </c>
      <c r="DX6" s="317">
        <v>0</v>
      </c>
      <c r="DY6" s="18">
        <v>0</v>
      </c>
      <c r="DZ6" s="18">
        <v>0</v>
      </c>
      <c r="EA6" s="317">
        <v>0</v>
      </c>
      <c r="EB6" s="18">
        <v>0</v>
      </c>
      <c r="EC6" s="18">
        <v>0</v>
      </c>
      <c r="ED6" s="317">
        <v>0</v>
      </c>
      <c r="EE6" s="18">
        <v>0</v>
      </c>
      <c r="EF6" s="18">
        <v>0</v>
      </c>
      <c r="EG6" s="317">
        <v>0</v>
      </c>
      <c r="EH6" s="18">
        <v>0</v>
      </c>
      <c r="EI6" s="18">
        <v>0</v>
      </c>
      <c r="EJ6" s="317">
        <v>0</v>
      </c>
      <c r="EK6" s="18">
        <v>0</v>
      </c>
      <c r="EL6" s="18">
        <v>0</v>
      </c>
      <c r="EM6" s="317">
        <v>0</v>
      </c>
      <c r="EN6" s="640"/>
      <c r="EO6" s="531"/>
      <c r="EP6" s="531"/>
      <c r="EQ6" s="531"/>
      <c r="ER6" s="531"/>
      <c r="ES6" s="531"/>
      <c r="ET6" s="531"/>
      <c r="EU6" s="339"/>
    </row>
    <row r="7" spans="1:151" ht="12.75">
      <c r="A7" s="43">
        <v>43830</v>
      </c>
      <c r="B7" s="22">
        <f t="shared" si="0"/>
        <v>0</v>
      </c>
      <c r="C7" s="22">
        <f t="shared" ref="C7:D7" si="3">SUM(AB7,AE7,BF7,)</f>
        <v>0</v>
      </c>
      <c r="D7" s="22">
        <f t="shared" si="3"/>
        <v>0</v>
      </c>
      <c r="E7" s="319">
        <f t="shared" si="2"/>
        <v>0</v>
      </c>
      <c r="F7" s="22">
        <v>0</v>
      </c>
      <c r="G7" s="22">
        <v>0</v>
      </c>
      <c r="H7" s="24">
        <v>0</v>
      </c>
      <c r="I7" s="22">
        <v>0</v>
      </c>
      <c r="J7" s="22">
        <v>0</v>
      </c>
      <c r="K7" s="24">
        <v>0</v>
      </c>
      <c r="L7" s="22">
        <v>0</v>
      </c>
      <c r="M7" s="22">
        <v>0</v>
      </c>
      <c r="N7" s="24">
        <v>0</v>
      </c>
      <c r="O7" s="22">
        <v>0</v>
      </c>
      <c r="P7" s="22">
        <v>0</v>
      </c>
      <c r="Q7" s="24">
        <v>0</v>
      </c>
      <c r="R7" s="22">
        <v>0</v>
      </c>
      <c r="S7" s="22">
        <v>0</v>
      </c>
      <c r="T7" s="24">
        <v>0</v>
      </c>
      <c r="U7" s="22">
        <v>0</v>
      </c>
      <c r="V7" s="22">
        <v>0</v>
      </c>
      <c r="W7" s="24">
        <v>0</v>
      </c>
      <c r="X7" s="22">
        <v>0</v>
      </c>
      <c r="Y7" s="22">
        <v>0</v>
      </c>
      <c r="Z7" s="24">
        <v>0</v>
      </c>
      <c r="AA7" s="22">
        <v>0</v>
      </c>
      <c r="AB7" s="22">
        <v>0</v>
      </c>
      <c r="AC7" s="24">
        <v>0</v>
      </c>
      <c r="AD7" s="22">
        <v>0</v>
      </c>
      <c r="AE7" s="22">
        <v>0</v>
      </c>
      <c r="AF7" s="24">
        <v>0</v>
      </c>
      <c r="AG7" s="22">
        <v>0</v>
      </c>
      <c r="AH7" s="22">
        <v>0</v>
      </c>
      <c r="AI7" s="24">
        <v>0</v>
      </c>
      <c r="AJ7" s="22">
        <v>0</v>
      </c>
      <c r="AK7" s="22">
        <v>0</v>
      </c>
      <c r="AL7" s="24">
        <v>0</v>
      </c>
      <c r="AM7" s="22">
        <v>0</v>
      </c>
      <c r="AN7" s="22">
        <v>0</v>
      </c>
      <c r="AO7" s="24">
        <v>0</v>
      </c>
      <c r="AP7" s="22">
        <v>0</v>
      </c>
      <c r="AQ7" s="22">
        <v>0</v>
      </c>
      <c r="AR7" s="24">
        <v>0</v>
      </c>
      <c r="AS7" s="22">
        <v>0</v>
      </c>
      <c r="AT7" s="22">
        <v>0</v>
      </c>
      <c r="AU7" s="24">
        <v>0</v>
      </c>
      <c r="AV7" s="22">
        <v>0</v>
      </c>
      <c r="AW7" s="22">
        <v>0</v>
      </c>
      <c r="AX7" s="24">
        <v>0</v>
      </c>
      <c r="AY7" s="22">
        <v>0</v>
      </c>
      <c r="AZ7" s="22">
        <v>0</v>
      </c>
      <c r="BA7" s="24">
        <v>0</v>
      </c>
      <c r="BB7" s="22">
        <v>0</v>
      </c>
      <c r="BC7" s="22">
        <v>0</v>
      </c>
      <c r="BD7" s="24">
        <v>0</v>
      </c>
      <c r="BE7" s="22">
        <v>0</v>
      </c>
      <c r="BF7" s="22">
        <v>0</v>
      </c>
      <c r="BG7" s="24">
        <v>0</v>
      </c>
      <c r="BH7" s="22">
        <v>0</v>
      </c>
      <c r="BI7" s="22">
        <v>0</v>
      </c>
      <c r="BJ7" s="24">
        <v>0</v>
      </c>
      <c r="BK7" s="22">
        <v>0</v>
      </c>
      <c r="BL7" s="22">
        <v>0</v>
      </c>
      <c r="BM7" s="24">
        <v>0</v>
      </c>
      <c r="BN7" s="22">
        <v>0</v>
      </c>
      <c r="BO7" s="22">
        <v>0</v>
      </c>
      <c r="BP7" s="24">
        <v>0</v>
      </c>
      <c r="BQ7" s="22">
        <v>0</v>
      </c>
      <c r="BR7" s="22">
        <v>0</v>
      </c>
      <c r="BS7" s="24">
        <v>0</v>
      </c>
      <c r="BT7" s="22">
        <v>0</v>
      </c>
      <c r="BU7" s="22">
        <v>0</v>
      </c>
      <c r="BV7" s="24">
        <v>0</v>
      </c>
      <c r="BW7" s="22">
        <v>0</v>
      </c>
      <c r="BX7" s="22">
        <v>0</v>
      </c>
      <c r="BY7" s="24">
        <v>0</v>
      </c>
      <c r="BZ7" s="22">
        <v>0</v>
      </c>
      <c r="CA7" s="22">
        <v>0</v>
      </c>
      <c r="CB7" s="24">
        <v>0</v>
      </c>
      <c r="CC7" s="22">
        <v>0</v>
      </c>
      <c r="CD7" s="22">
        <v>0</v>
      </c>
      <c r="CE7" s="24">
        <v>0</v>
      </c>
      <c r="CF7" s="22">
        <v>0</v>
      </c>
      <c r="CG7" s="22">
        <v>0</v>
      </c>
      <c r="CH7" s="24">
        <v>0</v>
      </c>
      <c r="CI7" s="22">
        <v>0</v>
      </c>
      <c r="CJ7" s="22">
        <v>0</v>
      </c>
      <c r="CK7" s="24">
        <v>0</v>
      </c>
      <c r="CL7" s="22">
        <v>0</v>
      </c>
      <c r="CM7" s="22">
        <v>0</v>
      </c>
      <c r="CN7" s="24">
        <v>0</v>
      </c>
      <c r="CO7" s="22">
        <v>0</v>
      </c>
      <c r="CP7" s="22">
        <v>0</v>
      </c>
      <c r="CQ7" s="24">
        <v>0</v>
      </c>
      <c r="CR7" s="22">
        <v>0</v>
      </c>
      <c r="CS7" s="22">
        <v>0</v>
      </c>
      <c r="CT7" s="24">
        <v>0</v>
      </c>
      <c r="CU7" s="22">
        <v>0</v>
      </c>
      <c r="CV7" s="22">
        <v>0</v>
      </c>
      <c r="CW7" s="24">
        <v>0</v>
      </c>
      <c r="CX7" s="22">
        <v>0</v>
      </c>
      <c r="CY7" s="22">
        <v>0</v>
      </c>
      <c r="CZ7" s="24">
        <v>0</v>
      </c>
      <c r="DA7" s="22">
        <v>0</v>
      </c>
      <c r="DB7" s="22">
        <v>0</v>
      </c>
      <c r="DC7" s="24">
        <v>0</v>
      </c>
      <c r="DD7" s="22">
        <v>0</v>
      </c>
      <c r="DE7" s="22">
        <v>0</v>
      </c>
      <c r="DF7" s="24">
        <v>0</v>
      </c>
      <c r="DG7" s="22">
        <v>0</v>
      </c>
      <c r="DH7" s="22">
        <v>0</v>
      </c>
      <c r="DI7" s="24">
        <v>0</v>
      </c>
      <c r="DJ7" s="22">
        <v>0</v>
      </c>
      <c r="DK7" s="22">
        <v>0</v>
      </c>
      <c r="DL7" s="24">
        <v>0</v>
      </c>
      <c r="DM7" s="22">
        <v>0</v>
      </c>
      <c r="DN7" s="22">
        <v>0</v>
      </c>
      <c r="DO7" s="24">
        <v>0</v>
      </c>
      <c r="DP7" s="22">
        <v>0</v>
      </c>
      <c r="DQ7" s="22">
        <v>0</v>
      </c>
      <c r="DR7" s="24">
        <v>0</v>
      </c>
      <c r="DS7" s="22">
        <v>0</v>
      </c>
      <c r="DT7" s="22">
        <v>0</v>
      </c>
      <c r="DU7" s="24">
        <v>0</v>
      </c>
      <c r="DV7" s="22">
        <v>0</v>
      </c>
      <c r="DW7" s="22">
        <v>0</v>
      </c>
      <c r="DX7" s="24">
        <v>0</v>
      </c>
      <c r="DY7" s="22">
        <v>0</v>
      </c>
      <c r="DZ7" s="22">
        <v>0</v>
      </c>
      <c r="EA7" s="24">
        <v>0</v>
      </c>
      <c r="EB7" s="22">
        <v>0</v>
      </c>
      <c r="EC7" s="22">
        <v>0</v>
      </c>
      <c r="ED7" s="24">
        <v>0</v>
      </c>
      <c r="EE7" s="22">
        <v>0</v>
      </c>
      <c r="EF7" s="22">
        <v>0</v>
      </c>
      <c r="EG7" s="24">
        <v>0</v>
      </c>
      <c r="EH7" s="22">
        <v>0</v>
      </c>
      <c r="EI7" s="22">
        <v>0</v>
      </c>
      <c r="EJ7" s="24">
        <v>0</v>
      </c>
      <c r="EK7" s="22">
        <v>0</v>
      </c>
      <c r="EL7" s="22">
        <v>0</v>
      </c>
      <c r="EM7" s="24">
        <v>0</v>
      </c>
      <c r="EN7" s="641"/>
      <c r="EO7" s="639"/>
      <c r="EP7" s="639"/>
      <c r="EQ7" s="639"/>
      <c r="ER7" s="639"/>
      <c r="ES7" s="639"/>
      <c r="ET7" s="639"/>
      <c r="EU7" s="340"/>
    </row>
    <row r="8" spans="1:151" ht="12.75">
      <c r="A8" s="40">
        <v>43839</v>
      </c>
      <c r="B8" s="15">
        <f t="shared" si="0"/>
        <v>0</v>
      </c>
      <c r="C8" s="15">
        <f t="shared" ref="C8:D8" si="4">SUM(AB8,AE8,BF8,)</f>
        <v>0</v>
      </c>
      <c r="D8" s="15">
        <f t="shared" si="4"/>
        <v>0</v>
      </c>
      <c r="E8" s="154">
        <f t="shared" si="2"/>
        <v>0</v>
      </c>
      <c r="F8" s="18">
        <v>0</v>
      </c>
      <c r="G8" s="18">
        <v>0</v>
      </c>
      <c r="H8" s="317">
        <v>0</v>
      </c>
      <c r="I8" s="18">
        <v>0</v>
      </c>
      <c r="J8" s="18">
        <v>0</v>
      </c>
      <c r="K8" s="317">
        <v>0</v>
      </c>
      <c r="L8" s="18">
        <v>0</v>
      </c>
      <c r="M8" s="18">
        <v>0</v>
      </c>
      <c r="N8" s="317">
        <v>0</v>
      </c>
      <c r="O8" s="18">
        <v>0</v>
      </c>
      <c r="P8" s="18">
        <v>0</v>
      </c>
      <c r="Q8" s="317">
        <v>0</v>
      </c>
      <c r="R8" s="18">
        <v>0</v>
      </c>
      <c r="S8" s="18">
        <v>0</v>
      </c>
      <c r="T8" s="317">
        <v>0</v>
      </c>
      <c r="U8" s="18">
        <v>0</v>
      </c>
      <c r="V8" s="18">
        <v>0</v>
      </c>
      <c r="W8" s="317">
        <v>0</v>
      </c>
      <c r="X8" s="18">
        <v>0</v>
      </c>
      <c r="Y8" s="18">
        <v>0</v>
      </c>
      <c r="Z8" s="317">
        <v>0</v>
      </c>
      <c r="AA8" s="18">
        <v>0</v>
      </c>
      <c r="AB8" s="18">
        <v>0</v>
      </c>
      <c r="AC8" s="317">
        <v>0</v>
      </c>
      <c r="AD8" s="18">
        <v>0</v>
      </c>
      <c r="AE8" s="18">
        <v>0</v>
      </c>
      <c r="AF8" s="317">
        <v>0</v>
      </c>
      <c r="AG8" s="18">
        <v>0</v>
      </c>
      <c r="AH8" s="18">
        <v>0</v>
      </c>
      <c r="AI8" s="317">
        <v>0</v>
      </c>
      <c r="AJ8" s="18">
        <v>0</v>
      </c>
      <c r="AK8" s="18">
        <v>0</v>
      </c>
      <c r="AL8" s="317">
        <v>0</v>
      </c>
      <c r="AM8" s="18">
        <v>0</v>
      </c>
      <c r="AN8" s="18">
        <v>0</v>
      </c>
      <c r="AO8" s="317">
        <v>0</v>
      </c>
      <c r="AP8" s="18">
        <v>0</v>
      </c>
      <c r="AQ8" s="18">
        <v>0</v>
      </c>
      <c r="AR8" s="317">
        <v>0</v>
      </c>
      <c r="AS8" s="18">
        <v>0</v>
      </c>
      <c r="AT8" s="18">
        <v>0</v>
      </c>
      <c r="AU8" s="317">
        <v>0</v>
      </c>
      <c r="AV8" s="18">
        <v>0</v>
      </c>
      <c r="AW8" s="18">
        <v>0</v>
      </c>
      <c r="AX8" s="317">
        <v>0</v>
      </c>
      <c r="AY8" s="18">
        <v>0</v>
      </c>
      <c r="AZ8" s="18">
        <v>0</v>
      </c>
      <c r="BA8" s="317">
        <v>0</v>
      </c>
      <c r="BB8" s="18">
        <v>0</v>
      </c>
      <c r="BC8" s="18">
        <v>0</v>
      </c>
      <c r="BD8" s="317">
        <v>0</v>
      </c>
      <c r="BE8" s="18">
        <v>0</v>
      </c>
      <c r="BF8" s="18">
        <v>0</v>
      </c>
      <c r="BG8" s="317">
        <v>0</v>
      </c>
      <c r="BH8" s="18">
        <v>0</v>
      </c>
      <c r="BI8" s="18">
        <v>0</v>
      </c>
      <c r="BJ8" s="317">
        <v>0</v>
      </c>
      <c r="BK8" s="18">
        <v>0</v>
      </c>
      <c r="BL8" s="18">
        <v>0</v>
      </c>
      <c r="BM8" s="317">
        <v>0</v>
      </c>
      <c r="BN8" s="18">
        <v>0</v>
      </c>
      <c r="BO8" s="18">
        <v>0</v>
      </c>
      <c r="BP8" s="317">
        <v>0</v>
      </c>
      <c r="BQ8" s="18">
        <v>0</v>
      </c>
      <c r="BR8" s="18">
        <v>0</v>
      </c>
      <c r="BS8" s="317">
        <v>0</v>
      </c>
      <c r="BT8" s="18">
        <v>0</v>
      </c>
      <c r="BU8" s="18">
        <v>0</v>
      </c>
      <c r="BV8" s="317">
        <v>0</v>
      </c>
      <c r="BW8" s="18">
        <v>0</v>
      </c>
      <c r="BX8" s="18">
        <v>0</v>
      </c>
      <c r="BY8" s="317">
        <v>0</v>
      </c>
      <c r="BZ8" s="18">
        <v>0</v>
      </c>
      <c r="CA8" s="18">
        <v>0</v>
      </c>
      <c r="CB8" s="317">
        <v>0</v>
      </c>
      <c r="CC8" s="18">
        <v>0</v>
      </c>
      <c r="CD8" s="18">
        <v>0</v>
      </c>
      <c r="CE8" s="317">
        <v>0</v>
      </c>
      <c r="CF8" s="18">
        <v>0</v>
      </c>
      <c r="CG8" s="18">
        <v>0</v>
      </c>
      <c r="CH8" s="317">
        <v>0</v>
      </c>
      <c r="CI8" s="18">
        <v>0</v>
      </c>
      <c r="CJ8" s="18">
        <v>0</v>
      </c>
      <c r="CK8" s="317">
        <v>0</v>
      </c>
      <c r="CL8" s="18">
        <v>0</v>
      </c>
      <c r="CM8" s="18">
        <v>0</v>
      </c>
      <c r="CN8" s="317">
        <v>0</v>
      </c>
      <c r="CO8" s="18">
        <v>0</v>
      </c>
      <c r="CP8" s="18">
        <v>0</v>
      </c>
      <c r="CQ8" s="317">
        <v>0</v>
      </c>
      <c r="CR8" s="18">
        <v>0</v>
      </c>
      <c r="CS8" s="18">
        <v>0</v>
      </c>
      <c r="CT8" s="317">
        <v>0</v>
      </c>
      <c r="CU8" s="18">
        <v>0</v>
      </c>
      <c r="CV8" s="18">
        <v>0</v>
      </c>
      <c r="CW8" s="317">
        <v>0</v>
      </c>
      <c r="CX8" s="18">
        <v>0</v>
      </c>
      <c r="CY8" s="18">
        <v>0</v>
      </c>
      <c r="CZ8" s="317">
        <v>0</v>
      </c>
      <c r="DA8" s="18">
        <v>0</v>
      </c>
      <c r="DB8" s="18">
        <v>0</v>
      </c>
      <c r="DC8" s="317">
        <v>0</v>
      </c>
      <c r="DD8" s="18">
        <v>0</v>
      </c>
      <c r="DE8" s="18">
        <v>0</v>
      </c>
      <c r="DF8" s="317">
        <v>0</v>
      </c>
      <c r="DG8" s="18">
        <v>0</v>
      </c>
      <c r="DH8" s="18">
        <v>0</v>
      </c>
      <c r="DI8" s="317">
        <v>0</v>
      </c>
      <c r="DJ8" s="18">
        <v>0</v>
      </c>
      <c r="DK8" s="18">
        <v>0</v>
      </c>
      <c r="DL8" s="317">
        <v>0</v>
      </c>
      <c r="DM8" s="18">
        <v>0</v>
      </c>
      <c r="DN8" s="18">
        <v>0</v>
      </c>
      <c r="DO8" s="317">
        <v>0</v>
      </c>
      <c r="DP8" s="18">
        <v>0</v>
      </c>
      <c r="DQ8" s="18">
        <v>0</v>
      </c>
      <c r="DR8" s="317">
        <v>0</v>
      </c>
      <c r="DS8" s="18">
        <v>0</v>
      </c>
      <c r="DT8" s="18">
        <v>0</v>
      </c>
      <c r="DU8" s="317">
        <v>0</v>
      </c>
      <c r="DV8" s="18">
        <v>0</v>
      </c>
      <c r="DW8" s="18">
        <v>0</v>
      </c>
      <c r="DX8" s="317">
        <v>0</v>
      </c>
      <c r="DY8" s="18">
        <v>0</v>
      </c>
      <c r="DZ8" s="18">
        <v>0</v>
      </c>
      <c r="EA8" s="317">
        <v>0</v>
      </c>
      <c r="EB8" s="18">
        <v>0</v>
      </c>
      <c r="EC8" s="18">
        <v>0</v>
      </c>
      <c r="ED8" s="317">
        <v>0</v>
      </c>
      <c r="EE8" s="18">
        <v>0</v>
      </c>
      <c r="EF8" s="18">
        <v>0</v>
      </c>
      <c r="EG8" s="317">
        <v>0</v>
      </c>
      <c r="EH8" s="18">
        <v>0</v>
      </c>
      <c r="EI8" s="18">
        <v>0</v>
      </c>
      <c r="EJ8" s="317">
        <v>0</v>
      </c>
      <c r="EK8" s="18">
        <v>0</v>
      </c>
      <c r="EL8" s="18">
        <v>0</v>
      </c>
      <c r="EM8" s="317">
        <v>0</v>
      </c>
      <c r="EN8" s="640"/>
      <c r="EO8" s="531"/>
      <c r="EP8" s="531"/>
      <c r="EQ8" s="531"/>
      <c r="ER8" s="531"/>
      <c r="ES8" s="531"/>
      <c r="ET8" s="531"/>
      <c r="EU8" s="339"/>
    </row>
    <row r="9" spans="1:151" ht="12.75">
      <c r="A9" s="40">
        <v>43840</v>
      </c>
      <c r="B9" s="15">
        <f t="shared" si="0"/>
        <v>0</v>
      </c>
      <c r="C9" s="15">
        <f t="shared" ref="C9:D9" si="5">SUM(AB9,AE9,BF9,)</f>
        <v>0</v>
      </c>
      <c r="D9" s="15">
        <f t="shared" si="5"/>
        <v>0</v>
      </c>
      <c r="E9" s="154">
        <f t="shared" si="2"/>
        <v>0</v>
      </c>
      <c r="F9" s="18">
        <v>0</v>
      </c>
      <c r="G9" s="18">
        <v>0</v>
      </c>
      <c r="H9" s="317">
        <v>0</v>
      </c>
      <c r="I9" s="18">
        <v>0</v>
      </c>
      <c r="J9" s="18">
        <v>0</v>
      </c>
      <c r="K9" s="317">
        <v>0</v>
      </c>
      <c r="L9" s="18">
        <v>0</v>
      </c>
      <c r="M9" s="18">
        <v>0</v>
      </c>
      <c r="N9" s="317">
        <v>0</v>
      </c>
      <c r="O9" s="18">
        <v>0</v>
      </c>
      <c r="P9" s="18">
        <v>0</v>
      </c>
      <c r="Q9" s="317">
        <v>0</v>
      </c>
      <c r="R9" s="18">
        <v>0</v>
      </c>
      <c r="S9" s="18">
        <v>0</v>
      </c>
      <c r="T9" s="317">
        <v>0</v>
      </c>
      <c r="U9" s="18">
        <v>0</v>
      </c>
      <c r="V9" s="18">
        <v>0</v>
      </c>
      <c r="W9" s="317">
        <v>0</v>
      </c>
      <c r="X9" s="18">
        <v>0</v>
      </c>
      <c r="Y9" s="18">
        <v>0</v>
      </c>
      <c r="Z9" s="317">
        <v>0</v>
      </c>
      <c r="AA9" s="18">
        <v>0</v>
      </c>
      <c r="AB9" s="18">
        <v>0</v>
      </c>
      <c r="AC9" s="317">
        <v>0</v>
      </c>
      <c r="AD9" s="18">
        <v>0</v>
      </c>
      <c r="AE9" s="18">
        <v>0</v>
      </c>
      <c r="AF9" s="317">
        <v>0</v>
      </c>
      <c r="AG9" s="18">
        <v>0</v>
      </c>
      <c r="AH9" s="18">
        <v>0</v>
      </c>
      <c r="AI9" s="317">
        <v>0</v>
      </c>
      <c r="AJ9" s="18">
        <v>0</v>
      </c>
      <c r="AK9" s="18">
        <v>0</v>
      </c>
      <c r="AL9" s="317">
        <v>0</v>
      </c>
      <c r="AM9" s="18">
        <v>0</v>
      </c>
      <c r="AN9" s="18">
        <v>0</v>
      </c>
      <c r="AO9" s="317">
        <v>0</v>
      </c>
      <c r="AP9" s="18">
        <v>0</v>
      </c>
      <c r="AQ9" s="18">
        <v>0</v>
      </c>
      <c r="AR9" s="317">
        <v>0</v>
      </c>
      <c r="AS9" s="18">
        <v>0</v>
      </c>
      <c r="AT9" s="18">
        <v>0</v>
      </c>
      <c r="AU9" s="317">
        <v>0</v>
      </c>
      <c r="AV9" s="18">
        <v>0</v>
      </c>
      <c r="AW9" s="18">
        <v>0</v>
      </c>
      <c r="AX9" s="317">
        <v>0</v>
      </c>
      <c r="AY9" s="18">
        <v>0</v>
      </c>
      <c r="AZ9" s="18">
        <v>0</v>
      </c>
      <c r="BA9" s="317">
        <v>0</v>
      </c>
      <c r="BB9" s="18">
        <v>0</v>
      </c>
      <c r="BC9" s="18">
        <v>0</v>
      </c>
      <c r="BD9" s="317">
        <v>0</v>
      </c>
      <c r="BE9" s="18">
        <v>0</v>
      </c>
      <c r="BF9" s="18">
        <v>0</v>
      </c>
      <c r="BG9" s="317">
        <v>0</v>
      </c>
      <c r="BH9" s="18">
        <v>0</v>
      </c>
      <c r="BI9" s="18">
        <v>0</v>
      </c>
      <c r="BJ9" s="317">
        <v>0</v>
      </c>
      <c r="BK9" s="18">
        <v>0</v>
      </c>
      <c r="BL9" s="18">
        <v>0</v>
      </c>
      <c r="BM9" s="317">
        <v>0</v>
      </c>
      <c r="BN9" s="18">
        <v>0</v>
      </c>
      <c r="BO9" s="18">
        <v>0</v>
      </c>
      <c r="BP9" s="317">
        <v>0</v>
      </c>
      <c r="BQ9" s="18">
        <v>0</v>
      </c>
      <c r="BR9" s="18">
        <v>0</v>
      </c>
      <c r="BS9" s="317">
        <v>0</v>
      </c>
      <c r="BT9" s="18">
        <v>0</v>
      </c>
      <c r="BU9" s="18">
        <v>0</v>
      </c>
      <c r="BV9" s="317">
        <v>0</v>
      </c>
      <c r="BW9" s="18">
        <v>0</v>
      </c>
      <c r="BX9" s="18">
        <v>0</v>
      </c>
      <c r="BY9" s="317">
        <v>0</v>
      </c>
      <c r="BZ9" s="18">
        <v>0</v>
      </c>
      <c r="CA9" s="18">
        <v>0</v>
      </c>
      <c r="CB9" s="317">
        <v>0</v>
      </c>
      <c r="CC9" s="18">
        <v>0</v>
      </c>
      <c r="CD9" s="18">
        <v>0</v>
      </c>
      <c r="CE9" s="317">
        <v>0</v>
      </c>
      <c r="CF9" s="18">
        <v>0</v>
      </c>
      <c r="CG9" s="18">
        <v>0</v>
      </c>
      <c r="CH9" s="317">
        <v>0</v>
      </c>
      <c r="CI9" s="18">
        <v>0</v>
      </c>
      <c r="CJ9" s="18">
        <v>0</v>
      </c>
      <c r="CK9" s="317">
        <v>0</v>
      </c>
      <c r="CL9" s="18">
        <v>0</v>
      </c>
      <c r="CM9" s="18">
        <v>0</v>
      </c>
      <c r="CN9" s="317">
        <v>0</v>
      </c>
      <c r="CO9" s="18">
        <v>0</v>
      </c>
      <c r="CP9" s="18">
        <v>0</v>
      </c>
      <c r="CQ9" s="317">
        <v>0</v>
      </c>
      <c r="CR9" s="18">
        <v>0</v>
      </c>
      <c r="CS9" s="18">
        <v>0</v>
      </c>
      <c r="CT9" s="317">
        <v>0</v>
      </c>
      <c r="CU9" s="18">
        <v>0</v>
      </c>
      <c r="CV9" s="18">
        <v>0</v>
      </c>
      <c r="CW9" s="317">
        <v>0</v>
      </c>
      <c r="CX9" s="18">
        <v>0</v>
      </c>
      <c r="CY9" s="18">
        <v>0</v>
      </c>
      <c r="CZ9" s="317">
        <v>0</v>
      </c>
      <c r="DA9" s="18">
        <v>0</v>
      </c>
      <c r="DB9" s="18">
        <v>0</v>
      </c>
      <c r="DC9" s="317">
        <v>0</v>
      </c>
      <c r="DD9" s="18">
        <v>0</v>
      </c>
      <c r="DE9" s="18">
        <v>0</v>
      </c>
      <c r="DF9" s="317">
        <v>0</v>
      </c>
      <c r="DG9" s="18">
        <v>0</v>
      </c>
      <c r="DH9" s="18">
        <v>0</v>
      </c>
      <c r="DI9" s="317">
        <v>0</v>
      </c>
      <c r="DJ9" s="18">
        <v>0</v>
      </c>
      <c r="DK9" s="18">
        <v>0</v>
      </c>
      <c r="DL9" s="317">
        <v>0</v>
      </c>
      <c r="DM9" s="18">
        <v>0</v>
      </c>
      <c r="DN9" s="18">
        <v>0</v>
      </c>
      <c r="DO9" s="317">
        <v>0</v>
      </c>
      <c r="DP9" s="18">
        <v>0</v>
      </c>
      <c r="DQ9" s="18">
        <v>0</v>
      </c>
      <c r="DR9" s="317">
        <v>0</v>
      </c>
      <c r="DS9" s="18">
        <v>0</v>
      </c>
      <c r="DT9" s="18">
        <v>0</v>
      </c>
      <c r="DU9" s="317">
        <v>0</v>
      </c>
      <c r="DV9" s="18">
        <v>0</v>
      </c>
      <c r="DW9" s="18">
        <v>0</v>
      </c>
      <c r="DX9" s="317">
        <v>0</v>
      </c>
      <c r="DY9" s="18">
        <v>0</v>
      </c>
      <c r="DZ9" s="18">
        <v>0</v>
      </c>
      <c r="EA9" s="317">
        <v>0</v>
      </c>
      <c r="EB9" s="18">
        <v>0</v>
      </c>
      <c r="EC9" s="18">
        <v>0</v>
      </c>
      <c r="ED9" s="317">
        <v>0</v>
      </c>
      <c r="EE9" s="18">
        <v>0</v>
      </c>
      <c r="EF9" s="18">
        <v>0</v>
      </c>
      <c r="EG9" s="317">
        <v>0</v>
      </c>
      <c r="EH9" s="18">
        <v>0</v>
      </c>
      <c r="EI9" s="18">
        <v>0</v>
      </c>
      <c r="EJ9" s="317">
        <v>0</v>
      </c>
      <c r="EK9" s="18">
        <v>0</v>
      </c>
      <c r="EL9" s="18">
        <v>0</v>
      </c>
      <c r="EM9" s="317">
        <v>0</v>
      </c>
      <c r="EN9" s="640"/>
      <c r="EO9" s="531"/>
      <c r="EP9" s="531"/>
      <c r="EQ9" s="531"/>
      <c r="ER9" s="531"/>
      <c r="ES9" s="531"/>
      <c r="ET9" s="531"/>
      <c r="EU9" s="339"/>
    </row>
    <row r="10" spans="1:151" ht="12.75">
      <c r="A10" s="40">
        <v>43841</v>
      </c>
      <c r="B10" s="15">
        <f t="shared" si="0"/>
        <v>0</v>
      </c>
      <c r="C10" s="15">
        <f t="shared" ref="C10:D10" si="6">SUM(AB10,AE10,BF10,)</f>
        <v>0</v>
      </c>
      <c r="D10" s="15">
        <f t="shared" si="6"/>
        <v>0</v>
      </c>
      <c r="E10" s="154">
        <f t="shared" si="2"/>
        <v>0</v>
      </c>
      <c r="F10" s="18">
        <v>0</v>
      </c>
      <c r="G10" s="18">
        <v>0</v>
      </c>
      <c r="H10" s="317">
        <v>0</v>
      </c>
      <c r="I10" s="18">
        <v>0</v>
      </c>
      <c r="J10" s="18">
        <v>0</v>
      </c>
      <c r="K10" s="317">
        <v>0</v>
      </c>
      <c r="L10" s="18">
        <v>0</v>
      </c>
      <c r="M10" s="18">
        <v>0</v>
      </c>
      <c r="N10" s="317">
        <v>0</v>
      </c>
      <c r="O10" s="18">
        <v>0</v>
      </c>
      <c r="P10" s="18">
        <v>0</v>
      </c>
      <c r="Q10" s="317">
        <v>0</v>
      </c>
      <c r="R10" s="18">
        <v>0</v>
      </c>
      <c r="S10" s="18">
        <v>0</v>
      </c>
      <c r="T10" s="317">
        <v>0</v>
      </c>
      <c r="U10" s="18">
        <v>0</v>
      </c>
      <c r="V10" s="18">
        <v>0</v>
      </c>
      <c r="W10" s="317">
        <v>0</v>
      </c>
      <c r="X10" s="18">
        <v>0</v>
      </c>
      <c r="Y10" s="18">
        <v>0</v>
      </c>
      <c r="Z10" s="317">
        <v>0</v>
      </c>
      <c r="AA10" s="18">
        <v>0</v>
      </c>
      <c r="AB10" s="18">
        <v>0</v>
      </c>
      <c r="AC10" s="317">
        <v>0</v>
      </c>
      <c r="AD10" s="18">
        <v>0</v>
      </c>
      <c r="AE10" s="18">
        <v>0</v>
      </c>
      <c r="AF10" s="317">
        <v>0</v>
      </c>
      <c r="AG10" s="18">
        <v>0</v>
      </c>
      <c r="AH10" s="18">
        <v>0</v>
      </c>
      <c r="AI10" s="317">
        <v>0</v>
      </c>
      <c r="AJ10" s="18">
        <v>0</v>
      </c>
      <c r="AK10" s="18">
        <v>0</v>
      </c>
      <c r="AL10" s="317">
        <v>0</v>
      </c>
      <c r="AM10" s="18">
        <v>0</v>
      </c>
      <c r="AN10" s="18">
        <v>0</v>
      </c>
      <c r="AO10" s="317">
        <v>0</v>
      </c>
      <c r="AP10" s="18">
        <v>0</v>
      </c>
      <c r="AQ10" s="18">
        <v>0</v>
      </c>
      <c r="AR10" s="317">
        <v>0</v>
      </c>
      <c r="AS10" s="18">
        <v>0</v>
      </c>
      <c r="AT10" s="18">
        <v>0</v>
      </c>
      <c r="AU10" s="317">
        <v>0</v>
      </c>
      <c r="AV10" s="18">
        <v>0</v>
      </c>
      <c r="AW10" s="18">
        <v>0</v>
      </c>
      <c r="AX10" s="317">
        <v>0</v>
      </c>
      <c r="AY10" s="18">
        <v>0</v>
      </c>
      <c r="AZ10" s="18">
        <v>0</v>
      </c>
      <c r="BA10" s="317">
        <v>0</v>
      </c>
      <c r="BB10" s="18">
        <v>0</v>
      </c>
      <c r="BC10" s="18">
        <v>0</v>
      </c>
      <c r="BD10" s="317">
        <v>0</v>
      </c>
      <c r="BE10" s="18">
        <v>0</v>
      </c>
      <c r="BF10" s="18">
        <v>0</v>
      </c>
      <c r="BG10" s="317">
        <v>0</v>
      </c>
      <c r="BH10" s="18">
        <v>0</v>
      </c>
      <c r="BI10" s="18">
        <v>0</v>
      </c>
      <c r="BJ10" s="317">
        <v>0</v>
      </c>
      <c r="BK10" s="18">
        <v>0</v>
      </c>
      <c r="BL10" s="18">
        <v>0</v>
      </c>
      <c r="BM10" s="317">
        <v>0</v>
      </c>
      <c r="BN10" s="18">
        <v>0</v>
      </c>
      <c r="BO10" s="18">
        <v>0</v>
      </c>
      <c r="BP10" s="317">
        <v>0</v>
      </c>
      <c r="BQ10" s="18">
        <v>0</v>
      </c>
      <c r="BR10" s="18">
        <v>0</v>
      </c>
      <c r="BS10" s="317">
        <v>0</v>
      </c>
      <c r="BT10" s="18">
        <v>0</v>
      </c>
      <c r="BU10" s="18">
        <v>0</v>
      </c>
      <c r="BV10" s="317">
        <v>0</v>
      </c>
      <c r="BW10" s="18">
        <v>0</v>
      </c>
      <c r="BX10" s="18">
        <v>0</v>
      </c>
      <c r="BY10" s="317">
        <v>0</v>
      </c>
      <c r="BZ10" s="18">
        <v>0</v>
      </c>
      <c r="CA10" s="18">
        <v>0</v>
      </c>
      <c r="CB10" s="317">
        <v>0</v>
      </c>
      <c r="CC10" s="18">
        <v>0</v>
      </c>
      <c r="CD10" s="18">
        <v>0</v>
      </c>
      <c r="CE10" s="317">
        <v>0</v>
      </c>
      <c r="CF10" s="18">
        <v>0</v>
      </c>
      <c r="CG10" s="18">
        <v>0</v>
      </c>
      <c r="CH10" s="317">
        <v>0</v>
      </c>
      <c r="CI10" s="18">
        <v>0</v>
      </c>
      <c r="CJ10" s="18">
        <v>0</v>
      </c>
      <c r="CK10" s="317">
        <v>0</v>
      </c>
      <c r="CL10" s="18">
        <v>0</v>
      </c>
      <c r="CM10" s="18">
        <v>0</v>
      </c>
      <c r="CN10" s="317">
        <v>0</v>
      </c>
      <c r="CO10" s="18">
        <v>0</v>
      </c>
      <c r="CP10" s="18">
        <v>0</v>
      </c>
      <c r="CQ10" s="317">
        <v>0</v>
      </c>
      <c r="CR10" s="18">
        <v>0</v>
      </c>
      <c r="CS10" s="18">
        <v>0</v>
      </c>
      <c r="CT10" s="317">
        <v>0</v>
      </c>
      <c r="CU10" s="18">
        <v>0</v>
      </c>
      <c r="CV10" s="18">
        <v>0</v>
      </c>
      <c r="CW10" s="317">
        <v>0</v>
      </c>
      <c r="CX10" s="18">
        <v>0</v>
      </c>
      <c r="CY10" s="18">
        <v>0</v>
      </c>
      <c r="CZ10" s="317">
        <v>0</v>
      </c>
      <c r="DA10" s="18">
        <v>0</v>
      </c>
      <c r="DB10" s="18">
        <v>0</v>
      </c>
      <c r="DC10" s="317">
        <v>0</v>
      </c>
      <c r="DD10" s="18">
        <v>0</v>
      </c>
      <c r="DE10" s="18">
        <v>0</v>
      </c>
      <c r="DF10" s="317">
        <v>0</v>
      </c>
      <c r="DG10" s="18">
        <v>0</v>
      </c>
      <c r="DH10" s="18">
        <v>0</v>
      </c>
      <c r="DI10" s="317">
        <v>0</v>
      </c>
      <c r="DJ10" s="18">
        <v>0</v>
      </c>
      <c r="DK10" s="18">
        <v>0</v>
      </c>
      <c r="DL10" s="317">
        <v>0</v>
      </c>
      <c r="DM10" s="18">
        <v>0</v>
      </c>
      <c r="DN10" s="18">
        <v>0</v>
      </c>
      <c r="DO10" s="317">
        <v>0</v>
      </c>
      <c r="DP10" s="18">
        <v>0</v>
      </c>
      <c r="DQ10" s="18">
        <v>0</v>
      </c>
      <c r="DR10" s="317">
        <v>0</v>
      </c>
      <c r="DS10" s="18">
        <v>0</v>
      </c>
      <c r="DT10" s="18">
        <v>0</v>
      </c>
      <c r="DU10" s="317">
        <v>0</v>
      </c>
      <c r="DV10" s="18">
        <v>0</v>
      </c>
      <c r="DW10" s="18">
        <v>0</v>
      </c>
      <c r="DX10" s="317">
        <v>0</v>
      </c>
      <c r="DY10" s="18">
        <v>0</v>
      </c>
      <c r="DZ10" s="18">
        <v>0</v>
      </c>
      <c r="EA10" s="317">
        <v>0</v>
      </c>
      <c r="EB10" s="18">
        <v>0</v>
      </c>
      <c r="EC10" s="18">
        <v>0</v>
      </c>
      <c r="ED10" s="317">
        <v>0</v>
      </c>
      <c r="EE10" s="18">
        <v>0</v>
      </c>
      <c r="EF10" s="18">
        <v>0</v>
      </c>
      <c r="EG10" s="317">
        <v>0</v>
      </c>
      <c r="EH10" s="18">
        <v>0</v>
      </c>
      <c r="EI10" s="18">
        <v>0</v>
      </c>
      <c r="EJ10" s="317">
        <v>0</v>
      </c>
      <c r="EK10" s="18">
        <v>0</v>
      </c>
      <c r="EL10" s="18">
        <v>0</v>
      </c>
      <c r="EM10" s="317">
        <v>0</v>
      </c>
      <c r="EN10" s="640"/>
      <c r="EO10" s="531"/>
      <c r="EP10" s="531"/>
      <c r="EQ10" s="531"/>
      <c r="ER10" s="531"/>
      <c r="ES10" s="531"/>
      <c r="ET10" s="531"/>
      <c r="EU10" s="339"/>
    </row>
    <row r="11" spans="1:151" ht="12.75">
      <c r="A11" s="40">
        <v>43842</v>
      </c>
      <c r="B11" s="15">
        <f t="shared" si="0"/>
        <v>0</v>
      </c>
      <c r="C11" s="15">
        <f t="shared" ref="C11:D11" si="7">SUM(AB11,AE11,BF11,)</f>
        <v>0</v>
      </c>
      <c r="D11" s="15">
        <f t="shared" si="7"/>
        <v>0</v>
      </c>
      <c r="E11" s="154">
        <f t="shared" si="2"/>
        <v>0</v>
      </c>
      <c r="F11" s="18">
        <v>0</v>
      </c>
      <c r="G11" s="18">
        <v>0</v>
      </c>
      <c r="H11" s="317">
        <v>0</v>
      </c>
      <c r="I11" s="18">
        <v>0</v>
      </c>
      <c r="J11" s="18">
        <v>0</v>
      </c>
      <c r="K11" s="317">
        <v>0</v>
      </c>
      <c r="L11" s="18">
        <v>0</v>
      </c>
      <c r="M11" s="18">
        <v>0</v>
      </c>
      <c r="N11" s="317">
        <v>0</v>
      </c>
      <c r="O11" s="18">
        <v>0</v>
      </c>
      <c r="P11" s="18">
        <v>0</v>
      </c>
      <c r="Q11" s="317">
        <v>0</v>
      </c>
      <c r="R11" s="18">
        <v>0</v>
      </c>
      <c r="S11" s="18">
        <v>0</v>
      </c>
      <c r="T11" s="317">
        <v>0</v>
      </c>
      <c r="U11" s="18">
        <v>0</v>
      </c>
      <c r="V11" s="18">
        <v>0</v>
      </c>
      <c r="W11" s="317">
        <v>0</v>
      </c>
      <c r="X11" s="18">
        <v>0</v>
      </c>
      <c r="Y11" s="18">
        <v>0</v>
      </c>
      <c r="Z11" s="317">
        <v>0</v>
      </c>
      <c r="AA11" s="18">
        <v>0</v>
      </c>
      <c r="AB11" s="18">
        <v>0</v>
      </c>
      <c r="AC11" s="317">
        <v>0</v>
      </c>
      <c r="AD11" s="18">
        <v>0</v>
      </c>
      <c r="AE11" s="18">
        <v>0</v>
      </c>
      <c r="AF11" s="317">
        <v>0</v>
      </c>
      <c r="AG11" s="18">
        <v>0</v>
      </c>
      <c r="AH11" s="18">
        <v>0</v>
      </c>
      <c r="AI11" s="317">
        <v>0</v>
      </c>
      <c r="AJ11" s="18">
        <v>0</v>
      </c>
      <c r="AK11" s="18">
        <v>0</v>
      </c>
      <c r="AL11" s="317">
        <v>0</v>
      </c>
      <c r="AM11" s="18">
        <v>0</v>
      </c>
      <c r="AN11" s="18">
        <v>0</v>
      </c>
      <c r="AO11" s="317">
        <v>0</v>
      </c>
      <c r="AP11" s="18">
        <v>0</v>
      </c>
      <c r="AQ11" s="18">
        <v>0</v>
      </c>
      <c r="AR11" s="317">
        <v>0</v>
      </c>
      <c r="AS11" s="18">
        <v>0</v>
      </c>
      <c r="AT11" s="18">
        <v>0</v>
      </c>
      <c r="AU11" s="317">
        <v>0</v>
      </c>
      <c r="AV11" s="18">
        <v>0</v>
      </c>
      <c r="AW11" s="18">
        <v>0</v>
      </c>
      <c r="AX11" s="317">
        <v>0</v>
      </c>
      <c r="AY11" s="18">
        <v>0</v>
      </c>
      <c r="AZ11" s="18">
        <v>0</v>
      </c>
      <c r="BA11" s="317">
        <v>0</v>
      </c>
      <c r="BB11" s="18">
        <v>0</v>
      </c>
      <c r="BC11" s="18">
        <v>0</v>
      </c>
      <c r="BD11" s="317">
        <v>0</v>
      </c>
      <c r="BE11" s="18">
        <v>0</v>
      </c>
      <c r="BF11" s="18">
        <v>0</v>
      </c>
      <c r="BG11" s="317">
        <v>0</v>
      </c>
      <c r="BH11" s="18">
        <v>0</v>
      </c>
      <c r="BI11" s="18">
        <v>0</v>
      </c>
      <c r="BJ11" s="317">
        <v>0</v>
      </c>
      <c r="BK11" s="18">
        <v>0</v>
      </c>
      <c r="BL11" s="18">
        <v>0</v>
      </c>
      <c r="BM11" s="317">
        <v>0</v>
      </c>
      <c r="BN11" s="18">
        <v>0</v>
      </c>
      <c r="BO11" s="18">
        <v>0</v>
      </c>
      <c r="BP11" s="317">
        <v>0</v>
      </c>
      <c r="BQ11" s="18">
        <v>0</v>
      </c>
      <c r="BR11" s="18">
        <v>0</v>
      </c>
      <c r="BS11" s="317">
        <v>0</v>
      </c>
      <c r="BT11" s="18">
        <v>0</v>
      </c>
      <c r="BU11" s="18">
        <v>0</v>
      </c>
      <c r="BV11" s="317">
        <v>0</v>
      </c>
      <c r="BW11" s="18">
        <v>0</v>
      </c>
      <c r="BX11" s="18">
        <v>0</v>
      </c>
      <c r="BY11" s="317">
        <v>0</v>
      </c>
      <c r="BZ11" s="18">
        <v>0</v>
      </c>
      <c r="CA11" s="18">
        <v>0</v>
      </c>
      <c r="CB11" s="317">
        <v>0</v>
      </c>
      <c r="CC11" s="18">
        <v>0</v>
      </c>
      <c r="CD11" s="18">
        <v>0</v>
      </c>
      <c r="CE11" s="317">
        <v>0</v>
      </c>
      <c r="CF11" s="18">
        <v>0</v>
      </c>
      <c r="CG11" s="18">
        <v>0</v>
      </c>
      <c r="CH11" s="317">
        <v>0</v>
      </c>
      <c r="CI11" s="18">
        <v>0</v>
      </c>
      <c r="CJ11" s="18">
        <v>0</v>
      </c>
      <c r="CK11" s="317">
        <v>0</v>
      </c>
      <c r="CL11" s="18">
        <v>0</v>
      </c>
      <c r="CM11" s="18">
        <v>0</v>
      </c>
      <c r="CN11" s="317">
        <v>0</v>
      </c>
      <c r="CO11" s="18">
        <v>0</v>
      </c>
      <c r="CP11" s="18">
        <v>0</v>
      </c>
      <c r="CQ11" s="317">
        <v>0</v>
      </c>
      <c r="CR11" s="18">
        <v>0</v>
      </c>
      <c r="CS11" s="18">
        <v>0</v>
      </c>
      <c r="CT11" s="317">
        <v>0</v>
      </c>
      <c r="CU11" s="18">
        <v>0</v>
      </c>
      <c r="CV11" s="18">
        <v>0</v>
      </c>
      <c r="CW11" s="317">
        <v>0</v>
      </c>
      <c r="CX11" s="18">
        <v>0</v>
      </c>
      <c r="CY11" s="18">
        <v>0</v>
      </c>
      <c r="CZ11" s="317">
        <v>0</v>
      </c>
      <c r="DA11" s="18">
        <v>0</v>
      </c>
      <c r="DB11" s="18">
        <v>0</v>
      </c>
      <c r="DC11" s="317">
        <v>0</v>
      </c>
      <c r="DD11" s="18">
        <v>0</v>
      </c>
      <c r="DE11" s="18">
        <v>0</v>
      </c>
      <c r="DF11" s="317">
        <v>0</v>
      </c>
      <c r="DG11" s="18">
        <v>0</v>
      </c>
      <c r="DH11" s="18">
        <v>0</v>
      </c>
      <c r="DI11" s="317">
        <v>0</v>
      </c>
      <c r="DJ11" s="18">
        <v>0</v>
      </c>
      <c r="DK11" s="18">
        <v>0</v>
      </c>
      <c r="DL11" s="317">
        <v>0</v>
      </c>
      <c r="DM11" s="18">
        <v>0</v>
      </c>
      <c r="DN11" s="18">
        <v>0</v>
      </c>
      <c r="DO11" s="317">
        <v>0</v>
      </c>
      <c r="DP11" s="18">
        <v>0</v>
      </c>
      <c r="DQ11" s="18">
        <v>0</v>
      </c>
      <c r="DR11" s="317">
        <v>0</v>
      </c>
      <c r="DS11" s="18">
        <v>0</v>
      </c>
      <c r="DT11" s="18">
        <v>0</v>
      </c>
      <c r="DU11" s="317">
        <v>0</v>
      </c>
      <c r="DV11" s="18">
        <v>0</v>
      </c>
      <c r="DW11" s="18">
        <v>0</v>
      </c>
      <c r="DX11" s="317">
        <v>0</v>
      </c>
      <c r="DY11" s="18">
        <v>0</v>
      </c>
      <c r="DZ11" s="18">
        <v>0</v>
      </c>
      <c r="EA11" s="317">
        <v>0</v>
      </c>
      <c r="EB11" s="18">
        <v>0</v>
      </c>
      <c r="EC11" s="18">
        <v>0</v>
      </c>
      <c r="ED11" s="317">
        <v>0</v>
      </c>
      <c r="EE11" s="18">
        <v>0</v>
      </c>
      <c r="EF11" s="18">
        <v>0</v>
      </c>
      <c r="EG11" s="317">
        <v>0</v>
      </c>
      <c r="EH11" s="18">
        <v>0</v>
      </c>
      <c r="EI11" s="18">
        <v>0</v>
      </c>
      <c r="EJ11" s="317">
        <v>0</v>
      </c>
      <c r="EK11" s="18">
        <v>0</v>
      </c>
      <c r="EL11" s="18">
        <v>0</v>
      </c>
      <c r="EM11" s="317">
        <v>0</v>
      </c>
      <c r="EN11" s="640"/>
      <c r="EO11" s="531"/>
      <c r="EP11" s="531"/>
      <c r="EQ11" s="531"/>
      <c r="ER11" s="531"/>
      <c r="ES11" s="531"/>
      <c r="ET11" s="531"/>
      <c r="EU11" s="339"/>
    </row>
    <row r="12" spans="1:151" ht="12.75">
      <c r="A12" s="40">
        <v>43843</v>
      </c>
      <c r="B12" s="15">
        <f t="shared" si="0"/>
        <v>0</v>
      </c>
      <c r="C12" s="15">
        <f t="shared" ref="C12:D12" si="8">SUM(AB12,AE12,BF12,)</f>
        <v>0</v>
      </c>
      <c r="D12" s="15">
        <f t="shared" si="8"/>
        <v>0</v>
      </c>
      <c r="E12" s="154">
        <f t="shared" si="2"/>
        <v>0</v>
      </c>
      <c r="F12" s="18">
        <v>0</v>
      </c>
      <c r="G12" s="18">
        <v>0</v>
      </c>
      <c r="H12" s="317">
        <v>0</v>
      </c>
      <c r="I12" s="18">
        <v>0</v>
      </c>
      <c r="J12" s="18">
        <v>0</v>
      </c>
      <c r="K12" s="317">
        <v>0</v>
      </c>
      <c r="L12" s="18">
        <v>0</v>
      </c>
      <c r="M12" s="18">
        <v>0</v>
      </c>
      <c r="N12" s="317">
        <v>0</v>
      </c>
      <c r="O12" s="18">
        <v>0</v>
      </c>
      <c r="P12" s="18">
        <v>0</v>
      </c>
      <c r="Q12" s="317">
        <v>0</v>
      </c>
      <c r="R12" s="18">
        <v>0</v>
      </c>
      <c r="S12" s="18">
        <v>0</v>
      </c>
      <c r="T12" s="317">
        <v>0</v>
      </c>
      <c r="U12" s="18">
        <v>0</v>
      </c>
      <c r="V12" s="18">
        <v>0</v>
      </c>
      <c r="W12" s="317">
        <v>0</v>
      </c>
      <c r="X12" s="18">
        <v>0</v>
      </c>
      <c r="Y12" s="18">
        <v>0</v>
      </c>
      <c r="Z12" s="317">
        <v>0</v>
      </c>
      <c r="AA12" s="18">
        <v>0</v>
      </c>
      <c r="AB12" s="18">
        <v>0</v>
      </c>
      <c r="AC12" s="317">
        <v>0</v>
      </c>
      <c r="AD12" s="18">
        <v>0</v>
      </c>
      <c r="AE12" s="18">
        <v>0</v>
      </c>
      <c r="AF12" s="317">
        <v>0</v>
      </c>
      <c r="AG12" s="18">
        <v>0</v>
      </c>
      <c r="AH12" s="18">
        <v>0</v>
      </c>
      <c r="AI12" s="317">
        <v>0</v>
      </c>
      <c r="AJ12" s="18">
        <v>0</v>
      </c>
      <c r="AK12" s="18">
        <v>0</v>
      </c>
      <c r="AL12" s="317">
        <v>0</v>
      </c>
      <c r="AM12" s="18">
        <v>0</v>
      </c>
      <c r="AN12" s="18">
        <v>0</v>
      </c>
      <c r="AO12" s="317">
        <v>0</v>
      </c>
      <c r="AP12" s="18">
        <v>0</v>
      </c>
      <c r="AQ12" s="18">
        <v>0</v>
      </c>
      <c r="AR12" s="317">
        <v>0</v>
      </c>
      <c r="AS12" s="18">
        <v>0</v>
      </c>
      <c r="AT12" s="18">
        <v>0</v>
      </c>
      <c r="AU12" s="317">
        <v>0</v>
      </c>
      <c r="AV12" s="18">
        <v>0</v>
      </c>
      <c r="AW12" s="18">
        <v>0</v>
      </c>
      <c r="AX12" s="317">
        <v>0</v>
      </c>
      <c r="AY12" s="18">
        <v>0</v>
      </c>
      <c r="AZ12" s="18">
        <v>0</v>
      </c>
      <c r="BA12" s="317">
        <v>0</v>
      </c>
      <c r="BB12" s="18">
        <v>0</v>
      </c>
      <c r="BC12" s="18">
        <v>0</v>
      </c>
      <c r="BD12" s="317">
        <v>0</v>
      </c>
      <c r="BE12" s="18">
        <v>0</v>
      </c>
      <c r="BF12" s="18">
        <v>0</v>
      </c>
      <c r="BG12" s="317">
        <v>0</v>
      </c>
      <c r="BH12" s="18">
        <v>0</v>
      </c>
      <c r="BI12" s="18">
        <v>0</v>
      </c>
      <c r="BJ12" s="317">
        <v>0</v>
      </c>
      <c r="BK12" s="18">
        <v>0</v>
      </c>
      <c r="BL12" s="18">
        <v>0</v>
      </c>
      <c r="BM12" s="317">
        <v>0</v>
      </c>
      <c r="BN12" s="18">
        <v>0</v>
      </c>
      <c r="BO12" s="18">
        <v>0</v>
      </c>
      <c r="BP12" s="317">
        <v>0</v>
      </c>
      <c r="BQ12" s="18">
        <v>0</v>
      </c>
      <c r="BR12" s="18">
        <v>0</v>
      </c>
      <c r="BS12" s="317">
        <v>0</v>
      </c>
      <c r="BT12" s="18">
        <v>0</v>
      </c>
      <c r="BU12" s="18">
        <v>0</v>
      </c>
      <c r="BV12" s="317">
        <v>0</v>
      </c>
      <c r="BW12" s="18">
        <v>0</v>
      </c>
      <c r="BX12" s="18">
        <v>0</v>
      </c>
      <c r="BY12" s="317">
        <v>0</v>
      </c>
      <c r="BZ12" s="18">
        <v>0</v>
      </c>
      <c r="CA12" s="18">
        <v>0</v>
      </c>
      <c r="CB12" s="317">
        <v>0</v>
      </c>
      <c r="CC12" s="18">
        <v>0</v>
      </c>
      <c r="CD12" s="18">
        <v>0</v>
      </c>
      <c r="CE12" s="317">
        <v>0</v>
      </c>
      <c r="CF12" s="18">
        <v>0</v>
      </c>
      <c r="CG12" s="18">
        <v>0</v>
      </c>
      <c r="CH12" s="317">
        <v>0</v>
      </c>
      <c r="CI12" s="18">
        <v>0</v>
      </c>
      <c r="CJ12" s="18">
        <v>0</v>
      </c>
      <c r="CK12" s="317">
        <v>0</v>
      </c>
      <c r="CL12" s="18">
        <v>0</v>
      </c>
      <c r="CM12" s="18">
        <v>0</v>
      </c>
      <c r="CN12" s="317">
        <v>0</v>
      </c>
      <c r="CO12" s="18">
        <v>0</v>
      </c>
      <c r="CP12" s="18">
        <v>0</v>
      </c>
      <c r="CQ12" s="317">
        <v>0</v>
      </c>
      <c r="CR12" s="18">
        <v>0</v>
      </c>
      <c r="CS12" s="18">
        <v>0</v>
      </c>
      <c r="CT12" s="317">
        <v>0</v>
      </c>
      <c r="CU12" s="18">
        <v>0</v>
      </c>
      <c r="CV12" s="18">
        <v>0</v>
      </c>
      <c r="CW12" s="317">
        <v>0</v>
      </c>
      <c r="CX12" s="18">
        <v>0</v>
      </c>
      <c r="CY12" s="18">
        <v>0</v>
      </c>
      <c r="CZ12" s="317">
        <v>0</v>
      </c>
      <c r="DA12" s="18">
        <v>0</v>
      </c>
      <c r="DB12" s="18">
        <v>0</v>
      </c>
      <c r="DC12" s="317">
        <v>0</v>
      </c>
      <c r="DD12" s="18">
        <v>0</v>
      </c>
      <c r="DE12" s="18">
        <v>0</v>
      </c>
      <c r="DF12" s="317">
        <v>0</v>
      </c>
      <c r="DG12" s="18">
        <v>0</v>
      </c>
      <c r="DH12" s="18">
        <v>0</v>
      </c>
      <c r="DI12" s="317">
        <v>0</v>
      </c>
      <c r="DJ12" s="18">
        <v>0</v>
      </c>
      <c r="DK12" s="18">
        <v>0</v>
      </c>
      <c r="DL12" s="317">
        <v>0</v>
      </c>
      <c r="DM12" s="18">
        <v>0</v>
      </c>
      <c r="DN12" s="18">
        <v>0</v>
      </c>
      <c r="DO12" s="317">
        <v>0</v>
      </c>
      <c r="DP12" s="18">
        <v>0</v>
      </c>
      <c r="DQ12" s="18">
        <v>0</v>
      </c>
      <c r="DR12" s="317">
        <v>0</v>
      </c>
      <c r="DS12" s="18">
        <v>0</v>
      </c>
      <c r="DT12" s="18">
        <v>0</v>
      </c>
      <c r="DU12" s="317">
        <v>0</v>
      </c>
      <c r="DV12" s="18">
        <v>0</v>
      </c>
      <c r="DW12" s="18">
        <v>0</v>
      </c>
      <c r="DX12" s="317">
        <v>0</v>
      </c>
      <c r="DY12" s="18">
        <v>0</v>
      </c>
      <c r="DZ12" s="18">
        <v>0</v>
      </c>
      <c r="EA12" s="317">
        <v>0</v>
      </c>
      <c r="EB12" s="18">
        <v>0</v>
      </c>
      <c r="EC12" s="18">
        <v>0</v>
      </c>
      <c r="ED12" s="317">
        <v>0</v>
      </c>
      <c r="EE12" s="18">
        <v>0</v>
      </c>
      <c r="EF12" s="18">
        <v>0</v>
      </c>
      <c r="EG12" s="317">
        <v>0</v>
      </c>
      <c r="EH12" s="18">
        <v>0</v>
      </c>
      <c r="EI12" s="18">
        <v>0</v>
      </c>
      <c r="EJ12" s="317">
        <v>0</v>
      </c>
      <c r="EK12" s="18">
        <v>0</v>
      </c>
      <c r="EL12" s="18">
        <v>0</v>
      </c>
      <c r="EM12" s="317">
        <v>0</v>
      </c>
      <c r="EN12" s="640"/>
      <c r="EO12" s="531"/>
      <c r="EP12" s="531"/>
      <c r="EQ12" s="531"/>
      <c r="ER12" s="531"/>
      <c r="ES12" s="531"/>
      <c r="ET12" s="531"/>
      <c r="EU12" s="339"/>
    </row>
    <row r="13" spans="1:151" ht="12.75">
      <c r="A13" s="49">
        <v>43844</v>
      </c>
      <c r="B13" s="50">
        <f t="shared" si="0"/>
        <v>0</v>
      </c>
      <c r="C13" s="50">
        <f t="shared" ref="C13:D13" si="9">SUM(AB13,AE13,BF13,)</f>
        <v>0</v>
      </c>
      <c r="D13" s="50">
        <f t="shared" si="9"/>
        <v>0</v>
      </c>
      <c r="E13" s="326">
        <f t="shared" si="2"/>
        <v>0</v>
      </c>
      <c r="F13" s="341">
        <v>0</v>
      </c>
      <c r="G13" s="341">
        <v>0</v>
      </c>
      <c r="H13" s="342">
        <v>0</v>
      </c>
      <c r="I13" s="341">
        <v>0</v>
      </c>
      <c r="J13" s="341">
        <v>0</v>
      </c>
      <c r="K13" s="342">
        <v>0</v>
      </c>
      <c r="L13" s="341">
        <v>0</v>
      </c>
      <c r="M13" s="341">
        <v>0</v>
      </c>
      <c r="N13" s="342">
        <v>0</v>
      </c>
      <c r="O13" s="341">
        <v>0</v>
      </c>
      <c r="P13" s="341">
        <v>0</v>
      </c>
      <c r="Q13" s="342">
        <v>0</v>
      </c>
      <c r="R13" s="341">
        <v>0</v>
      </c>
      <c r="S13" s="341">
        <v>0</v>
      </c>
      <c r="T13" s="342">
        <v>0</v>
      </c>
      <c r="U13" s="341">
        <v>0</v>
      </c>
      <c r="V13" s="341">
        <v>0</v>
      </c>
      <c r="W13" s="342">
        <v>0</v>
      </c>
      <c r="X13" s="341">
        <v>0</v>
      </c>
      <c r="Y13" s="341">
        <v>0</v>
      </c>
      <c r="Z13" s="342">
        <v>0</v>
      </c>
      <c r="AA13" s="341">
        <v>0</v>
      </c>
      <c r="AB13" s="341">
        <v>0</v>
      </c>
      <c r="AC13" s="342">
        <v>0</v>
      </c>
      <c r="AD13" s="341">
        <v>0</v>
      </c>
      <c r="AE13" s="341">
        <v>0</v>
      </c>
      <c r="AF13" s="342">
        <v>0</v>
      </c>
      <c r="AG13" s="341">
        <v>0</v>
      </c>
      <c r="AH13" s="341">
        <v>0</v>
      </c>
      <c r="AI13" s="342">
        <v>0</v>
      </c>
      <c r="AJ13" s="341">
        <v>0</v>
      </c>
      <c r="AK13" s="341">
        <v>0</v>
      </c>
      <c r="AL13" s="342">
        <v>0</v>
      </c>
      <c r="AM13" s="341">
        <v>0</v>
      </c>
      <c r="AN13" s="341">
        <v>0</v>
      </c>
      <c r="AO13" s="342">
        <v>0</v>
      </c>
      <c r="AP13" s="341">
        <v>0</v>
      </c>
      <c r="AQ13" s="341">
        <v>0</v>
      </c>
      <c r="AR13" s="342">
        <v>0</v>
      </c>
      <c r="AS13" s="341">
        <v>0</v>
      </c>
      <c r="AT13" s="341">
        <v>0</v>
      </c>
      <c r="AU13" s="342">
        <v>0</v>
      </c>
      <c r="AV13" s="341">
        <v>0</v>
      </c>
      <c r="AW13" s="341">
        <v>0</v>
      </c>
      <c r="AX13" s="342">
        <v>0</v>
      </c>
      <c r="AY13" s="341">
        <v>0</v>
      </c>
      <c r="AZ13" s="341">
        <v>0</v>
      </c>
      <c r="BA13" s="342">
        <v>0</v>
      </c>
      <c r="BB13" s="341">
        <v>0</v>
      </c>
      <c r="BC13" s="341">
        <v>0</v>
      </c>
      <c r="BD13" s="342">
        <v>0</v>
      </c>
      <c r="BE13" s="341">
        <v>0</v>
      </c>
      <c r="BF13" s="341">
        <v>0</v>
      </c>
      <c r="BG13" s="342">
        <v>0</v>
      </c>
      <c r="BH13" s="341">
        <v>0</v>
      </c>
      <c r="BI13" s="341">
        <v>0</v>
      </c>
      <c r="BJ13" s="342">
        <v>0</v>
      </c>
      <c r="BK13" s="341">
        <v>0</v>
      </c>
      <c r="BL13" s="341">
        <v>0</v>
      </c>
      <c r="BM13" s="342">
        <v>0</v>
      </c>
      <c r="BN13" s="341">
        <v>0</v>
      </c>
      <c r="BO13" s="341">
        <v>0</v>
      </c>
      <c r="BP13" s="342">
        <v>0</v>
      </c>
      <c r="BQ13" s="341">
        <v>0</v>
      </c>
      <c r="BR13" s="341">
        <v>0</v>
      </c>
      <c r="BS13" s="342">
        <v>0</v>
      </c>
      <c r="BT13" s="341">
        <v>0</v>
      </c>
      <c r="BU13" s="341">
        <v>0</v>
      </c>
      <c r="BV13" s="342">
        <v>0</v>
      </c>
      <c r="BW13" s="341">
        <v>0</v>
      </c>
      <c r="BX13" s="341">
        <v>0</v>
      </c>
      <c r="BY13" s="342">
        <v>0</v>
      </c>
      <c r="BZ13" s="341">
        <v>0</v>
      </c>
      <c r="CA13" s="341">
        <v>0</v>
      </c>
      <c r="CB13" s="342">
        <v>0</v>
      </c>
      <c r="CC13" s="341">
        <v>0</v>
      </c>
      <c r="CD13" s="341">
        <v>0</v>
      </c>
      <c r="CE13" s="342">
        <v>0</v>
      </c>
      <c r="CF13" s="341">
        <v>0</v>
      </c>
      <c r="CG13" s="341">
        <v>0</v>
      </c>
      <c r="CH13" s="342">
        <v>0</v>
      </c>
      <c r="CI13" s="341">
        <v>0</v>
      </c>
      <c r="CJ13" s="341">
        <v>0</v>
      </c>
      <c r="CK13" s="342">
        <v>0</v>
      </c>
      <c r="CL13" s="341">
        <v>0</v>
      </c>
      <c r="CM13" s="341">
        <v>0</v>
      </c>
      <c r="CN13" s="342">
        <v>0</v>
      </c>
      <c r="CO13" s="341">
        <v>0</v>
      </c>
      <c r="CP13" s="341">
        <v>0</v>
      </c>
      <c r="CQ13" s="342">
        <v>0</v>
      </c>
      <c r="CR13" s="341">
        <v>0</v>
      </c>
      <c r="CS13" s="341">
        <v>0</v>
      </c>
      <c r="CT13" s="342">
        <v>0</v>
      </c>
      <c r="CU13" s="341">
        <v>0</v>
      </c>
      <c r="CV13" s="341">
        <v>0</v>
      </c>
      <c r="CW13" s="342">
        <v>0</v>
      </c>
      <c r="CX13" s="341">
        <v>0</v>
      </c>
      <c r="CY13" s="341">
        <v>0</v>
      </c>
      <c r="CZ13" s="342">
        <v>0</v>
      </c>
      <c r="DA13" s="341">
        <v>0</v>
      </c>
      <c r="DB13" s="341">
        <v>0</v>
      </c>
      <c r="DC13" s="342">
        <v>0</v>
      </c>
      <c r="DD13" s="341">
        <v>0</v>
      </c>
      <c r="DE13" s="341">
        <v>0</v>
      </c>
      <c r="DF13" s="342">
        <v>0</v>
      </c>
      <c r="DG13" s="341">
        <v>0</v>
      </c>
      <c r="DH13" s="341">
        <v>0</v>
      </c>
      <c r="DI13" s="342">
        <v>0</v>
      </c>
      <c r="DJ13" s="341">
        <v>0</v>
      </c>
      <c r="DK13" s="341">
        <v>0</v>
      </c>
      <c r="DL13" s="342">
        <v>0</v>
      </c>
      <c r="DM13" s="341">
        <v>0</v>
      </c>
      <c r="DN13" s="341">
        <v>0</v>
      </c>
      <c r="DO13" s="342">
        <v>0</v>
      </c>
      <c r="DP13" s="341">
        <v>0</v>
      </c>
      <c r="DQ13" s="341">
        <v>0</v>
      </c>
      <c r="DR13" s="342">
        <v>0</v>
      </c>
      <c r="DS13" s="341">
        <v>0</v>
      </c>
      <c r="DT13" s="341">
        <v>0</v>
      </c>
      <c r="DU13" s="342">
        <v>0</v>
      </c>
      <c r="DV13" s="341">
        <v>0</v>
      </c>
      <c r="DW13" s="341">
        <v>0</v>
      </c>
      <c r="DX13" s="342">
        <v>0</v>
      </c>
      <c r="DY13" s="341">
        <v>0</v>
      </c>
      <c r="DZ13" s="341">
        <v>0</v>
      </c>
      <c r="EA13" s="342">
        <v>0</v>
      </c>
      <c r="EB13" s="341">
        <v>0</v>
      </c>
      <c r="EC13" s="341">
        <v>0</v>
      </c>
      <c r="ED13" s="342">
        <v>0</v>
      </c>
      <c r="EE13" s="341">
        <v>0</v>
      </c>
      <c r="EF13" s="341">
        <v>0</v>
      </c>
      <c r="EG13" s="342">
        <v>0</v>
      </c>
      <c r="EH13" s="341">
        <v>0</v>
      </c>
      <c r="EI13" s="341">
        <v>0</v>
      </c>
      <c r="EJ13" s="342">
        <v>0</v>
      </c>
      <c r="EK13" s="341">
        <v>0</v>
      </c>
      <c r="EL13" s="341">
        <v>0</v>
      </c>
      <c r="EM13" s="342">
        <v>0</v>
      </c>
      <c r="EN13" s="640"/>
      <c r="EO13" s="531"/>
      <c r="EP13" s="531"/>
      <c r="EQ13" s="531"/>
      <c r="ER13" s="531"/>
      <c r="ES13" s="531"/>
      <c r="ET13" s="531"/>
      <c r="EU13" s="54"/>
    </row>
    <row r="14" spans="1:151" ht="12.75">
      <c r="A14" s="40">
        <v>43845</v>
      </c>
      <c r="B14" s="15">
        <f t="shared" si="0"/>
        <v>0</v>
      </c>
      <c r="C14" s="15">
        <f t="shared" ref="C14:D14" si="10">SUM(AB14,AE14,BF14,)</f>
        <v>0</v>
      </c>
      <c r="D14" s="15">
        <f t="shared" si="10"/>
        <v>0</v>
      </c>
      <c r="E14" s="154">
        <f t="shared" si="2"/>
        <v>0</v>
      </c>
      <c r="F14" s="15">
        <v>0</v>
      </c>
      <c r="G14" s="15">
        <v>0</v>
      </c>
      <c r="H14" s="17">
        <v>0</v>
      </c>
      <c r="I14" s="15">
        <v>0</v>
      </c>
      <c r="J14" s="15">
        <v>0</v>
      </c>
      <c r="K14" s="17">
        <v>0</v>
      </c>
      <c r="L14" s="15">
        <v>0</v>
      </c>
      <c r="M14" s="15">
        <v>0</v>
      </c>
      <c r="N14" s="17">
        <v>0</v>
      </c>
      <c r="O14" s="15">
        <v>0</v>
      </c>
      <c r="P14" s="15">
        <v>0</v>
      </c>
      <c r="Q14" s="17">
        <v>0</v>
      </c>
      <c r="R14" s="15">
        <v>0</v>
      </c>
      <c r="S14" s="15">
        <v>0</v>
      </c>
      <c r="T14" s="17">
        <v>0</v>
      </c>
      <c r="U14" s="15">
        <v>0</v>
      </c>
      <c r="V14" s="15">
        <v>0</v>
      </c>
      <c r="W14" s="17">
        <v>0</v>
      </c>
      <c r="X14" s="15">
        <v>0</v>
      </c>
      <c r="Y14" s="15">
        <v>0</v>
      </c>
      <c r="Z14" s="17">
        <v>0</v>
      </c>
      <c r="AA14" s="15">
        <v>0</v>
      </c>
      <c r="AB14" s="15">
        <v>0</v>
      </c>
      <c r="AC14" s="17">
        <v>0</v>
      </c>
      <c r="AD14" s="15">
        <v>0</v>
      </c>
      <c r="AE14" s="15">
        <v>0</v>
      </c>
      <c r="AF14" s="17">
        <v>0</v>
      </c>
      <c r="AG14" s="15">
        <v>0</v>
      </c>
      <c r="AH14" s="15">
        <v>0</v>
      </c>
      <c r="AI14" s="17">
        <v>0</v>
      </c>
      <c r="AJ14" s="15">
        <v>0</v>
      </c>
      <c r="AK14" s="15">
        <v>0</v>
      </c>
      <c r="AL14" s="17">
        <v>0</v>
      </c>
      <c r="AM14" s="15">
        <v>0</v>
      </c>
      <c r="AN14" s="15">
        <v>0</v>
      </c>
      <c r="AO14" s="17">
        <v>0</v>
      </c>
      <c r="AP14" s="15">
        <v>0</v>
      </c>
      <c r="AQ14" s="15">
        <v>0</v>
      </c>
      <c r="AR14" s="17">
        <v>0</v>
      </c>
      <c r="AS14" s="15">
        <v>0</v>
      </c>
      <c r="AT14" s="15">
        <v>0</v>
      </c>
      <c r="AU14" s="17">
        <v>0</v>
      </c>
      <c r="AV14" s="15">
        <v>0</v>
      </c>
      <c r="AW14" s="15">
        <v>0</v>
      </c>
      <c r="AX14" s="17">
        <v>0</v>
      </c>
      <c r="AY14" s="15">
        <v>0</v>
      </c>
      <c r="AZ14" s="15">
        <v>0</v>
      </c>
      <c r="BA14" s="17">
        <v>0</v>
      </c>
      <c r="BB14" s="15">
        <v>0</v>
      </c>
      <c r="BC14" s="15">
        <v>0</v>
      </c>
      <c r="BD14" s="17">
        <v>0</v>
      </c>
      <c r="BE14" s="18">
        <v>0</v>
      </c>
      <c r="BF14" s="18">
        <v>0</v>
      </c>
      <c r="BG14" s="317">
        <v>0</v>
      </c>
      <c r="BH14" s="15">
        <v>0</v>
      </c>
      <c r="BI14" s="15">
        <v>0</v>
      </c>
      <c r="BJ14" s="17">
        <v>0</v>
      </c>
      <c r="BK14" s="15">
        <v>0</v>
      </c>
      <c r="BL14" s="15">
        <v>0</v>
      </c>
      <c r="BM14" s="17">
        <v>0</v>
      </c>
      <c r="BN14" s="15">
        <v>0</v>
      </c>
      <c r="BO14" s="15">
        <v>0</v>
      </c>
      <c r="BP14" s="17">
        <v>0</v>
      </c>
      <c r="BQ14" s="15">
        <v>0</v>
      </c>
      <c r="BR14" s="15">
        <v>0</v>
      </c>
      <c r="BS14" s="17">
        <v>0</v>
      </c>
      <c r="BT14" s="15">
        <v>0</v>
      </c>
      <c r="BU14" s="15">
        <v>0</v>
      </c>
      <c r="BV14" s="17">
        <v>0</v>
      </c>
      <c r="BW14" s="15">
        <v>0</v>
      </c>
      <c r="BX14" s="15">
        <v>0</v>
      </c>
      <c r="BY14" s="17">
        <v>0</v>
      </c>
      <c r="BZ14" s="15">
        <v>0</v>
      </c>
      <c r="CA14" s="15">
        <v>0</v>
      </c>
      <c r="CB14" s="17">
        <v>0</v>
      </c>
      <c r="CC14" s="15">
        <v>0</v>
      </c>
      <c r="CD14" s="15">
        <v>0</v>
      </c>
      <c r="CE14" s="17">
        <v>0</v>
      </c>
      <c r="CF14" s="15">
        <v>0</v>
      </c>
      <c r="CG14" s="15">
        <v>0</v>
      </c>
      <c r="CH14" s="17">
        <v>0</v>
      </c>
      <c r="CI14" s="15">
        <v>0</v>
      </c>
      <c r="CJ14" s="15">
        <v>0</v>
      </c>
      <c r="CK14" s="17">
        <v>0</v>
      </c>
      <c r="CL14" s="15">
        <v>0</v>
      </c>
      <c r="CM14" s="15">
        <v>0</v>
      </c>
      <c r="CN14" s="17">
        <v>0</v>
      </c>
      <c r="CO14" s="15">
        <v>0</v>
      </c>
      <c r="CP14" s="15">
        <v>0</v>
      </c>
      <c r="CQ14" s="17">
        <v>0</v>
      </c>
      <c r="CR14" s="15">
        <v>0</v>
      </c>
      <c r="CS14" s="15">
        <v>0</v>
      </c>
      <c r="CT14" s="17">
        <v>0</v>
      </c>
      <c r="CU14" s="15">
        <v>0</v>
      </c>
      <c r="CV14" s="15">
        <v>0</v>
      </c>
      <c r="CW14" s="17">
        <v>0</v>
      </c>
      <c r="CX14" s="15">
        <v>0</v>
      </c>
      <c r="CY14" s="15">
        <v>0</v>
      </c>
      <c r="CZ14" s="17">
        <v>0</v>
      </c>
      <c r="DA14" s="15">
        <v>0</v>
      </c>
      <c r="DB14" s="15">
        <v>0</v>
      </c>
      <c r="DC14" s="17">
        <v>0</v>
      </c>
      <c r="DD14" s="15">
        <v>0</v>
      </c>
      <c r="DE14" s="15">
        <v>0</v>
      </c>
      <c r="DF14" s="17">
        <v>0</v>
      </c>
      <c r="DG14" s="15">
        <v>0</v>
      </c>
      <c r="DH14" s="15">
        <v>0</v>
      </c>
      <c r="DI14" s="17">
        <v>0</v>
      </c>
      <c r="DJ14" s="15">
        <v>0</v>
      </c>
      <c r="DK14" s="15">
        <v>0</v>
      </c>
      <c r="DL14" s="17">
        <v>0</v>
      </c>
      <c r="DM14" s="15">
        <v>0</v>
      </c>
      <c r="DN14" s="15">
        <v>0</v>
      </c>
      <c r="DO14" s="17">
        <v>0</v>
      </c>
      <c r="DP14" s="15">
        <v>0</v>
      </c>
      <c r="DQ14" s="15">
        <v>0</v>
      </c>
      <c r="DR14" s="17">
        <v>0</v>
      </c>
      <c r="DS14" s="15">
        <v>0</v>
      </c>
      <c r="DT14" s="15">
        <v>0</v>
      </c>
      <c r="DU14" s="17">
        <v>0</v>
      </c>
      <c r="DV14" s="15">
        <v>0</v>
      </c>
      <c r="DW14" s="15">
        <v>0</v>
      </c>
      <c r="DX14" s="17">
        <v>0</v>
      </c>
      <c r="DY14" s="15">
        <v>0</v>
      </c>
      <c r="DZ14" s="15">
        <v>0</v>
      </c>
      <c r="EA14" s="17">
        <v>0</v>
      </c>
      <c r="EB14" s="15">
        <v>0</v>
      </c>
      <c r="EC14" s="15">
        <v>0</v>
      </c>
      <c r="ED14" s="17">
        <v>0</v>
      </c>
      <c r="EE14" s="15">
        <v>0</v>
      </c>
      <c r="EF14" s="15">
        <v>0</v>
      </c>
      <c r="EG14" s="17">
        <v>0</v>
      </c>
      <c r="EH14" s="15">
        <v>0</v>
      </c>
      <c r="EI14" s="15">
        <v>0</v>
      </c>
      <c r="EJ14" s="17">
        <v>0</v>
      </c>
      <c r="EK14" s="15">
        <v>0</v>
      </c>
      <c r="EL14" s="15">
        <v>0</v>
      </c>
      <c r="EM14" s="17">
        <v>0</v>
      </c>
      <c r="EN14" s="640"/>
      <c r="EO14" s="531"/>
      <c r="EP14" s="531"/>
      <c r="EQ14" s="531"/>
      <c r="ER14" s="531"/>
      <c r="ES14" s="531"/>
      <c r="ET14" s="531"/>
      <c r="EU14" s="339"/>
    </row>
    <row r="15" spans="1:151" ht="12.75">
      <c r="A15" s="49">
        <v>43846</v>
      </c>
      <c r="B15" s="50">
        <f t="shared" si="0"/>
        <v>0</v>
      </c>
      <c r="C15" s="50">
        <f t="shared" ref="C15:D15" si="11">SUM(AB15,AE15,BF15,)</f>
        <v>0</v>
      </c>
      <c r="D15" s="50">
        <f t="shared" si="11"/>
        <v>0</v>
      </c>
      <c r="E15" s="326">
        <f t="shared" si="2"/>
        <v>0</v>
      </c>
      <c r="F15" s="50">
        <v>0</v>
      </c>
      <c r="G15" s="50">
        <v>0</v>
      </c>
      <c r="H15" s="52">
        <v>0</v>
      </c>
      <c r="I15" s="50">
        <v>0</v>
      </c>
      <c r="J15" s="50">
        <v>0</v>
      </c>
      <c r="K15" s="52">
        <v>0</v>
      </c>
      <c r="L15" s="50">
        <v>0</v>
      </c>
      <c r="M15" s="50">
        <v>0</v>
      </c>
      <c r="N15" s="52">
        <v>0</v>
      </c>
      <c r="O15" s="50">
        <v>0</v>
      </c>
      <c r="P15" s="50">
        <v>0</v>
      </c>
      <c r="Q15" s="52">
        <v>0</v>
      </c>
      <c r="R15" s="50">
        <v>0</v>
      </c>
      <c r="S15" s="50">
        <v>0</v>
      </c>
      <c r="T15" s="52">
        <v>0</v>
      </c>
      <c r="U15" s="50">
        <v>0</v>
      </c>
      <c r="V15" s="50">
        <v>0</v>
      </c>
      <c r="W15" s="52">
        <v>0</v>
      </c>
      <c r="X15" s="50">
        <v>0</v>
      </c>
      <c r="Y15" s="50">
        <v>0</v>
      </c>
      <c r="Z15" s="52">
        <v>0</v>
      </c>
      <c r="AA15" s="50">
        <v>0</v>
      </c>
      <c r="AB15" s="50">
        <v>0</v>
      </c>
      <c r="AC15" s="52">
        <v>0</v>
      </c>
      <c r="AD15" s="50">
        <v>0</v>
      </c>
      <c r="AE15" s="50">
        <v>0</v>
      </c>
      <c r="AF15" s="52">
        <v>0</v>
      </c>
      <c r="AG15" s="50">
        <v>0</v>
      </c>
      <c r="AH15" s="50">
        <v>0</v>
      </c>
      <c r="AI15" s="52">
        <v>0</v>
      </c>
      <c r="AJ15" s="50">
        <v>0</v>
      </c>
      <c r="AK15" s="50">
        <v>0</v>
      </c>
      <c r="AL15" s="52">
        <v>0</v>
      </c>
      <c r="AM15" s="50">
        <v>0</v>
      </c>
      <c r="AN15" s="50">
        <v>0</v>
      </c>
      <c r="AO15" s="52">
        <v>0</v>
      </c>
      <c r="AP15" s="50">
        <v>0</v>
      </c>
      <c r="AQ15" s="50">
        <v>0</v>
      </c>
      <c r="AR15" s="52">
        <v>0</v>
      </c>
      <c r="AS15" s="50">
        <v>0</v>
      </c>
      <c r="AT15" s="50">
        <v>0</v>
      </c>
      <c r="AU15" s="52">
        <v>0</v>
      </c>
      <c r="AV15" s="50">
        <v>0</v>
      </c>
      <c r="AW15" s="50">
        <v>0</v>
      </c>
      <c r="AX15" s="52">
        <v>0</v>
      </c>
      <c r="AY15" s="50">
        <v>0</v>
      </c>
      <c r="AZ15" s="50">
        <v>0</v>
      </c>
      <c r="BA15" s="52">
        <v>0</v>
      </c>
      <c r="BB15" s="50">
        <v>0</v>
      </c>
      <c r="BC15" s="50">
        <v>0</v>
      </c>
      <c r="BD15" s="52">
        <v>0</v>
      </c>
      <c r="BE15" s="341">
        <v>0</v>
      </c>
      <c r="BF15" s="341">
        <v>0</v>
      </c>
      <c r="BG15" s="342">
        <v>0</v>
      </c>
      <c r="BH15" s="50">
        <v>0</v>
      </c>
      <c r="BI15" s="50">
        <v>0</v>
      </c>
      <c r="BJ15" s="52">
        <v>0</v>
      </c>
      <c r="BK15" s="50">
        <v>0</v>
      </c>
      <c r="BL15" s="50">
        <v>0</v>
      </c>
      <c r="BM15" s="52">
        <v>0</v>
      </c>
      <c r="BN15" s="50">
        <v>0</v>
      </c>
      <c r="BO15" s="50">
        <v>0</v>
      </c>
      <c r="BP15" s="52">
        <v>0</v>
      </c>
      <c r="BQ15" s="50">
        <v>0</v>
      </c>
      <c r="BR15" s="50">
        <v>0</v>
      </c>
      <c r="BS15" s="52">
        <v>0</v>
      </c>
      <c r="BT15" s="50">
        <v>0</v>
      </c>
      <c r="BU15" s="50">
        <v>0</v>
      </c>
      <c r="BV15" s="52">
        <v>0</v>
      </c>
      <c r="BW15" s="50">
        <v>0</v>
      </c>
      <c r="BX15" s="50">
        <v>0</v>
      </c>
      <c r="BY15" s="52">
        <v>0</v>
      </c>
      <c r="BZ15" s="50">
        <v>0</v>
      </c>
      <c r="CA15" s="50">
        <v>0</v>
      </c>
      <c r="CB15" s="52">
        <v>0</v>
      </c>
      <c r="CC15" s="50">
        <v>0</v>
      </c>
      <c r="CD15" s="50">
        <v>0</v>
      </c>
      <c r="CE15" s="52">
        <v>0</v>
      </c>
      <c r="CF15" s="50">
        <v>0</v>
      </c>
      <c r="CG15" s="50">
        <v>0</v>
      </c>
      <c r="CH15" s="52">
        <v>0</v>
      </c>
      <c r="CI15" s="50">
        <v>0</v>
      </c>
      <c r="CJ15" s="50">
        <v>0</v>
      </c>
      <c r="CK15" s="52">
        <v>0</v>
      </c>
      <c r="CL15" s="50">
        <v>0</v>
      </c>
      <c r="CM15" s="50">
        <v>0</v>
      </c>
      <c r="CN15" s="52">
        <v>0</v>
      </c>
      <c r="CO15" s="50">
        <v>0</v>
      </c>
      <c r="CP15" s="50">
        <v>0</v>
      </c>
      <c r="CQ15" s="52">
        <v>0</v>
      </c>
      <c r="CR15" s="50">
        <v>0</v>
      </c>
      <c r="CS15" s="50">
        <v>0</v>
      </c>
      <c r="CT15" s="52">
        <v>0</v>
      </c>
      <c r="CU15" s="50">
        <v>0</v>
      </c>
      <c r="CV15" s="50">
        <v>0</v>
      </c>
      <c r="CW15" s="52">
        <v>0</v>
      </c>
      <c r="CX15" s="50">
        <v>0</v>
      </c>
      <c r="CY15" s="50">
        <v>0</v>
      </c>
      <c r="CZ15" s="52">
        <v>0</v>
      </c>
      <c r="DA15" s="50">
        <v>0</v>
      </c>
      <c r="DB15" s="50">
        <v>0</v>
      </c>
      <c r="DC15" s="52">
        <v>0</v>
      </c>
      <c r="DD15" s="50">
        <v>0</v>
      </c>
      <c r="DE15" s="50">
        <v>0</v>
      </c>
      <c r="DF15" s="52">
        <v>0</v>
      </c>
      <c r="DG15" s="50">
        <v>0</v>
      </c>
      <c r="DH15" s="50">
        <v>0</v>
      </c>
      <c r="DI15" s="52">
        <v>0</v>
      </c>
      <c r="DJ15" s="50">
        <v>0</v>
      </c>
      <c r="DK15" s="50">
        <v>0</v>
      </c>
      <c r="DL15" s="52">
        <v>0</v>
      </c>
      <c r="DM15" s="50">
        <v>0</v>
      </c>
      <c r="DN15" s="50">
        <v>0</v>
      </c>
      <c r="DO15" s="52">
        <v>0</v>
      </c>
      <c r="DP15" s="50">
        <v>0</v>
      </c>
      <c r="DQ15" s="50">
        <v>0</v>
      </c>
      <c r="DR15" s="52">
        <v>0</v>
      </c>
      <c r="DS15" s="50">
        <v>0</v>
      </c>
      <c r="DT15" s="50">
        <v>0</v>
      </c>
      <c r="DU15" s="52">
        <v>0</v>
      </c>
      <c r="DV15" s="50">
        <v>0</v>
      </c>
      <c r="DW15" s="50">
        <v>0</v>
      </c>
      <c r="DX15" s="52">
        <v>0</v>
      </c>
      <c r="DY15" s="50">
        <v>0</v>
      </c>
      <c r="DZ15" s="50">
        <v>0</v>
      </c>
      <c r="EA15" s="52">
        <v>0</v>
      </c>
      <c r="EB15" s="50">
        <v>0</v>
      </c>
      <c r="EC15" s="50">
        <v>0</v>
      </c>
      <c r="ED15" s="52">
        <v>0</v>
      </c>
      <c r="EE15" s="50">
        <v>0</v>
      </c>
      <c r="EF15" s="50">
        <v>0</v>
      </c>
      <c r="EG15" s="52">
        <v>0</v>
      </c>
      <c r="EH15" s="50">
        <v>0</v>
      </c>
      <c r="EI15" s="50">
        <v>0</v>
      </c>
      <c r="EJ15" s="52">
        <v>0</v>
      </c>
      <c r="EK15" s="50">
        <v>0</v>
      </c>
      <c r="EL15" s="50">
        <v>0</v>
      </c>
      <c r="EM15" s="52">
        <v>0</v>
      </c>
      <c r="EN15" s="640"/>
      <c r="EO15" s="531"/>
      <c r="EP15" s="531"/>
      <c r="EQ15" s="531"/>
      <c r="ER15" s="531"/>
      <c r="ES15" s="531"/>
      <c r="ET15" s="531"/>
      <c r="EU15" s="54"/>
    </row>
    <row r="16" spans="1:151" ht="12.75">
      <c r="A16" s="49">
        <v>43847</v>
      </c>
      <c r="B16" s="50">
        <f t="shared" si="0"/>
        <v>0</v>
      </c>
      <c r="C16" s="50">
        <f t="shared" ref="C16:D16" si="12">SUM(AB16,AE16,BF16,)</f>
        <v>0</v>
      </c>
      <c r="D16" s="50">
        <f t="shared" si="12"/>
        <v>0</v>
      </c>
      <c r="E16" s="326">
        <f t="shared" si="2"/>
        <v>0</v>
      </c>
      <c r="F16" s="50">
        <v>0</v>
      </c>
      <c r="G16" s="50">
        <v>0</v>
      </c>
      <c r="H16" s="52">
        <v>0</v>
      </c>
      <c r="I16" s="50">
        <v>0</v>
      </c>
      <c r="J16" s="50">
        <v>0</v>
      </c>
      <c r="K16" s="52">
        <v>0</v>
      </c>
      <c r="L16" s="50">
        <v>0</v>
      </c>
      <c r="M16" s="50">
        <v>0</v>
      </c>
      <c r="N16" s="52">
        <v>0</v>
      </c>
      <c r="O16" s="50">
        <v>0</v>
      </c>
      <c r="P16" s="50">
        <v>0</v>
      </c>
      <c r="Q16" s="52">
        <v>0</v>
      </c>
      <c r="R16" s="50">
        <v>0</v>
      </c>
      <c r="S16" s="50">
        <v>0</v>
      </c>
      <c r="T16" s="52">
        <v>0</v>
      </c>
      <c r="U16" s="50">
        <v>0</v>
      </c>
      <c r="V16" s="50">
        <v>0</v>
      </c>
      <c r="W16" s="52">
        <v>0</v>
      </c>
      <c r="X16" s="50">
        <v>0</v>
      </c>
      <c r="Y16" s="50">
        <v>0</v>
      </c>
      <c r="Z16" s="52">
        <v>0</v>
      </c>
      <c r="AA16" s="50">
        <v>0</v>
      </c>
      <c r="AB16" s="50">
        <v>0</v>
      </c>
      <c r="AC16" s="52">
        <v>0</v>
      </c>
      <c r="AD16" s="50">
        <v>0</v>
      </c>
      <c r="AE16" s="50">
        <v>0</v>
      </c>
      <c r="AF16" s="52">
        <v>0</v>
      </c>
      <c r="AG16" s="50">
        <v>0</v>
      </c>
      <c r="AH16" s="50">
        <v>0</v>
      </c>
      <c r="AI16" s="52">
        <v>0</v>
      </c>
      <c r="AJ16" s="50">
        <v>0</v>
      </c>
      <c r="AK16" s="50">
        <v>0</v>
      </c>
      <c r="AL16" s="52">
        <v>0</v>
      </c>
      <c r="AM16" s="50">
        <v>0</v>
      </c>
      <c r="AN16" s="50">
        <v>0</v>
      </c>
      <c r="AO16" s="52">
        <v>0</v>
      </c>
      <c r="AP16" s="50">
        <v>0</v>
      </c>
      <c r="AQ16" s="50">
        <v>0</v>
      </c>
      <c r="AR16" s="52">
        <v>0</v>
      </c>
      <c r="AS16" s="50">
        <v>0</v>
      </c>
      <c r="AT16" s="50">
        <v>0</v>
      </c>
      <c r="AU16" s="52">
        <v>0</v>
      </c>
      <c r="AV16" s="50">
        <v>0</v>
      </c>
      <c r="AW16" s="50">
        <v>0</v>
      </c>
      <c r="AX16" s="52">
        <v>0</v>
      </c>
      <c r="AY16" s="50">
        <v>0</v>
      </c>
      <c r="AZ16" s="50">
        <v>0</v>
      </c>
      <c r="BA16" s="52">
        <v>0</v>
      </c>
      <c r="BB16" s="50">
        <v>0</v>
      </c>
      <c r="BC16" s="50">
        <v>0</v>
      </c>
      <c r="BD16" s="52">
        <v>0</v>
      </c>
      <c r="BE16" s="341">
        <v>0</v>
      </c>
      <c r="BF16" s="341">
        <v>0</v>
      </c>
      <c r="BG16" s="342">
        <v>0</v>
      </c>
      <c r="BH16" s="50">
        <v>0</v>
      </c>
      <c r="BI16" s="50">
        <v>0</v>
      </c>
      <c r="BJ16" s="52">
        <v>0</v>
      </c>
      <c r="BK16" s="50">
        <v>0</v>
      </c>
      <c r="BL16" s="50">
        <v>0</v>
      </c>
      <c r="BM16" s="52">
        <v>0</v>
      </c>
      <c r="BN16" s="50">
        <v>0</v>
      </c>
      <c r="BO16" s="50">
        <v>0</v>
      </c>
      <c r="BP16" s="52">
        <v>0</v>
      </c>
      <c r="BQ16" s="50">
        <v>0</v>
      </c>
      <c r="BR16" s="50">
        <v>0</v>
      </c>
      <c r="BS16" s="52">
        <v>0</v>
      </c>
      <c r="BT16" s="50">
        <v>0</v>
      </c>
      <c r="BU16" s="50">
        <v>0</v>
      </c>
      <c r="BV16" s="52">
        <v>0</v>
      </c>
      <c r="BW16" s="50">
        <v>0</v>
      </c>
      <c r="BX16" s="50">
        <v>0</v>
      </c>
      <c r="BY16" s="52">
        <v>0</v>
      </c>
      <c r="BZ16" s="50">
        <v>0</v>
      </c>
      <c r="CA16" s="50">
        <v>0</v>
      </c>
      <c r="CB16" s="52">
        <v>0</v>
      </c>
      <c r="CC16" s="50">
        <v>0</v>
      </c>
      <c r="CD16" s="50">
        <v>0</v>
      </c>
      <c r="CE16" s="52">
        <v>0</v>
      </c>
      <c r="CF16" s="50">
        <v>0</v>
      </c>
      <c r="CG16" s="50">
        <v>0</v>
      </c>
      <c r="CH16" s="52">
        <v>0</v>
      </c>
      <c r="CI16" s="50">
        <v>0</v>
      </c>
      <c r="CJ16" s="50">
        <v>0</v>
      </c>
      <c r="CK16" s="52">
        <v>0</v>
      </c>
      <c r="CL16" s="50">
        <v>0</v>
      </c>
      <c r="CM16" s="50">
        <v>0</v>
      </c>
      <c r="CN16" s="52">
        <v>0</v>
      </c>
      <c r="CO16" s="50">
        <v>0</v>
      </c>
      <c r="CP16" s="50">
        <v>0</v>
      </c>
      <c r="CQ16" s="52">
        <v>0</v>
      </c>
      <c r="CR16" s="50">
        <v>0</v>
      </c>
      <c r="CS16" s="50">
        <v>0</v>
      </c>
      <c r="CT16" s="52">
        <v>0</v>
      </c>
      <c r="CU16" s="50">
        <v>0</v>
      </c>
      <c r="CV16" s="50">
        <v>0</v>
      </c>
      <c r="CW16" s="52">
        <v>0</v>
      </c>
      <c r="CX16" s="50">
        <v>0</v>
      </c>
      <c r="CY16" s="50">
        <v>0</v>
      </c>
      <c r="CZ16" s="52">
        <v>0</v>
      </c>
      <c r="DA16" s="50">
        <v>0</v>
      </c>
      <c r="DB16" s="50">
        <v>0</v>
      </c>
      <c r="DC16" s="52">
        <v>0</v>
      </c>
      <c r="DD16" s="50">
        <v>0</v>
      </c>
      <c r="DE16" s="50">
        <v>0</v>
      </c>
      <c r="DF16" s="52">
        <v>0</v>
      </c>
      <c r="DG16" s="50">
        <v>0</v>
      </c>
      <c r="DH16" s="50">
        <v>0</v>
      </c>
      <c r="DI16" s="52">
        <v>0</v>
      </c>
      <c r="DJ16" s="50">
        <v>0</v>
      </c>
      <c r="DK16" s="50">
        <v>0</v>
      </c>
      <c r="DL16" s="52">
        <v>0</v>
      </c>
      <c r="DM16" s="50">
        <v>0</v>
      </c>
      <c r="DN16" s="50">
        <v>0</v>
      </c>
      <c r="DO16" s="52">
        <v>0</v>
      </c>
      <c r="DP16" s="50">
        <v>0</v>
      </c>
      <c r="DQ16" s="50">
        <v>0</v>
      </c>
      <c r="DR16" s="52">
        <v>0</v>
      </c>
      <c r="DS16" s="50">
        <v>0</v>
      </c>
      <c r="DT16" s="50">
        <v>0</v>
      </c>
      <c r="DU16" s="52">
        <v>0</v>
      </c>
      <c r="DV16" s="50">
        <v>0</v>
      </c>
      <c r="DW16" s="50">
        <v>0</v>
      </c>
      <c r="DX16" s="52">
        <v>0</v>
      </c>
      <c r="DY16" s="50">
        <v>0</v>
      </c>
      <c r="DZ16" s="50">
        <v>0</v>
      </c>
      <c r="EA16" s="52">
        <v>0</v>
      </c>
      <c r="EB16" s="50">
        <v>0</v>
      </c>
      <c r="EC16" s="50">
        <v>0</v>
      </c>
      <c r="ED16" s="52">
        <v>0</v>
      </c>
      <c r="EE16" s="50">
        <v>0</v>
      </c>
      <c r="EF16" s="50">
        <v>0</v>
      </c>
      <c r="EG16" s="52">
        <v>0</v>
      </c>
      <c r="EH16" s="50">
        <v>0</v>
      </c>
      <c r="EI16" s="50">
        <v>0</v>
      </c>
      <c r="EJ16" s="52">
        <v>0</v>
      </c>
      <c r="EK16" s="50">
        <v>0</v>
      </c>
      <c r="EL16" s="50">
        <v>0</v>
      </c>
      <c r="EM16" s="52">
        <v>0</v>
      </c>
      <c r="EN16" s="640"/>
      <c r="EO16" s="531"/>
      <c r="EP16" s="531"/>
      <c r="EQ16" s="531"/>
      <c r="ER16" s="531"/>
      <c r="ES16" s="531"/>
      <c r="ET16" s="531"/>
      <c r="EU16" s="54"/>
    </row>
    <row r="17" spans="1:151" ht="12.75">
      <c r="A17" s="40">
        <v>43848</v>
      </c>
      <c r="B17" s="15">
        <f t="shared" si="0"/>
        <v>0</v>
      </c>
      <c r="C17" s="15">
        <f t="shared" ref="C17:D17" si="13">SUM(AB17,AE17,BF17,)</f>
        <v>0</v>
      </c>
      <c r="D17" s="15">
        <f t="shared" si="13"/>
        <v>0</v>
      </c>
      <c r="E17" s="154">
        <f t="shared" si="2"/>
        <v>0</v>
      </c>
      <c r="F17" s="15">
        <v>0</v>
      </c>
      <c r="G17" s="15">
        <v>0</v>
      </c>
      <c r="H17" s="17">
        <v>0</v>
      </c>
      <c r="I17" s="15">
        <v>0</v>
      </c>
      <c r="J17" s="15">
        <v>0</v>
      </c>
      <c r="K17" s="17">
        <v>0</v>
      </c>
      <c r="L17" s="15">
        <v>0</v>
      </c>
      <c r="M17" s="15">
        <v>0</v>
      </c>
      <c r="N17" s="17">
        <v>0</v>
      </c>
      <c r="O17" s="15">
        <v>0</v>
      </c>
      <c r="P17" s="15">
        <v>0</v>
      </c>
      <c r="Q17" s="17">
        <v>0</v>
      </c>
      <c r="R17" s="15">
        <v>0</v>
      </c>
      <c r="S17" s="15">
        <v>0</v>
      </c>
      <c r="T17" s="17">
        <v>0</v>
      </c>
      <c r="U17" s="15">
        <v>0</v>
      </c>
      <c r="V17" s="15">
        <v>0</v>
      </c>
      <c r="W17" s="17">
        <v>0</v>
      </c>
      <c r="X17" s="15">
        <v>0</v>
      </c>
      <c r="Y17" s="15">
        <v>0</v>
      </c>
      <c r="Z17" s="17">
        <v>0</v>
      </c>
      <c r="AA17" s="15">
        <v>0</v>
      </c>
      <c r="AB17" s="15">
        <v>0</v>
      </c>
      <c r="AC17" s="17">
        <v>0</v>
      </c>
      <c r="AD17" s="15">
        <v>0</v>
      </c>
      <c r="AE17" s="15">
        <v>0</v>
      </c>
      <c r="AF17" s="17">
        <v>0</v>
      </c>
      <c r="AG17" s="15">
        <v>0</v>
      </c>
      <c r="AH17" s="15">
        <v>0</v>
      </c>
      <c r="AI17" s="17">
        <v>0</v>
      </c>
      <c r="AJ17" s="15">
        <v>0</v>
      </c>
      <c r="AK17" s="15">
        <v>0</v>
      </c>
      <c r="AL17" s="17">
        <v>0</v>
      </c>
      <c r="AM17" s="15">
        <v>0</v>
      </c>
      <c r="AN17" s="15">
        <v>0</v>
      </c>
      <c r="AO17" s="17">
        <v>0</v>
      </c>
      <c r="AP17" s="15">
        <v>0</v>
      </c>
      <c r="AQ17" s="15">
        <v>0</v>
      </c>
      <c r="AR17" s="17">
        <v>0</v>
      </c>
      <c r="AS17" s="15">
        <v>0</v>
      </c>
      <c r="AT17" s="15">
        <v>0</v>
      </c>
      <c r="AU17" s="17">
        <v>0</v>
      </c>
      <c r="AV17" s="15">
        <v>0</v>
      </c>
      <c r="AW17" s="15">
        <v>0</v>
      </c>
      <c r="AX17" s="17">
        <v>0</v>
      </c>
      <c r="AY17" s="15">
        <v>0</v>
      </c>
      <c r="AZ17" s="15">
        <v>0</v>
      </c>
      <c r="BA17" s="17">
        <v>0</v>
      </c>
      <c r="BB17" s="15">
        <v>0</v>
      </c>
      <c r="BC17" s="15">
        <v>0</v>
      </c>
      <c r="BD17" s="17">
        <v>0</v>
      </c>
      <c r="BE17" s="18">
        <v>0</v>
      </c>
      <c r="BF17" s="18">
        <v>0</v>
      </c>
      <c r="BG17" s="317">
        <v>0</v>
      </c>
      <c r="BH17" s="15">
        <v>0</v>
      </c>
      <c r="BI17" s="15">
        <v>0</v>
      </c>
      <c r="BJ17" s="17">
        <v>0</v>
      </c>
      <c r="BK17" s="15">
        <v>0</v>
      </c>
      <c r="BL17" s="15">
        <v>0</v>
      </c>
      <c r="BM17" s="17">
        <v>0</v>
      </c>
      <c r="BN17" s="15">
        <v>0</v>
      </c>
      <c r="BO17" s="15">
        <v>0</v>
      </c>
      <c r="BP17" s="17">
        <v>0</v>
      </c>
      <c r="BQ17" s="15">
        <v>0</v>
      </c>
      <c r="BR17" s="15">
        <v>0</v>
      </c>
      <c r="BS17" s="17">
        <v>0</v>
      </c>
      <c r="BT17" s="15">
        <v>0</v>
      </c>
      <c r="BU17" s="15">
        <v>0</v>
      </c>
      <c r="BV17" s="17">
        <v>0</v>
      </c>
      <c r="BW17" s="15">
        <v>0</v>
      </c>
      <c r="BX17" s="15">
        <v>0</v>
      </c>
      <c r="BY17" s="17">
        <v>0</v>
      </c>
      <c r="BZ17" s="15">
        <v>0</v>
      </c>
      <c r="CA17" s="15">
        <v>0</v>
      </c>
      <c r="CB17" s="17">
        <v>0</v>
      </c>
      <c r="CC17" s="15">
        <v>0</v>
      </c>
      <c r="CD17" s="15">
        <v>0</v>
      </c>
      <c r="CE17" s="17">
        <v>0</v>
      </c>
      <c r="CF17" s="15">
        <v>0</v>
      </c>
      <c r="CG17" s="15">
        <v>0</v>
      </c>
      <c r="CH17" s="17">
        <v>0</v>
      </c>
      <c r="CI17" s="15">
        <v>0</v>
      </c>
      <c r="CJ17" s="15">
        <v>0</v>
      </c>
      <c r="CK17" s="17">
        <v>0</v>
      </c>
      <c r="CL17" s="15">
        <v>0</v>
      </c>
      <c r="CM17" s="15">
        <v>0</v>
      </c>
      <c r="CN17" s="17">
        <v>0</v>
      </c>
      <c r="CO17" s="15">
        <v>0</v>
      </c>
      <c r="CP17" s="15">
        <v>0</v>
      </c>
      <c r="CQ17" s="17">
        <v>0</v>
      </c>
      <c r="CR17" s="15">
        <v>0</v>
      </c>
      <c r="CS17" s="15">
        <v>0</v>
      </c>
      <c r="CT17" s="17">
        <v>0</v>
      </c>
      <c r="CU17" s="15">
        <v>0</v>
      </c>
      <c r="CV17" s="15">
        <v>0</v>
      </c>
      <c r="CW17" s="17">
        <v>0</v>
      </c>
      <c r="CX17" s="15">
        <v>0</v>
      </c>
      <c r="CY17" s="15">
        <v>0</v>
      </c>
      <c r="CZ17" s="17">
        <v>0</v>
      </c>
      <c r="DA17" s="15">
        <v>0</v>
      </c>
      <c r="DB17" s="15">
        <v>0</v>
      </c>
      <c r="DC17" s="17">
        <v>0</v>
      </c>
      <c r="DD17" s="15">
        <v>0</v>
      </c>
      <c r="DE17" s="15">
        <v>0</v>
      </c>
      <c r="DF17" s="17">
        <v>0</v>
      </c>
      <c r="DG17" s="15">
        <v>0</v>
      </c>
      <c r="DH17" s="15">
        <v>0</v>
      </c>
      <c r="DI17" s="17">
        <v>0</v>
      </c>
      <c r="DJ17" s="15">
        <v>0</v>
      </c>
      <c r="DK17" s="15">
        <v>0</v>
      </c>
      <c r="DL17" s="17">
        <v>0</v>
      </c>
      <c r="DM17" s="15">
        <v>0</v>
      </c>
      <c r="DN17" s="15">
        <v>0</v>
      </c>
      <c r="DO17" s="17">
        <v>0</v>
      </c>
      <c r="DP17" s="15">
        <v>0</v>
      </c>
      <c r="DQ17" s="15">
        <v>0</v>
      </c>
      <c r="DR17" s="17">
        <v>0</v>
      </c>
      <c r="DS17" s="15">
        <v>0</v>
      </c>
      <c r="DT17" s="15">
        <v>0</v>
      </c>
      <c r="DU17" s="17">
        <v>0</v>
      </c>
      <c r="DV17" s="15">
        <v>0</v>
      </c>
      <c r="DW17" s="15">
        <v>0</v>
      </c>
      <c r="DX17" s="17">
        <v>0</v>
      </c>
      <c r="DY17" s="15">
        <v>0</v>
      </c>
      <c r="DZ17" s="15">
        <v>0</v>
      </c>
      <c r="EA17" s="17">
        <v>0</v>
      </c>
      <c r="EB17" s="15">
        <v>0</v>
      </c>
      <c r="EC17" s="15">
        <v>0</v>
      </c>
      <c r="ED17" s="17">
        <v>0</v>
      </c>
      <c r="EE17" s="15">
        <v>0</v>
      </c>
      <c r="EF17" s="15">
        <v>0</v>
      </c>
      <c r="EG17" s="17">
        <v>0</v>
      </c>
      <c r="EH17" s="15">
        <v>0</v>
      </c>
      <c r="EI17" s="15">
        <v>0</v>
      </c>
      <c r="EJ17" s="17">
        <v>0</v>
      </c>
      <c r="EK17" s="15">
        <v>0</v>
      </c>
      <c r="EL17" s="15">
        <v>0</v>
      </c>
      <c r="EM17" s="17">
        <v>0</v>
      </c>
      <c r="EN17" s="640"/>
      <c r="EO17" s="531"/>
      <c r="EP17" s="531"/>
      <c r="EQ17" s="531"/>
      <c r="ER17" s="531"/>
      <c r="ES17" s="531"/>
      <c r="ET17" s="531"/>
      <c r="EU17" s="339"/>
    </row>
    <row r="18" spans="1:151" ht="12.75">
      <c r="A18" s="343">
        <v>43849</v>
      </c>
      <c r="B18" s="344">
        <f t="shared" si="0"/>
        <v>0</v>
      </c>
      <c r="C18" s="344">
        <f t="shared" ref="C18:D18" si="14">SUM(AB18,AE18,BF18,)</f>
        <v>0</v>
      </c>
      <c r="D18" s="344">
        <f t="shared" si="14"/>
        <v>0</v>
      </c>
      <c r="E18" s="345">
        <f t="shared" si="2"/>
        <v>0</v>
      </c>
      <c r="F18" s="344">
        <v>0</v>
      </c>
      <c r="G18" s="344">
        <v>0</v>
      </c>
      <c r="H18" s="346">
        <v>0</v>
      </c>
      <c r="I18" s="344">
        <v>0</v>
      </c>
      <c r="J18" s="344">
        <v>0</v>
      </c>
      <c r="K18" s="346">
        <v>0</v>
      </c>
      <c r="L18" s="344">
        <v>0</v>
      </c>
      <c r="M18" s="344">
        <v>0</v>
      </c>
      <c r="N18" s="346">
        <v>0</v>
      </c>
      <c r="O18" s="344">
        <v>0</v>
      </c>
      <c r="P18" s="344">
        <v>0</v>
      </c>
      <c r="Q18" s="346">
        <v>0</v>
      </c>
      <c r="R18" s="344">
        <v>0</v>
      </c>
      <c r="S18" s="344">
        <v>0</v>
      </c>
      <c r="T18" s="346">
        <v>0</v>
      </c>
      <c r="U18" s="344">
        <v>0</v>
      </c>
      <c r="V18" s="344">
        <v>0</v>
      </c>
      <c r="W18" s="346">
        <v>0</v>
      </c>
      <c r="X18" s="344">
        <v>0</v>
      </c>
      <c r="Y18" s="344">
        <v>0</v>
      </c>
      <c r="Z18" s="346">
        <v>0</v>
      </c>
      <c r="AA18" s="344">
        <v>0</v>
      </c>
      <c r="AB18" s="344">
        <v>0</v>
      </c>
      <c r="AC18" s="346">
        <v>0</v>
      </c>
      <c r="AD18" s="344">
        <v>0</v>
      </c>
      <c r="AE18" s="344">
        <v>0</v>
      </c>
      <c r="AF18" s="346">
        <v>0</v>
      </c>
      <c r="AG18" s="344">
        <v>0</v>
      </c>
      <c r="AH18" s="344">
        <v>0</v>
      </c>
      <c r="AI18" s="346">
        <v>0</v>
      </c>
      <c r="AJ18" s="344">
        <v>0</v>
      </c>
      <c r="AK18" s="344">
        <v>0</v>
      </c>
      <c r="AL18" s="346">
        <v>0</v>
      </c>
      <c r="AM18" s="344">
        <v>0</v>
      </c>
      <c r="AN18" s="344">
        <v>0</v>
      </c>
      <c r="AO18" s="346">
        <v>0</v>
      </c>
      <c r="AP18" s="344">
        <v>0</v>
      </c>
      <c r="AQ18" s="344">
        <v>0</v>
      </c>
      <c r="AR18" s="346">
        <v>0</v>
      </c>
      <c r="AS18" s="344">
        <v>0</v>
      </c>
      <c r="AT18" s="344">
        <v>0</v>
      </c>
      <c r="AU18" s="346">
        <v>0</v>
      </c>
      <c r="AV18" s="344">
        <v>0</v>
      </c>
      <c r="AW18" s="344">
        <v>0</v>
      </c>
      <c r="AX18" s="346">
        <v>0</v>
      </c>
      <c r="AY18" s="344">
        <v>0</v>
      </c>
      <c r="AZ18" s="344">
        <v>0</v>
      </c>
      <c r="BA18" s="346">
        <v>0</v>
      </c>
      <c r="BB18" s="344">
        <v>0</v>
      </c>
      <c r="BC18" s="344">
        <v>0</v>
      </c>
      <c r="BD18" s="346">
        <v>0</v>
      </c>
      <c r="BE18" s="347">
        <v>0</v>
      </c>
      <c r="BF18" s="347">
        <v>0</v>
      </c>
      <c r="BG18" s="348">
        <v>0</v>
      </c>
      <c r="BH18" s="344">
        <v>0</v>
      </c>
      <c r="BI18" s="344">
        <v>0</v>
      </c>
      <c r="BJ18" s="346">
        <v>0</v>
      </c>
      <c r="BK18" s="344">
        <v>0</v>
      </c>
      <c r="BL18" s="344">
        <v>0</v>
      </c>
      <c r="BM18" s="346">
        <v>0</v>
      </c>
      <c r="BN18" s="344">
        <v>0</v>
      </c>
      <c r="BO18" s="344">
        <v>0</v>
      </c>
      <c r="BP18" s="346">
        <v>0</v>
      </c>
      <c r="BQ18" s="344">
        <v>0</v>
      </c>
      <c r="BR18" s="344">
        <v>0</v>
      </c>
      <c r="BS18" s="346">
        <v>0</v>
      </c>
      <c r="BT18" s="344">
        <v>0</v>
      </c>
      <c r="BU18" s="344">
        <v>0</v>
      </c>
      <c r="BV18" s="346">
        <v>0</v>
      </c>
      <c r="BW18" s="344">
        <v>0</v>
      </c>
      <c r="BX18" s="344">
        <v>0</v>
      </c>
      <c r="BY18" s="346">
        <v>0</v>
      </c>
      <c r="BZ18" s="344">
        <v>0</v>
      </c>
      <c r="CA18" s="344">
        <v>0</v>
      </c>
      <c r="CB18" s="346">
        <v>0</v>
      </c>
      <c r="CC18" s="344">
        <v>0</v>
      </c>
      <c r="CD18" s="344">
        <v>0</v>
      </c>
      <c r="CE18" s="346">
        <v>0</v>
      </c>
      <c r="CF18" s="344">
        <v>0</v>
      </c>
      <c r="CG18" s="344">
        <v>0</v>
      </c>
      <c r="CH18" s="346">
        <v>0</v>
      </c>
      <c r="CI18" s="344">
        <v>0</v>
      </c>
      <c r="CJ18" s="344">
        <v>0</v>
      </c>
      <c r="CK18" s="346">
        <v>0</v>
      </c>
      <c r="CL18" s="344">
        <v>0</v>
      </c>
      <c r="CM18" s="344">
        <v>0</v>
      </c>
      <c r="CN18" s="346">
        <v>0</v>
      </c>
      <c r="CO18" s="344">
        <v>0</v>
      </c>
      <c r="CP18" s="344">
        <v>0</v>
      </c>
      <c r="CQ18" s="346">
        <v>0</v>
      </c>
      <c r="CR18" s="344">
        <v>0</v>
      </c>
      <c r="CS18" s="344">
        <v>0</v>
      </c>
      <c r="CT18" s="346">
        <v>0</v>
      </c>
      <c r="CU18" s="344">
        <v>0</v>
      </c>
      <c r="CV18" s="344">
        <v>0</v>
      </c>
      <c r="CW18" s="346">
        <v>0</v>
      </c>
      <c r="CX18" s="344">
        <v>0</v>
      </c>
      <c r="CY18" s="344">
        <v>0</v>
      </c>
      <c r="CZ18" s="346">
        <v>0</v>
      </c>
      <c r="DA18" s="344">
        <v>0</v>
      </c>
      <c r="DB18" s="344">
        <v>0</v>
      </c>
      <c r="DC18" s="346">
        <v>0</v>
      </c>
      <c r="DD18" s="344">
        <v>0</v>
      </c>
      <c r="DE18" s="344">
        <v>0</v>
      </c>
      <c r="DF18" s="346">
        <v>0</v>
      </c>
      <c r="DG18" s="344">
        <v>0</v>
      </c>
      <c r="DH18" s="344">
        <v>0</v>
      </c>
      <c r="DI18" s="346">
        <v>0</v>
      </c>
      <c r="DJ18" s="344">
        <v>0</v>
      </c>
      <c r="DK18" s="344">
        <v>0</v>
      </c>
      <c r="DL18" s="346">
        <v>0</v>
      </c>
      <c r="DM18" s="344">
        <v>0</v>
      </c>
      <c r="DN18" s="344">
        <v>0</v>
      </c>
      <c r="DO18" s="346">
        <v>0</v>
      </c>
      <c r="DP18" s="344">
        <v>0</v>
      </c>
      <c r="DQ18" s="344">
        <v>0</v>
      </c>
      <c r="DR18" s="346">
        <v>0</v>
      </c>
      <c r="DS18" s="344">
        <v>0</v>
      </c>
      <c r="DT18" s="344">
        <v>0</v>
      </c>
      <c r="DU18" s="346">
        <v>0</v>
      </c>
      <c r="DV18" s="344">
        <v>0</v>
      </c>
      <c r="DW18" s="344">
        <v>0</v>
      </c>
      <c r="DX18" s="346">
        <v>0</v>
      </c>
      <c r="DY18" s="344">
        <v>0</v>
      </c>
      <c r="DZ18" s="344">
        <v>0</v>
      </c>
      <c r="EA18" s="346">
        <v>0</v>
      </c>
      <c r="EB18" s="344">
        <v>0</v>
      </c>
      <c r="EC18" s="344">
        <v>0</v>
      </c>
      <c r="ED18" s="346">
        <v>0</v>
      </c>
      <c r="EE18" s="344">
        <v>0</v>
      </c>
      <c r="EF18" s="344">
        <v>0</v>
      </c>
      <c r="EG18" s="346">
        <v>0</v>
      </c>
      <c r="EH18" s="344">
        <v>0</v>
      </c>
      <c r="EI18" s="344">
        <v>0</v>
      </c>
      <c r="EJ18" s="346">
        <v>0</v>
      </c>
      <c r="EK18" s="344">
        <v>0</v>
      </c>
      <c r="EL18" s="344">
        <v>0</v>
      </c>
      <c r="EM18" s="346">
        <v>0</v>
      </c>
      <c r="EN18" s="640"/>
      <c r="EO18" s="531"/>
      <c r="EP18" s="531"/>
      <c r="EQ18" s="531"/>
      <c r="ER18" s="531"/>
      <c r="ES18" s="531"/>
      <c r="ET18" s="531"/>
      <c r="EU18" s="349"/>
    </row>
    <row r="19" spans="1:151" ht="12.75">
      <c r="A19" s="40">
        <v>43850</v>
      </c>
      <c r="B19" s="15">
        <f t="shared" si="0"/>
        <v>0</v>
      </c>
      <c r="C19" s="15">
        <f t="shared" ref="C19:D19" si="15">SUM(AB19,AE19,BF19,)</f>
        <v>0</v>
      </c>
      <c r="D19" s="15">
        <f t="shared" si="15"/>
        <v>0</v>
      </c>
      <c r="E19" s="154">
        <f t="shared" si="2"/>
        <v>0</v>
      </c>
      <c r="F19" s="18">
        <v>0</v>
      </c>
      <c r="G19" s="18">
        <v>0</v>
      </c>
      <c r="H19" s="317">
        <v>0</v>
      </c>
      <c r="I19" s="18">
        <v>0</v>
      </c>
      <c r="J19" s="18">
        <v>0</v>
      </c>
      <c r="K19" s="317">
        <v>0</v>
      </c>
      <c r="L19" s="18">
        <v>0</v>
      </c>
      <c r="M19" s="18">
        <v>0</v>
      </c>
      <c r="N19" s="317">
        <v>0</v>
      </c>
      <c r="O19" s="18">
        <v>0</v>
      </c>
      <c r="P19" s="18">
        <v>0</v>
      </c>
      <c r="Q19" s="317">
        <v>0</v>
      </c>
      <c r="R19" s="18">
        <v>0</v>
      </c>
      <c r="S19" s="18">
        <v>0</v>
      </c>
      <c r="T19" s="317">
        <v>0</v>
      </c>
      <c r="U19" s="18">
        <v>0</v>
      </c>
      <c r="V19" s="18">
        <v>0</v>
      </c>
      <c r="W19" s="317">
        <v>0</v>
      </c>
      <c r="X19" s="18">
        <v>0</v>
      </c>
      <c r="Y19" s="18">
        <v>0</v>
      </c>
      <c r="Z19" s="317">
        <v>0</v>
      </c>
      <c r="AA19" s="18">
        <v>0</v>
      </c>
      <c r="AB19" s="18">
        <v>0</v>
      </c>
      <c r="AC19" s="317">
        <v>0</v>
      </c>
      <c r="AD19" s="18">
        <v>0</v>
      </c>
      <c r="AE19" s="18">
        <v>0</v>
      </c>
      <c r="AF19" s="317">
        <v>0</v>
      </c>
      <c r="AG19" s="18">
        <v>0</v>
      </c>
      <c r="AH19" s="18">
        <v>0</v>
      </c>
      <c r="AI19" s="317">
        <v>0</v>
      </c>
      <c r="AJ19" s="18">
        <v>0</v>
      </c>
      <c r="AK19" s="18">
        <v>0</v>
      </c>
      <c r="AL19" s="317">
        <v>0</v>
      </c>
      <c r="AM19" s="18">
        <v>0</v>
      </c>
      <c r="AN19" s="18">
        <v>0</v>
      </c>
      <c r="AO19" s="317">
        <v>0</v>
      </c>
      <c r="AP19" s="18">
        <v>0</v>
      </c>
      <c r="AQ19" s="18">
        <v>0</v>
      </c>
      <c r="AR19" s="317">
        <v>0</v>
      </c>
      <c r="AS19" s="18">
        <v>0</v>
      </c>
      <c r="AT19" s="18">
        <v>0</v>
      </c>
      <c r="AU19" s="317">
        <v>0</v>
      </c>
      <c r="AV19" s="18">
        <v>0</v>
      </c>
      <c r="AW19" s="18">
        <v>0</v>
      </c>
      <c r="AX19" s="317">
        <v>0</v>
      </c>
      <c r="AY19" s="18">
        <v>0</v>
      </c>
      <c r="AZ19" s="18">
        <v>0</v>
      </c>
      <c r="BA19" s="317">
        <v>0</v>
      </c>
      <c r="BB19" s="18">
        <v>0</v>
      </c>
      <c r="BC19" s="18">
        <v>0</v>
      </c>
      <c r="BD19" s="317">
        <v>0</v>
      </c>
      <c r="BE19" s="18">
        <v>0</v>
      </c>
      <c r="BF19" s="18">
        <v>0</v>
      </c>
      <c r="BG19" s="317">
        <v>0</v>
      </c>
      <c r="BH19" s="18">
        <v>0</v>
      </c>
      <c r="BI19" s="18">
        <v>0</v>
      </c>
      <c r="BJ19" s="317">
        <v>0</v>
      </c>
      <c r="BK19" s="18">
        <v>0</v>
      </c>
      <c r="BL19" s="18">
        <v>0</v>
      </c>
      <c r="BM19" s="317">
        <v>0</v>
      </c>
      <c r="BN19" s="18">
        <v>0</v>
      </c>
      <c r="BO19" s="18">
        <v>0</v>
      </c>
      <c r="BP19" s="317">
        <v>0</v>
      </c>
      <c r="BQ19" s="18">
        <v>0</v>
      </c>
      <c r="BR19" s="18">
        <v>0</v>
      </c>
      <c r="BS19" s="317">
        <v>0</v>
      </c>
      <c r="BT19" s="18">
        <v>0</v>
      </c>
      <c r="BU19" s="18">
        <v>0</v>
      </c>
      <c r="BV19" s="317">
        <v>0</v>
      </c>
      <c r="BW19" s="18">
        <v>0</v>
      </c>
      <c r="BX19" s="18">
        <v>0</v>
      </c>
      <c r="BY19" s="317">
        <v>0</v>
      </c>
      <c r="BZ19" s="18">
        <v>0</v>
      </c>
      <c r="CA19" s="18">
        <v>0</v>
      </c>
      <c r="CB19" s="317">
        <v>0</v>
      </c>
      <c r="CC19" s="18">
        <v>0</v>
      </c>
      <c r="CD19" s="18">
        <v>0</v>
      </c>
      <c r="CE19" s="317">
        <v>0</v>
      </c>
      <c r="CF19" s="18">
        <v>0</v>
      </c>
      <c r="CG19" s="18">
        <v>0</v>
      </c>
      <c r="CH19" s="317">
        <v>0</v>
      </c>
      <c r="CI19" s="18">
        <v>0</v>
      </c>
      <c r="CJ19" s="18">
        <v>0</v>
      </c>
      <c r="CK19" s="317">
        <v>0</v>
      </c>
      <c r="CL19" s="18">
        <v>0</v>
      </c>
      <c r="CM19" s="18">
        <v>0</v>
      </c>
      <c r="CN19" s="317">
        <v>0</v>
      </c>
      <c r="CO19" s="18">
        <v>0</v>
      </c>
      <c r="CP19" s="18">
        <v>0</v>
      </c>
      <c r="CQ19" s="317">
        <v>0</v>
      </c>
      <c r="CR19" s="18">
        <v>0</v>
      </c>
      <c r="CS19" s="18">
        <v>0</v>
      </c>
      <c r="CT19" s="317">
        <v>0</v>
      </c>
      <c r="CU19" s="18">
        <v>0</v>
      </c>
      <c r="CV19" s="18">
        <v>0</v>
      </c>
      <c r="CW19" s="317">
        <v>0</v>
      </c>
      <c r="CX19" s="18">
        <v>0</v>
      </c>
      <c r="CY19" s="18">
        <v>0</v>
      </c>
      <c r="CZ19" s="317">
        <v>0</v>
      </c>
      <c r="DA19" s="18">
        <v>0</v>
      </c>
      <c r="DB19" s="18">
        <v>0</v>
      </c>
      <c r="DC19" s="317">
        <v>0</v>
      </c>
      <c r="DD19" s="18">
        <v>0</v>
      </c>
      <c r="DE19" s="18">
        <v>0</v>
      </c>
      <c r="DF19" s="317">
        <v>0</v>
      </c>
      <c r="DG19" s="18">
        <v>0</v>
      </c>
      <c r="DH19" s="18">
        <v>0</v>
      </c>
      <c r="DI19" s="317">
        <v>0</v>
      </c>
      <c r="DJ19" s="18">
        <v>0</v>
      </c>
      <c r="DK19" s="18">
        <v>0</v>
      </c>
      <c r="DL19" s="317">
        <v>0</v>
      </c>
      <c r="DM19" s="18">
        <v>0</v>
      </c>
      <c r="DN19" s="18">
        <v>0</v>
      </c>
      <c r="DO19" s="317">
        <v>0</v>
      </c>
      <c r="DP19" s="18">
        <v>0</v>
      </c>
      <c r="DQ19" s="18">
        <v>0</v>
      </c>
      <c r="DR19" s="317">
        <v>0</v>
      </c>
      <c r="DS19" s="18">
        <v>0</v>
      </c>
      <c r="DT19" s="18">
        <v>0</v>
      </c>
      <c r="DU19" s="317">
        <v>0</v>
      </c>
      <c r="DV19" s="18">
        <v>0</v>
      </c>
      <c r="DW19" s="18">
        <v>0</v>
      </c>
      <c r="DX19" s="317">
        <v>0</v>
      </c>
      <c r="DY19" s="18">
        <v>0</v>
      </c>
      <c r="DZ19" s="18">
        <v>0</v>
      </c>
      <c r="EA19" s="317">
        <v>0</v>
      </c>
      <c r="EB19" s="18">
        <v>0</v>
      </c>
      <c r="EC19" s="18">
        <v>0</v>
      </c>
      <c r="ED19" s="317">
        <v>0</v>
      </c>
      <c r="EE19" s="18">
        <v>0</v>
      </c>
      <c r="EF19" s="18">
        <v>0</v>
      </c>
      <c r="EG19" s="317">
        <v>0</v>
      </c>
      <c r="EH19" s="18">
        <v>0</v>
      </c>
      <c r="EI19" s="18">
        <v>0</v>
      </c>
      <c r="EJ19" s="317">
        <v>0</v>
      </c>
      <c r="EK19" s="18">
        <v>0</v>
      </c>
      <c r="EL19" s="18">
        <v>0</v>
      </c>
      <c r="EM19" s="317">
        <v>0</v>
      </c>
      <c r="EN19" s="640"/>
      <c r="EO19" s="531"/>
      <c r="EP19" s="531"/>
      <c r="EQ19" s="531"/>
      <c r="ER19" s="531"/>
      <c r="ES19" s="531"/>
      <c r="ET19" s="531"/>
      <c r="EU19" s="339"/>
    </row>
    <row r="20" spans="1:151" ht="12.75">
      <c r="A20" s="40">
        <v>43851</v>
      </c>
      <c r="B20" s="84">
        <f t="shared" ref="B20:D20" si="16">SUM(I20,AA20,AD20,AG20,AJ20,AM20,BB20,BE20,BW20,CL20,CO20,CX20,DA20,DJ20,EE20,)</f>
        <v>1</v>
      </c>
      <c r="C20" s="41">
        <f t="shared" si="16"/>
        <v>0</v>
      </c>
      <c r="D20" s="41">
        <f t="shared" si="16"/>
        <v>0</v>
      </c>
      <c r="E20" s="16">
        <f t="shared" si="2"/>
        <v>1</v>
      </c>
      <c r="F20" s="15">
        <v>0</v>
      </c>
      <c r="G20" s="15">
        <v>0</v>
      </c>
      <c r="H20" s="17">
        <v>0</v>
      </c>
      <c r="I20" s="15">
        <v>0</v>
      </c>
      <c r="J20" s="15">
        <v>0</v>
      </c>
      <c r="K20" s="17">
        <v>0</v>
      </c>
      <c r="L20" s="15">
        <v>0</v>
      </c>
      <c r="M20" s="15">
        <v>0</v>
      </c>
      <c r="N20" s="17">
        <v>0</v>
      </c>
      <c r="O20" s="15">
        <v>0</v>
      </c>
      <c r="P20" s="15">
        <v>0</v>
      </c>
      <c r="Q20" s="17">
        <v>0</v>
      </c>
      <c r="R20" s="15">
        <v>0</v>
      </c>
      <c r="S20" s="15">
        <v>0</v>
      </c>
      <c r="T20" s="17">
        <v>0</v>
      </c>
      <c r="U20" s="15">
        <v>0</v>
      </c>
      <c r="V20" s="15">
        <v>0</v>
      </c>
      <c r="W20" s="17">
        <v>0</v>
      </c>
      <c r="X20" s="15">
        <v>0</v>
      </c>
      <c r="Y20" s="15">
        <v>0</v>
      </c>
      <c r="Z20" s="17">
        <v>0</v>
      </c>
      <c r="AA20" s="15">
        <v>0</v>
      </c>
      <c r="AB20" s="15">
        <v>0</v>
      </c>
      <c r="AC20" s="17">
        <v>0</v>
      </c>
      <c r="AD20" s="15">
        <v>0</v>
      </c>
      <c r="AE20" s="15">
        <v>0</v>
      </c>
      <c r="AF20" s="17">
        <v>0</v>
      </c>
      <c r="AG20" s="15">
        <v>0</v>
      </c>
      <c r="AH20" s="15">
        <v>0</v>
      </c>
      <c r="AI20" s="17">
        <v>0</v>
      </c>
      <c r="AJ20" s="15">
        <v>0</v>
      </c>
      <c r="AK20" s="15">
        <v>0</v>
      </c>
      <c r="AL20" s="17">
        <v>0</v>
      </c>
      <c r="AM20" s="15">
        <v>0</v>
      </c>
      <c r="AN20" s="15">
        <v>0</v>
      </c>
      <c r="AO20" s="17">
        <v>0</v>
      </c>
      <c r="AP20" s="15">
        <v>0</v>
      </c>
      <c r="AQ20" s="15">
        <v>0</v>
      </c>
      <c r="AR20" s="17">
        <v>0</v>
      </c>
      <c r="AS20" s="15">
        <v>0</v>
      </c>
      <c r="AT20" s="15">
        <v>0</v>
      </c>
      <c r="AU20" s="17">
        <v>0</v>
      </c>
      <c r="AV20" s="15">
        <v>0</v>
      </c>
      <c r="AW20" s="15">
        <v>0</v>
      </c>
      <c r="AX20" s="17">
        <v>0</v>
      </c>
      <c r="AY20" s="15">
        <v>0</v>
      </c>
      <c r="AZ20" s="15">
        <v>0</v>
      </c>
      <c r="BA20" s="17">
        <v>0</v>
      </c>
      <c r="BB20" s="15">
        <v>0</v>
      </c>
      <c r="BC20" s="15">
        <v>0</v>
      </c>
      <c r="BD20" s="17">
        <v>0</v>
      </c>
      <c r="BE20" s="87">
        <v>1</v>
      </c>
      <c r="BF20" s="15">
        <v>0</v>
      </c>
      <c r="BG20" s="17">
        <v>0</v>
      </c>
      <c r="BH20" s="15">
        <v>0</v>
      </c>
      <c r="BI20" s="15">
        <v>0</v>
      </c>
      <c r="BJ20" s="17">
        <v>0</v>
      </c>
      <c r="BK20" s="15">
        <v>0</v>
      </c>
      <c r="BL20" s="15">
        <v>0</v>
      </c>
      <c r="BM20" s="17">
        <v>0</v>
      </c>
      <c r="BN20" s="15">
        <v>0</v>
      </c>
      <c r="BO20" s="15">
        <v>0</v>
      </c>
      <c r="BP20" s="17">
        <v>0</v>
      </c>
      <c r="BQ20" s="15">
        <v>0</v>
      </c>
      <c r="BR20" s="15">
        <v>0</v>
      </c>
      <c r="BS20" s="17">
        <v>0</v>
      </c>
      <c r="BT20" s="15">
        <v>0</v>
      </c>
      <c r="BU20" s="15">
        <v>0</v>
      </c>
      <c r="BV20" s="17">
        <v>0</v>
      </c>
      <c r="BW20" s="15">
        <v>0</v>
      </c>
      <c r="BX20" s="15">
        <v>0</v>
      </c>
      <c r="BY20" s="17">
        <v>0</v>
      </c>
      <c r="BZ20" s="15">
        <v>0</v>
      </c>
      <c r="CA20" s="15">
        <v>0</v>
      </c>
      <c r="CB20" s="17">
        <v>0</v>
      </c>
      <c r="CC20" s="15">
        <v>0</v>
      </c>
      <c r="CD20" s="15">
        <v>0</v>
      </c>
      <c r="CE20" s="17">
        <v>0</v>
      </c>
      <c r="CF20" s="15">
        <v>0</v>
      </c>
      <c r="CG20" s="15">
        <v>0</v>
      </c>
      <c r="CH20" s="17">
        <v>0</v>
      </c>
      <c r="CI20" s="15">
        <v>0</v>
      </c>
      <c r="CJ20" s="15">
        <v>0</v>
      </c>
      <c r="CK20" s="17">
        <v>0</v>
      </c>
      <c r="CL20" s="15">
        <v>0</v>
      </c>
      <c r="CM20" s="15">
        <v>0</v>
      </c>
      <c r="CN20" s="17">
        <v>0</v>
      </c>
      <c r="CO20" s="15">
        <v>0</v>
      </c>
      <c r="CP20" s="15">
        <v>0</v>
      </c>
      <c r="CQ20" s="17">
        <v>0</v>
      </c>
      <c r="CR20" s="15">
        <v>0</v>
      </c>
      <c r="CS20" s="15">
        <v>0</v>
      </c>
      <c r="CT20" s="17">
        <v>0</v>
      </c>
      <c r="CU20" s="15">
        <v>0</v>
      </c>
      <c r="CV20" s="15">
        <v>0</v>
      </c>
      <c r="CW20" s="17">
        <v>0</v>
      </c>
      <c r="CX20" s="15">
        <v>0</v>
      </c>
      <c r="CY20" s="15">
        <v>0</v>
      </c>
      <c r="CZ20" s="17">
        <v>0</v>
      </c>
      <c r="DA20" s="15">
        <v>0</v>
      </c>
      <c r="DB20" s="15">
        <v>0</v>
      </c>
      <c r="DC20" s="17">
        <v>0</v>
      </c>
      <c r="DD20" s="15">
        <v>0</v>
      </c>
      <c r="DE20" s="15">
        <v>0</v>
      </c>
      <c r="DF20" s="17">
        <v>0</v>
      </c>
      <c r="DG20" s="15">
        <v>0</v>
      </c>
      <c r="DH20" s="15">
        <v>0</v>
      </c>
      <c r="DI20" s="17">
        <v>0</v>
      </c>
      <c r="DJ20" s="15">
        <v>0</v>
      </c>
      <c r="DK20" s="15">
        <v>0</v>
      </c>
      <c r="DL20" s="17">
        <v>0</v>
      </c>
      <c r="DM20" s="15">
        <v>0</v>
      </c>
      <c r="DN20" s="15">
        <v>0</v>
      </c>
      <c r="DO20" s="17">
        <v>0</v>
      </c>
      <c r="DP20" s="15">
        <v>0</v>
      </c>
      <c r="DQ20" s="15">
        <v>0</v>
      </c>
      <c r="DR20" s="17">
        <v>0</v>
      </c>
      <c r="DS20" s="15">
        <v>0</v>
      </c>
      <c r="DT20" s="15">
        <v>0</v>
      </c>
      <c r="DU20" s="17">
        <v>0</v>
      </c>
      <c r="DV20" s="15">
        <v>0</v>
      </c>
      <c r="DW20" s="15">
        <v>0</v>
      </c>
      <c r="DX20" s="17">
        <v>0</v>
      </c>
      <c r="DY20" s="15">
        <v>0</v>
      </c>
      <c r="DZ20" s="15">
        <v>0</v>
      </c>
      <c r="EA20" s="17">
        <v>0</v>
      </c>
      <c r="EB20" s="15">
        <v>0</v>
      </c>
      <c r="EC20" s="15">
        <v>0</v>
      </c>
      <c r="ED20" s="17">
        <v>0</v>
      </c>
      <c r="EE20" s="15">
        <v>0</v>
      </c>
      <c r="EF20" s="15">
        <v>0</v>
      </c>
      <c r="EG20" s="17">
        <v>0</v>
      </c>
      <c r="EH20" s="15">
        <v>0</v>
      </c>
      <c r="EI20" s="15">
        <v>0</v>
      </c>
      <c r="EJ20" s="17">
        <v>0</v>
      </c>
      <c r="EK20" s="15">
        <v>0</v>
      </c>
      <c r="EL20" s="15">
        <v>0</v>
      </c>
      <c r="EM20" s="17">
        <v>0</v>
      </c>
      <c r="EN20" s="646" t="s">
        <v>826</v>
      </c>
      <c r="EO20" s="531"/>
      <c r="EP20" s="531"/>
      <c r="EQ20" s="531"/>
      <c r="ER20" s="531"/>
      <c r="ES20" s="531"/>
      <c r="ET20" s="531"/>
      <c r="EU20" s="155" t="s">
        <v>827</v>
      </c>
    </row>
    <row r="21" spans="1:151" ht="12.75">
      <c r="A21" s="40">
        <v>43852</v>
      </c>
      <c r="B21" s="84">
        <f t="shared" ref="B21:D21" si="17">SUM(I21,AA21,AD21,AG21,AJ21,AM21,BB21,BE21,BW21,CL21,CO21,CX21,DA21,DJ21,EE21,)</f>
        <v>1</v>
      </c>
      <c r="C21" s="41">
        <f t="shared" si="17"/>
        <v>0</v>
      </c>
      <c r="D21" s="41">
        <f t="shared" si="17"/>
        <v>0</v>
      </c>
      <c r="E21" s="16">
        <f t="shared" si="2"/>
        <v>1</v>
      </c>
      <c r="F21" s="18">
        <v>0</v>
      </c>
      <c r="G21" s="18">
        <v>0</v>
      </c>
      <c r="H21" s="317">
        <v>0</v>
      </c>
      <c r="I21" s="18">
        <v>0</v>
      </c>
      <c r="J21" s="18">
        <v>0</v>
      </c>
      <c r="K21" s="317">
        <v>0</v>
      </c>
      <c r="L21" s="18">
        <v>0</v>
      </c>
      <c r="M21" s="18">
        <v>0</v>
      </c>
      <c r="N21" s="317">
        <v>0</v>
      </c>
      <c r="O21" s="18">
        <v>0</v>
      </c>
      <c r="P21" s="18">
        <v>0</v>
      </c>
      <c r="Q21" s="317">
        <v>0</v>
      </c>
      <c r="R21" s="18">
        <v>0</v>
      </c>
      <c r="S21" s="18">
        <v>0</v>
      </c>
      <c r="T21" s="317">
        <v>0</v>
      </c>
      <c r="U21" s="18">
        <v>0</v>
      </c>
      <c r="V21" s="18">
        <v>0</v>
      </c>
      <c r="W21" s="317">
        <v>0</v>
      </c>
      <c r="X21" s="18">
        <v>0</v>
      </c>
      <c r="Y21" s="18">
        <v>0</v>
      </c>
      <c r="Z21" s="317">
        <v>0</v>
      </c>
      <c r="AA21" s="18">
        <v>0</v>
      </c>
      <c r="AB21" s="18">
        <v>0</v>
      </c>
      <c r="AC21" s="317">
        <v>0</v>
      </c>
      <c r="AD21" s="18">
        <v>0</v>
      </c>
      <c r="AE21" s="18">
        <v>0</v>
      </c>
      <c r="AF21" s="317">
        <v>0</v>
      </c>
      <c r="AG21" s="18">
        <v>0</v>
      </c>
      <c r="AH21" s="18">
        <v>0</v>
      </c>
      <c r="AI21" s="317">
        <v>0</v>
      </c>
      <c r="AJ21" s="18">
        <v>0</v>
      </c>
      <c r="AK21" s="18">
        <v>0</v>
      </c>
      <c r="AL21" s="317">
        <v>0</v>
      </c>
      <c r="AM21" s="18">
        <v>0</v>
      </c>
      <c r="AN21" s="18">
        <v>0</v>
      </c>
      <c r="AO21" s="317">
        <v>0</v>
      </c>
      <c r="AP21" s="18">
        <v>0</v>
      </c>
      <c r="AQ21" s="18">
        <v>0</v>
      </c>
      <c r="AR21" s="317">
        <v>0</v>
      </c>
      <c r="AS21" s="18">
        <v>0</v>
      </c>
      <c r="AT21" s="18">
        <v>0</v>
      </c>
      <c r="AU21" s="317">
        <v>0</v>
      </c>
      <c r="AV21" s="18">
        <v>0</v>
      </c>
      <c r="AW21" s="18">
        <v>0</v>
      </c>
      <c r="AX21" s="317">
        <v>0</v>
      </c>
      <c r="AY21" s="18">
        <v>0</v>
      </c>
      <c r="AZ21" s="18">
        <v>0</v>
      </c>
      <c r="BA21" s="317">
        <v>0</v>
      </c>
      <c r="BB21" s="18">
        <v>0</v>
      </c>
      <c r="BC21" s="18">
        <v>0</v>
      </c>
      <c r="BD21" s="317">
        <v>0</v>
      </c>
      <c r="BE21" s="87">
        <v>1</v>
      </c>
      <c r="BF21" s="18">
        <v>0</v>
      </c>
      <c r="BG21" s="317">
        <v>0</v>
      </c>
      <c r="BH21" s="18">
        <v>0</v>
      </c>
      <c r="BI21" s="18">
        <v>0</v>
      </c>
      <c r="BJ21" s="317">
        <v>0</v>
      </c>
      <c r="BK21" s="18">
        <v>0</v>
      </c>
      <c r="BL21" s="18">
        <v>0</v>
      </c>
      <c r="BM21" s="317">
        <v>0</v>
      </c>
      <c r="BN21" s="18">
        <v>0</v>
      </c>
      <c r="BO21" s="18">
        <v>0</v>
      </c>
      <c r="BP21" s="317">
        <v>0</v>
      </c>
      <c r="BQ21" s="18">
        <v>0</v>
      </c>
      <c r="BR21" s="18">
        <v>0</v>
      </c>
      <c r="BS21" s="317">
        <v>0</v>
      </c>
      <c r="BT21" s="18">
        <v>0</v>
      </c>
      <c r="BU21" s="18">
        <v>0</v>
      </c>
      <c r="BV21" s="317">
        <v>0</v>
      </c>
      <c r="BW21" s="18">
        <v>0</v>
      </c>
      <c r="BX21" s="18">
        <v>0</v>
      </c>
      <c r="BY21" s="317">
        <v>0</v>
      </c>
      <c r="BZ21" s="18">
        <v>0</v>
      </c>
      <c r="CA21" s="18">
        <v>0</v>
      </c>
      <c r="CB21" s="317">
        <v>0</v>
      </c>
      <c r="CC21" s="18">
        <v>0</v>
      </c>
      <c r="CD21" s="18">
        <v>0</v>
      </c>
      <c r="CE21" s="317">
        <v>0</v>
      </c>
      <c r="CF21" s="18">
        <v>0</v>
      </c>
      <c r="CG21" s="18">
        <v>0</v>
      </c>
      <c r="CH21" s="317">
        <v>0</v>
      </c>
      <c r="CI21" s="18">
        <v>0</v>
      </c>
      <c r="CJ21" s="18">
        <v>0</v>
      </c>
      <c r="CK21" s="317">
        <v>0</v>
      </c>
      <c r="CL21" s="18">
        <v>0</v>
      </c>
      <c r="CM21" s="18">
        <v>0</v>
      </c>
      <c r="CN21" s="317">
        <v>0</v>
      </c>
      <c r="CO21" s="18">
        <v>0</v>
      </c>
      <c r="CP21" s="18">
        <v>0</v>
      </c>
      <c r="CQ21" s="317">
        <v>0</v>
      </c>
      <c r="CR21" s="18">
        <v>0</v>
      </c>
      <c r="CS21" s="18">
        <v>0</v>
      </c>
      <c r="CT21" s="317">
        <v>0</v>
      </c>
      <c r="CU21" s="18">
        <v>0</v>
      </c>
      <c r="CV21" s="18">
        <v>0</v>
      </c>
      <c r="CW21" s="317">
        <v>0</v>
      </c>
      <c r="CX21" s="18">
        <v>0</v>
      </c>
      <c r="CY21" s="18">
        <v>0</v>
      </c>
      <c r="CZ21" s="317">
        <v>0</v>
      </c>
      <c r="DA21" s="18">
        <v>0</v>
      </c>
      <c r="DB21" s="18">
        <v>0</v>
      </c>
      <c r="DC21" s="317">
        <v>0</v>
      </c>
      <c r="DD21" s="18">
        <v>0</v>
      </c>
      <c r="DE21" s="18">
        <v>0</v>
      </c>
      <c r="DF21" s="317">
        <v>0</v>
      </c>
      <c r="DG21" s="18">
        <v>0</v>
      </c>
      <c r="DH21" s="18">
        <v>0</v>
      </c>
      <c r="DI21" s="317">
        <v>0</v>
      </c>
      <c r="DJ21" s="18">
        <v>0</v>
      </c>
      <c r="DK21" s="18">
        <v>0</v>
      </c>
      <c r="DL21" s="317">
        <v>0</v>
      </c>
      <c r="DM21" s="18">
        <v>0</v>
      </c>
      <c r="DN21" s="18">
        <v>0</v>
      </c>
      <c r="DO21" s="317">
        <v>0</v>
      </c>
      <c r="DP21" s="18">
        <v>0</v>
      </c>
      <c r="DQ21" s="18">
        <v>0</v>
      </c>
      <c r="DR21" s="317">
        <v>0</v>
      </c>
      <c r="DS21" s="18">
        <v>0</v>
      </c>
      <c r="DT21" s="18">
        <v>0</v>
      </c>
      <c r="DU21" s="317">
        <v>0</v>
      </c>
      <c r="DV21" s="18">
        <v>0</v>
      </c>
      <c r="DW21" s="18">
        <v>0</v>
      </c>
      <c r="DX21" s="317">
        <v>0</v>
      </c>
      <c r="DY21" s="18">
        <v>0</v>
      </c>
      <c r="DZ21" s="18">
        <v>0</v>
      </c>
      <c r="EA21" s="317">
        <v>0</v>
      </c>
      <c r="EB21" s="18">
        <v>0</v>
      </c>
      <c r="EC21" s="18">
        <v>0</v>
      </c>
      <c r="ED21" s="317">
        <v>0</v>
      </c>
      <c r="EE21" s="18">
        <v>0</v>
      </c>
      <c r="EF21" s="18">
        <v>0</v>
      </c>
      <c r="EG21" s="317">
        <v>0</v>
      </c>
      <c r="EH21" s="18">
        <v>0</v>
      </c>
      <c r="EI21" s="18">
        <v>0</v>
      </c>
      <c r="EJ21" s="317">
        <v>0</v>
      </c>
      <c r="EK21" s="18">
        <v>0</v>
      </c>
      <c r="EL21" s="18">
        <v>0</v>
      </c>
      <c r="EM21" s="317">
        <v>0</v>
      </c>
      <c r="EN21" s="640"/>
      <c r="EO21" s="531"/>
      <c r="EP21" s="531"/>
      <c r="EQ21" s="531"/>
      <c r="ER21" s="531"/>
      <c r="ES21" s="531"/>
      <c r="ET21" s="531"/>
      <c r="EU21" s="339"/>
    </row>
    <row r="22" spans="1:151" ht="12.75">
      <c r="A22" s="40">
        <v>43853</v>
      </c>
      <c r="B22" s="84">
        <f t="shared" ref="B22:D22" si="18">SUM(I22,AA22,AD22,AG22,AJ22,AM22,BB22,BE22,BW22,CL22,CO22,CX22,DA22,DJ22,EE22,)</f>
        <v>1</v>
      </c>
      <c r="C22" s="41">
        <f t="shared" si="18"/>
        <v>0</v>
      </c>
      <c r="D22" s="41">
        <f t="shared" si="18"/>
        <v>0</v>
      </c>
      <c r="E22" s="16">
        <f t="shared" si="2"/>
        <v>1</v>
      </c>
      <c r="F22" s="15">
        <v>0</v>
      </c>
      <c r="G22" s="15">
        <v>0</v>
      </c>
      <c r="H22" s="17">
        <v>0</v>
      </c>
      <c r="I22" s="15">
        <v>0</v>
      </c>
      <c r="J22" s="15">
        <v>0</v>
      </c>
      <c r="K22" s="17">
        <v>0</v>
      </c>
      <c r="L22" s="15">
        <v>0</v>
      </c>
      <c r="M22" s="15">
        <v>0</v>
      </c>
      <c r="N22" s="17">
        <v>0</v>
      </c>
      <c r="O22" s="15">
        <v>0</v>
      </c>
      <c r="P22" s="15">
        <v>0</v>
      </c>
      <c r="Q22" s="17">
        <v>0</v>
      </c>
      <c r="R22" s="15">
        <v>0</v>
      </c>
      <c r="S22" s="15">
        <v>0</v>
      </c>
      <c r="T22" s="17">
        <v>0</v>
      </c>
      <c r="U22" s="15">
        <v>0</v>
      </c>
      <c r="V22" s="15">
        <v>0</v>
      </c>
      <c r="W22" s="17">
        <v>0</v>
      </c>
      <c r="X22" s="15">
        <v>0</v>
      </c>
      <c r="Y22" s="15">
        <v>0</v>
      </c>
      <c r="Z22" s="17">
        <v>0</v>
      </c>
      <c r="AA22" s="15">
        <v>0</v>
      </c>
      <c r="AB22" s="15">
        <v>0</v>
      </c>
      <c r="AC22" s="17">
        <v>0</v>
      </c>
      <c r="AD22" s="15">
        <v>0</v>
      </c>
      <c r="AE22" s="15">
        <v>0</v>
      </c>
      <c r="AF22" s="17">
        <v>0</v>
      </c>
      <c r="AG22" s="15">
        <v>0</v>
      </c>
      <c r="AH22" s="15">
        <v>0</v>
      </c>
      <c r="AI22" s="17">
        <v>0</v>
      </c>
      <c r="AJ22" s="15">
        <v>0</v>
      </c>
      <c r="AK22" s="15">
        <v>0</v>
      </c>
      <c r="AL22" s="17">
        <v>0</v>
      </c>
      <c r="AM22" s="15">
        <v>0</v>
      </c>
      <c r="AN22" s="15">
        <v>0</v>
      </c>
      <c r="AO22" s="17">
        <v>0</v>
      </c>
      <c r="AP22" s="15">
        <v>0</v>
      </c>
      <c r="AQ22" s="15">
        <v>0</v>
      </c>
      <c r="AR22" s="17">
        <v>0</v>
      </c>
      <c r="AS22" s="15">
        <v>0</v>
      </c>
      <c r="AT22" s="15">
        <v>0</v>
      </c>
      <c r="AU22" s="17">
        <v>0</v>
      </c>
      <c r="AV22" s="15">
        <v>0</v>
      </c>
      <c r="AW22" s="15">
        <v>0</v>
      </c>
      <c r="AX22" s="17">
        <v>0</v>
      </c>
      <c r="AY22" s="15">
        <v>0</v>
      </c>
      <c r="AZ22" s="15">
        <v>0</v>
      </c>
      <c r="BA22" s="17">
        <v>0</v>
      </c>
      <c r="BB22" s="15">
        <v>0</v>
      </c>
      <c r="BC22" s="15">
        <v>0</v>
      </c>
      <c r="BD22" s="17">
        <v>0</v>
      </c>
      <c r="BE22" s="87">
        <v>1</v>
      </c>
      <c r="BF22" s="15">
        <v>0</v>
      </c>
      <c r="BG22" s="17">
        <v>0</v>
      </c>
      <c r="BH22" s="15">
        <v>0</v>
      </c>
      <c r="BI22" s="15">
        <v>0</v>
      </c>
      <c r="BJ22" s="17">
        <v>0</v>
      </c>
      <c r="BK22" s="15">
        <v>0</v>
      </c>
      <c r="BL22" s="15">
        <v>0</v>
      </c>
      <c r="BM22" s="17">
        <v>0</v>
      </c>
      <c r="BN22" s="15">
        <v>0</v>
      </c>
      <c r="BO22" s="15">
        <v>0</v>
      </c>
      <c r="BP22" s="17">
        <v>0</v>
      </c>
      <c r="BQ22" s="15">
        <v>0</v>
      </c>
      <c r="BR22" s="15">
        <v>0</v>
      </c>
      <c r="BS22" s="17">
        <v>0</v>
      </c>
      <c r="BT22" s="15">
        <v>0</v>
      </c>
      <c r="BU22" s="15">
        <v>0</v>
      </c>
      <c r="BV22" s="17">
        <v>0</v>
      </c>
      <c r="BW22" s="15">
        <v>0</v>
      </c>
      <c r="BX22" s="15">
        <v>0</v>
      </c>
      <c r="BY22" s="17">
        <v>0</v>
      </c>
      <c r="BZ22" s="15">
        <v>0</v>
      </c>
      <c r="CA22" s="15">
        <v>0</v>
      </c>
      <c r="CB22" s="17">
        <v>0</v>
      </c>
      <c r="CC22" s="15">
        <v>0</v>
      </c>
      <c r="CD22" s="15">
        <v>0</v>
      </c>
      <c r="CE22" s="17">
        <v>0</v>
      </c>
      <c r="CF22" s="15">
        <v>0</v>
      </c>
      <c r="CG22" s="15">
        <v>0</v>
      </c>
      <c r="CH22" s="17">
        <v>0</v>
      </c>
      <c r="CI22" s="15">
        <v>0</v>
      </c>
      <c r="CJ22" s="15">
        <v>0</v>
      </c>
      <c r="CK22" s="17">
        <v>0</v>
      </c>
      <c r="CL22" s="15">
        <v>0</v>
      </c>
      <c r="CM22" s="15">
        <v>0</v>
      </c>
      <c r="CN22" s="17">
        <v>0</v>
      </c>
      <c r="CO22" s="15">
        <v>0</v>
      </c>
      <c r="CP22" s="15">
        <v>0</v>
      </c>
      <c r="CQ22" s="17">
        <v>0</v>
      </c>
      <c r="CR22" s="15">
        <v>0</v>
      </c>
      <c r="CS22" s="15">
        <v>0</v>
      </c>
      <c r="CT22" s="17">
        <v>0</v>
      </c>
      <c r="CU22" s="15">
        <v>0</v>
      </c>
      <c r="CV22" s="15">
        <v>0</v>
      </c>
      <c r="CW22" s="17">
        <v>0</v>
      </c>
      <c r="CX22" s="15">
        <v>0</v>
      </c>
      <c r="CY22" s="15">
        <v>0</v>
      </c>
      <c r="CZ22" s="17">
        <v>0</v>
      </c>
      <c r="DA22" s="15">
        <v>0</v>
      </c>
      <c r="DB22" s="15">
        <v>0</v>
      </c>
      <c r="DC22" s="17">
        <v>0</v>
      </c>
      <c r="DD22" s="15">
        <v>0</v>
      </c>
      <c r="DE22" s="15">
        <v>0</v>
      </c>
      <c r="DF22" s="17">
        <v>0</v>
      </c>
      <c r="DG22" s="15">
        <v>0</v>
      </c>
      <c r="DH22" s="15">
        <v>0</v>
      </c>
      <c r="DI22" s="17">
        <v>0</v>
      </c>
      <c r="DJ22" s="15">
        <v>0</v>
      </c>
      <c r="DK22" s="15">
        <v>0</v>
      </c>
      <c r="DL22" s="17">
        <v>0</v>
      </c>
      <c r="DM22" s="15">
        <v>0</v>
      </c>
      <c r="DN22" s="15">
        <v>0</v>
      </c>
      <c r="DO22" s="17">
        <v>0</v>
      </c>
      <c r="DP22" s="15">
        <v>0</v>
      </c>
      <c r="DQ22" s="15">
        <v>0</v>
      </c>
      <c r="DR22" s="17">
        <v>0</v>
      </c>
      <c r="DS22" s="15">
        <v>0</v>
      </c>
      <c r="DT22" s="15">
        <v>0</v>
      </c>
      <c r="DU22" s="17">
        <v>0</v>
      </c>
      <c r="DV22" s="15">
        <v>0</v>
      </c>
      <c r="DW22" s="15">
        <v>0</v>
      </c>
      <c r="DX22" s="17">
        <v>0</v>
      </c>
      <c r="DY22" s="15">
        <v>0</v>
      </c>
      <c r="DZ22" s="15">
        <v>0</v>
      </c>
      <c r="EA22" s="17">
        <v>0</v>
      </c>
      <c r="EB22" s="15">
        <v>0</v>
      </c>
      <c r="EC22" s="15">
        <v>0</v>
      </c>
      <c r="ED22" s="17">
        <v>0</v>
      </c>
      <c r="EE22" s="15">
        <v>0</v>
      </c>
      <c r="EF22" s="15">
        <v>0</v>
      </c>
      <c r="EG22" s="17">
        <v>0</v>
      </c>
      <c r="EH22" s="15">
        <v>0</v>
      </c>
      <c r="EI22" s="15">
        <v>0</v>
      </c>
      <c r="EJ22" s="17">
        <v>0</v>
      </c>
      <c r="EK22" s="15">
        <v>0</v>
      </c>
      <c r="EL22" s="15">
        <v>0</v>
      </c>
      <c r="EM22" s="17">
        <v>0</v>
      </c>
      <c r="EN22" s="640"/>
      <c r="EO22" s="531"/>
      <c r="EP22" s="531"/>
      <c r="EQ22" s="531"/>
      <c r="ER22" s="531"/>
      <c r="ES22" s="531"/>
      <c r="ET22" s="531"/>
      <c r="EU22" s="339"/>
    </row>
    <row r="23" spans="1:151" ht="12.75">
      <c r="A23" s="93">
        <v>43854</v>
      </c>
      <c r="B23" s="84">
        <f t="shared" ref="B23:D23" si="19">SUM(I23,AA23,AD23,AG23,AJ23,AM23,BB23,BE23,BW23,CL23,CO23,CX23,DA23,DJ23,EE23,)</f>
        <v>2</v>
      </c>
      <c r="C23" s="41">
        <f t="shared" si="19"/>
        <v>0</v>
      </c>
      <c r="D23" s="41">
        <f t="shared" si="19"/>
        <v>0</v>
      </c>
      <c r="E23" s="16">
        <f t="shared" si="2"/>
        <v>2</v>
      </c>
      <c r="F23" s="18">
        <v>0</v>
      </c>
      <c r="G23" s="18">
        <v>0</v>
      </c>
      <c r="H23" s="317">
        <v>0</v>
      </c>
      <c r="I23" s="18">
        <v>0</v>
      </c>
      <c r="J23" s="18">
        <v>0</v>
      </c>
      <c r="K23" s="317">
        <v>0</v>
      </c>
      <c r="L23" s="18">
        <v>0</v>
      </c>
      <c r="M23" s="18">
        <v>0</v>
      </c>
      <c r="N23" s="317">
        <v>0</v>
      </c>
      <c r="O23" s="18">
        <v>0</v>
      </c>
      <c r="P23" s="18">
        <v>0</v>
      </c>
      <c r="Q23" s="317">
        <v>0</v>
      </c>
      <c r="R23" s="18">
        <v>0</v>
      </c>
      <c r="S23" s="18">
        <v>0</v>
      </c>
      <c r="T23" s="317">
        <v>0</v>
      </c>
      <c r="U23" s="18">
        <v>0</v>
      </c>
      <c r="V23" s="18">
        <v>0</v>
      </c>
      <c r="W23" s="317">
        <v>0</v>
      </c>
      <c r="X23" s="18">
        <v>0</v>
      </c>
      <c r="Y23" s="18">
        <v>0</v>
      </c>
      <c r="Z23" s="317">
        <v>0</v>
      </c>
      <c r="AA23" s="18">
        <v>0</v>
      </c>
      <c r="AB23" s="18">
        <v>0</v>
      </c>
      <c r="AC23" s="317">
        <v>0</v>
      </c>
      <c r="AD23" s="18">
        <v>0</v>
      </c>
      <c r="AE23" s="18">
        <v>0</v>
      </c>
      <c r="AF23" s="317">
        <v>0</v>
      </c>
      <c r="AG23" s="18">
        <v>0</v>
      </c>
      <c r="AH23" s="18">
        <v>0</v>
      </c>
      <c r="AI23" s="317">
        <v>0</v>
      </c>
      <c r="AJ23" s="18">
        <v>0</v>
      </c>
      <c r="AK23" s="18">
        <v>0</v>
      </c>
      <c r="AL23" s="317">
        <v>0</v>
      </c>
      <c r="AM23" s="18">
        <v>0</v>
      </c>
      <c r="AN23" s="18">
        <v>0</v>
      </c>
      <c r="AO23" s="317">
        <v>0</v>
      </c>
      <c r="AP23" s="18">
        <v>0</v>
      </c>
      <c r="AQ23" s="18">
        <v>0</v>
      </c>
      <c r="AR23" s="317">
        <v>0</v>
      </c>
      <c r="AS23" s="18">
        <v>0</v>
      </c>
      <c r="AT23" s="18">
        <v>0</v>
      </c>
      <c r="AU23" s="317">
        <v>0</v>
      </c>
      <c r="AV23" s="18">
        <v>0</v>
      </c>
      <c r="AW23" s="18">
        <v>0</v>
      </c>
      <c r="AX23" s="317">
        <v>0</v>
      </c>
      <c r="AY23" s="18">
        <v>0</v>
      </c>
      <c r="AZ23" s="18">
        <v>0</v>
      </c>
      <c r="BA23" s="317">
        <v>0</v>
      </c>
      <c r="BB23" s="18">
        <v>0</v>
      </c>
      <c r="BC23" s="18">
        <v>0</v>
      </c>
      <c r="BD23" s="317">
        <v>0</v>
      </c>
      <c r="BE23" s="105">
        <v>2</v>
      </c>
      <c r="BF23" s="18">
        <v>0</v>
      </c>
      <c r="BG23" s="317">
        <v>0</v>
      </c>
      <c r="BH23" s="18">
        <v>0</v>
      </c>
      <c r="BI23" s="18">
        <v>0</v>
      </c>
      <c r="BJ23" s="317">
        <v>0</v>
      </c>
      <c r="BK23" s="18">
        <v>0</v>
      </c>
      <c r="BL23" s="18">
        <v>0</v>
      </c>
      <c r="BM23" s="317">
        <v>0</v>
      </c>
      <c r="BN23" s="18">
        <v>0</v>
      </c>
      <c r="BO23" s="18">
        <v>0</v>
      </c>
      <c r="BP23" s="317">
        <v>0</v>
      </c>
      <c r="BQ23" s="18">
        <v>0</v>
      </c>
      <c r="BR23" s="18">
        <v>0</v>
      </c>
      <c r="BS23" s="317">
        <v>0</v>
      </c>
      <c r="BT23" s="18">
        <v>0</v>
      </c>
      <c r="BU23" s="18">
        <v>0</v>
      </c>
      <c r="BV23" s="317">
        <v>0</v>
      </c>
      <c r="BW23" s="18">
        <v>0</v>
      </c>
      <c r="BX23" s="18">
        <v>0</v>
      </c>
      <c r="BY23" s="317">
        <v>0</v>
      </c>
      <c r="BZ23" s="18">
        <v>0</v>
      </c>
      <c r="CA23" s="18">
        <v>0</v>
      </c>
      <c r="CB23" s="317">
        <v>0</v>
      </c>
      <c r="CC23" s="18">
        <v>0</v>
      </c>
      <c r="CD23" s="18">
        <v>0</v>
      </c>
      <c r="CE23" s="317">
        <v>0</v>
      </c>
      <c r="CF23" s="18">
        <v>0</v>
      </c>
      <c r="CG23" s="18">
        <v>0</v>
      </c>
      <c r="CH23" s="317">
        <v>0</v>
      </c>
      <c r="CI23" s="18">
        <v>0</v>
      </c>
      <c r="CJ23" s="18">
        <v>0</v>
      </c>
      <c r="CK23" s="317">
        <v>0</v>
      </c>
      <c r="CL23" s="18">
        <v>0</v>
      </c>
      <c r="CM23" s="18">
        <v>0</v>
      </c>
      <c r="CN23" s="317">
        <v>0</v>
      </c>
      <c r="CO23" s="18">
        <v>0</v>
      </c>
      <c r="CP23" s="18">
        <v>0</v>
      </c>
      <c r="CQ23" s="317">
        <v>0</v>
      </c>
      <c r="CR23" s="18">
        <v>0</v>
      </c>
      <c r="CS23" s="18">
        <v>0</v>
      </c>
      <c r="CT23" s="317">
        <v>0</v>
      </c>
      <c r="CU23" s="18">
        <v>0</v>
      </c>
      <c r="CV23" s="18">
        <v>0</v>
      </c>
      <c r="CW23" s="317">
        <v>0</v>
      </c>
      <c r="CX23" s="18">
        <v>0</v>
      </c>
      <c r="CY23" s="18">
        <v>0</v>
      </c>
      <c r="CZ23" s="317">
        <v>0</v>
      </c>
      <c r="DA23" s="18">
        <v>0</v>
      </c>
      <c r="DB23" s="18">
        <v>0</v>
      </c>
      <c r="DC23" s="317">
        <v>0</v>
      </c>
      <c r="DD23" s="18">
        <v>0</v>
      </c>
      <c r="DE23" s="18">
        <v>0</v>
      </c>
      <c r="DF23" s="317">
        <v>0</v>
      </c>
      <c r="DG23" s="18">
        <v>0</v>
      </c>
      <c r="DH23" s="18">
        <v>0</v>
      </c>
      <c r="DI23" s="317">
        <v>0</v>
      </c>
      <c r="DJ23" s="18">
        <v>0</v>
      </c>
      <c r="DK23" s="18">
        <v>0</v>
      </c>
      <c r="DL23" s="317">
        <v>0</v>
      </c>
      <c r="DM23" s="18">
        <v>0</v>
      </c>
      <c r="DN23" s="18">
        <v>0</v>
      </c>
      <c r="DO23" s="317">
        <v>0</v>
      </c>
      <c r="DP23" s="18">
        <v>0</v>
      </c>
      <c r="DQ23" s="18">
        <v>0</v>
      </c>
      <c r="DR23" s="317">
        <v>0</v>
      </c>
      <c r="DS23" s="18">
        <v>0</v>
      </c>
      <c r="DT23" s="18">
        <v>0</v>
      </c>
      <c r="DU23" s="317">
        <v>0</v>
      </c>
      <c r="DV23" s="18">
        <v>0</v>
      </c>
      <c r="DW23" s="18">
        <v>0</v>
      </c>
      <c r="DX23" s="317">
        <v>0</v>
      </c>
      <c r="DY23" s="18">
        <v>0</v>
      </c>
      <c r="DZ23" s="18">
        <v>0</v>
      </c>
      <c r="EA23" s="317">
        <v>0</v>
      </c>
      <c r="EB23" s="18">
        <v>0</v>
      </c>
      <c r="EC23" s="18">
        <v>0</v>
      </c>
      <c r="ED23" s="317">
        <v>0</v>
      </c>
      <c r="EE23" s="18">
        <v>0</v>
      </c>
      <c r="EF23" s="18">
        <v>0</v>
      </c>
      <c r="EG23" s="317">
        <v>0</v>
      </c>
      <c r="EH23" s="18">
        <v>0</v>
      </c>
      <c r="EI23" s="18">
        <v>0</v>
      </c>
      <c r="EJ23" s="317">
        <v>0</v>
      </c>
      <c r="EK23" s="18">
        <v>0</v>
      </c>
      <c r="EL23" s="18">
        <v>0</v>
      </c>
      <c r="EM23" s="317">
        <v>0</v>
      </c>
      <c r="EN23" s="646" t="s">
        <v>830</v>
      </c>
      <c r="EO23" s="531"/>
      <c r="EP23" s="531"/>
      <c r="EQ23" s="531"/>
      <c r="ER23" s="531"/>
      <c r="ES23" s="531"/>
      <c r="ET23" s="531"/>
      <c r="EU23" s="56" t="s">
        <v>831</v>
      </c>
    </row>
    <row r="24" spans="1:151" ht="12.75">
      <c r="A24" s="40">
        <v>43855</v>
      </c>
      <c r="B24" s="84">
        <f t="shared" ref="B24:D24" si="20">SUM(I24,AA24,AD24,AG24,AJ24,AM24,BB24,BE24,BW24,CL24,CO24,CX24,DA24,DJ24,EE24,)</f>
        <v>2</v>
      </c>
      <c r="C24" s="41">
        <f t="shared" si="20"/>
        <v>0</v>
      </c>
      <c r="D24" s="41">
        <f t="shared" si="20"/>
        <v>0</v>
      </c>
      <c r="E24" s="16">
        <f t="shared" si="2"/>
        <v>2</v>
      </c>
      <c r="F24" s="15">
        <v>0</v>
      </c>
      <c r="G24" s="15">
        <v>0</v>
      </c>
      <c r="H24" s="17">
        <v>0</v>
      </c>
      <c r="I24" s="15">
        <v>0</v>
      </c>
      <c r="J24" s="15">
        <v>0</v>
      </c>
      <c r="K24" s="17">
        <v>0</v>
      </c>
      <c r="L24" s="15">
        <v>0</v>
      </c>
      <c r="M24" s="15">
        <v>0</v>
      </c>
      <c r="N24" s="17">
        <v>0</v>
      </c>
      <c r="O24" s="15">
        <v>0</v>
      </c>
      <c r="P24" s="15">
        <v>0</v>
      </c>
      <c r="Q24" s="17">
        <v>0</v>
      </c>
      <c r="R24" s="15">
        <v>0</v>
      </c>
      <c r="S24" s="15">
        <v>0</v>
      </c>
      <c r="T24" s="17">
        <v>0</v>
      </c>
      <c r="U24" s="15">
        <v>0</v>
      </c>
      <c r="V24" s="15">
        <v>0</v>
      </c>
      <c r="W24" s="17">
        <v>0</v>
      </c>
      <c r="X24" s="15">
        <v>0</v>
      </c>
      <c r="Y24" s="15">
        <v>0</v>
      </c>
      <c r="Z24" s="17">
        <v>0</v>
      </c>
      <c r="AA24" s="15">
        <v>0</v>
      </c>
      <c r="AB24" s="15">
        <v>0</v>
      </c>
      <c r="AC24" s="17">
        <v>0</v>
      </c>
      <c r="AD24" s="15">
        <v>0</v>
      </c>
      <c r="AE24" s="15">
        <v>0</v>
      </c>
      <c r="AF24" s="17">
        <v>0</v>
      </c>
      <c r="AG24" s="15">
        <v>0</v>
      </c>
      <c r="AH24" s="15">
        <v>0</v>
      </c>
      <c r="AI24" s="17">
        <v>0</v>
      </c>
      <c r="AJ24" s="15">
        <v>0</v>
      </c>
      <c r="AK24" s="15">
        <v>0</v>
      </c>
      <c r="AL24" s="17">
        <v>0</v>
      </c>
      <c r="AM24" s="15">
        <v>0</v>
      </c>
      <c r="AN24" s="15">
        <v>0</v>
      </c>
      <c r="AO24" s="17">
        <v>0</v>
      </c>
      <c r="AP24" s="15">
        <v>0</v>
      </c>
      <c r="AQ24" s="15">
        <v>0</v>
      </c>
      <c r="AR24" s="17">
        <v>0</v>
      </c>
      <c r="AS24" s="15">
        <v>0</v>
      </c>
      <c r="AT24" s="15">
        <v>0</v>
      </c>
      <c r="AU24" s="17">
        <v>0</v>
      </c>
      <c r="AV24" s="15">
        <v>0</v>
      </c>
      <c r="AW24" s="15">
        <v>0</v>
      </c>
      <c r="AX24" s="17">
        <v>0</v>
      </c>
      <c r="AY24" s="15">
        <v>0</v>
      </c>
      <c r="AZ24" s="15">
        <v>0</v>
      </c>
      <c r="BA24" s="17">
        <v>0</v>
      </c>
      <c r="BB24" s="15">
        <v>0</v>
      </c>
      <c r="BC24" s="15">
        <v>0</v>
      </c>
      <c r="BD24" s="17">
        <v>0</v>
      </c>
      <c r="BE24" s="87">
        <v>2</v>
      </c>
      <c r="BF24" s="15">
        <v>0</v>
      </c>
      <c r="BG24" s="17">
        <v>0</v>
      </c>
      <c r="BH24" s="15">
        <v>0</v>
      </c>
      <c r="BI24" s="15">
        <v>0</v>
      </c>
      <c r="BJ24" s="17">
        <v>0</v>
      </c>
      <c r="BK24" s="15">
        <v>0</v>
      </c>
      <c r="BL24" s="15">
        <v>0</v>
      </c>
      <c r="BM24" s="17">
        <v>0</v>
      </c>
      <c r="BN24" s="15">
        <v>0</v>
      </c>
      <c r="BO24" s="15">
        <v>0</v>
      </c>
      <c r="BP24" s="17">
        <v>0</v>
      </c>
      <c r="BQ24" s="15">
        <v>0</v>
      </c>
      <c r="BR24" s="15">
        <v>0</v>
      </c>
      <c r="BS24" s="17">
        <v>0</v>
      </c>
      <c r="BT24" s="15">
        <v>0</v>
      </c>
      <c r="BU24" s="15">
        <v>0</v>
      </c>
      <c r="BV24" s="17">
        <v>0</v>
      </c>
      <c r="BW24" s="15">
        <v>0</v>
      </c>
      <c r="BX24" s="15">
        <v>0</v>
      </c>
      <c r="BY24" s="17">
        <v>0</v>
      </c>
      <c r="BZ24" s="15">
        <v>0</v>
      </c>
      <c r="CA24" s="15">
        <v>0</v>
      </c>
      <c r="CB24" s="17">
        <v>0</v>
      </c>
      <c r="CC24" s="15">
        <v>0</v>
      </c>
      <c r="CD24" s="15">
        <v>0</v>
      </c>
      <c r="CE24" s="17">
        <v>0</v>
      </c>
      <c r="CF24" s="15">
        <v>0</v>
      </c>
      <c r="CG24" s="15">
        <v>0</v>
      </c>
      <c r="CH24" s="17">
        <v>0</v>
      </c>
      <c r="CI24" s="15">
        <v>0</v>
      </c>
      <c r="CJ24" s="15">
        <v>0</v>
      </c>
      <c r="CK24" s="17">
        <v>0</v>
      </c>
      <c r="CL24" s="15">
        <v>0</v>
      </c>
      <c r="CM24" s="15">
        <v>0</v>
      </c>
      <c r="CN24" s="17">
        <v>0</v>
      </c>
      <c r="CO24" s="15">
        <v>0</v>
      </c>
      <c r="CP24" s="15">
        <v>0</v>
      </c>
      <c r="CQ24" s="17">
        <v>0</v>
      </c>
      <c r="CR24" s="15">
        <v>0</v>
      </c>
      <c r="CS24" s="15">
        <v>0</v>
      </c>
      <c r="CT24" s="17">
        <v>0</v>
      </c>
      <c r="CU24" s="15">
        <v>0</v>
      </c>
      <c r="CV24" s="15">
        <v>0</v>
      </c>
      <c r="CW24" s="17">
        <v>0</v>
      </c>
      <c r="CX24" s="15">
        <v>0</v>
      </c>
      <c r="CY24" s="15">
        <v>0</v>
      </c>
      <c r="CZ24" s="17">
        <v>0</v>
      </c>
      <c r="DA24" s="15">
        <v>0</v>
      </c>
      <c r="DB24" s="15">
        <v>0</v>
      </c>
      <c r="DC24" s="17">
        <v>0</v>
      </c>
      <c r="DD24" s="15">
        <v>0</v>
      </c>
      <c r="DE24" s="15">
        <v>0</v>
      </c>
      <c r="DF24" s="17">
        <v>0</v>
      </c>
      <c r="DG24" s="15">
        <v>0</v>
      </c>
      <c r="DH24" s="15">
        <v>0</v>
      </c>
      <c r="DI24" s="17">
        <v>0</v>
      </c>
      <c r="DJ24" s="15">
        <v>0</v>
      </c>
      <c r="DK24" s="15">
        <v>0</v>
      </c>
      <c r="DL24" s="17">
        <v>0</v>
      </c>
      <c r="DM24" s="15">
        <v>0</v>
      </c>
      <c r="DN24" s="15">
        <v>0</v>
      </c>
      <c r="DO24" s="17">
        <v>0</v>
      </c>
      <c r="DP24" s="15">
        <v>0</v>
      </c>
      <c r="DQ24" s="15">
        <v>0</v>
      </c>
      <c r="DR24" s="17">
        <v>0</v>
      </c>
      <c r="DS24" s="15">
        <v>0</v>
      </c>
      <c r="DT24" s="15">
        <v>0</v>
      </c>
      <c r="DU24" s="17">
        <v>0</v>
      </c>
      <c r="DV24" s="15">
        <v>0</v>
      </c>
      <c r="DW24" s="15">
        <v>0</v>
      </c>
      <c r="DX24" s="17">
        <v>0</v>
      </c>
      <c r="DY24" s="15">
        <v>0</v>
      </c>
      <c r="DZ24" s="15">
        <v>0</v>
      </c>
      <c r="EA24" s="17">
        <v>0</v>
      </c>
      <c r="EB24" s="15">
        <v>0</v>
      </c>
      <c r="EC24" s="15">
        <v>0</v>
      </c>
      <c r="ED24" s="17">
        <v>0</v>
      </c>
      <c r="EE24" s="15">
        <v>0</v>
      </c>
      <c r="EF24" s="15">
        <v>0</v>
      </c>
      <c r="EG24" s="17">
        <v>0</v>
      </c>
      <c r="EH24" s="15">
        <v>0</v>
      </c>
      <c r="EI24" s="15">
        <v>0</v>
      </c>
      <c r="EJ24" s="17">
        <v>0</v>
      </c>
      <c r="EK24" s="15">
        <v>0</v>
      </c>
      <c r="EL24" s="15">
        <v>0</v>
      </c>
      <c r="EM24" s="17">
        <v>0</v>
      </c>
      <c r="EN24" s="640"/>
      <c r="EO24" s="531"/>
      <c r="EP24" s="531"/>
      <c r="EQ24" s="531"/>
      <c r="ER24" s="531"/>
      <c r="ES24" s="531"/>
      <c r="ET24" s="531"/>
      <c r="EU24" s="339"/>
    </row>
    <row r="25" spans="1:151" ht="12.75">
      <c r="A25" s="40">
        <v>43856</v>
      </c>
      <c r="B25" s="84">
        <f t="shared" ref="B25:D25" si="21">SUM(I25,AA25,AD25,AG25,AJ25,AM25,BB25,BE25,BW25,CL25,CO25,CX25,DA25,DJ25,EE25,)</f>
        <v>6</v>
      </c>
      <c r="C25" s="41">
        <f t="shared" si="21"/>
        <v>0</v>
      </c>
      <c r="D25" s="41">
        <f t="shared" si="21"/>
        <v>0</v>
      </c>
      <c r="E25" s="16">
        <f t="shared" si="2"/>
        <v>6</v>
      </c>
      <c r="F25" s="18">
        <v>0</v>
      </c>
      <c r="G25" s="18">
        <v>0</v>
      </c>
      <c r="H25" s="317">
        <v>0</v>
      </c>
      <c r="I25" s="18">
        <v>0</v>
      </c>
      <c r="J25" s="18">
        <v>0</v>
      </c>
      <c r="K25" s="317">
        <v>0</v>
      </c>
      <c r="L25" s="18">
        <v>0</v>
      </c>
      <c r="M25" s="18">
        <v>0</v>
      </c>
      <c r="N25" s="317">
        <v>0</v>
      </c>
      <c r="O25" s="18">
        <v>0</v>
      </c>
      <c r="P25" s="18">
        <v>0</v>
      </c>
      <c r="Q25" s="317">
        <v>0</v>
      </c>
      <c r="R25" s="18">
        <v>0</v>
      </c>
      <c r="S25" s="18">
        <v>0</v>
      </c>
      <c r="T25" s="317">
        <v>0</v>
      </c>
      <c r="U25" s="18">
        <v>0</v>
      </c>
      <c r="V25" s="18">
        <v>0</v>
      </c>
      <c r="W25" s="317">
        <v>0</v>
      </c>
      <c r="X25" s="18">
        <v>0</v>
      </c>
      <c r="Y25" s="18">
        <v>0</v>
      </c>
      <c r="Z25" s="317">
        <v>0</v>
      </c>
      <c r="AA25" s="18">
        <v>0</v>
      </c>
      <c r="AB25" s="18">
        <v>0</v>
      </c>
      <c r="AC25" s="317">
        <v>0</v>
      </c>
      <c r="AD25" s="105">
        <v>1</v>
      </c>
      <c r="AE25" s="18">
        <v>0</v>
      </c>
      <c r="AF25" s="317">
        <v>0</v>
      </c>
      <c r="AG25" s="18">
        <v>0</v>
      </c>
      <c r="AH25" s="18">
        <v>0</v>
      </c>
      <c r="AI25" s="317">
        <v>0</v>
      </c>
      <c r="AJ25" s="18">
        <v>0</v>
      </c>
      <c r="AK25" s="18">
        <v>0</v>
      </c>
      <c r="AL25" s="317">
        <v>0</v>
      </c>
      <c r="AM25" s="18">
        <v>0</v>
      </c>
      <c r="AN25" s="18">
        <v>0</v>
      </c>
      <c r="AO25" s="317">
        <v>0</v>
      </c>
      <c r="AP25" s="18">
        <v>0</v>
      </c>
      <c r="AQ25" s="18">
        <v>0</v>
      </c>
      <c r="AR25" s="317">
        <v>0</v>
      </c>
      <c r="AS25" s="18">
        <v>0</v>
      </c>
      <c r="AT25" s="18">
        <v>0</v>
      </c>
      <c r="AU25" s="317">
        <v>0</v>
      </c>
      <c r="AV25" s="18">
        <v>0</v>
      </c>
      <c r="AW25" s="18">
        <v>0</v>
      </c>
      <c r="AX25" s="317">
        <v>0</v>
      </c>
      <c r="AY25" s="18">
        <v>0</v>
      </c>
      <c r="AZ25" s="18">
        <v>0</v>
      </c>
      <c r="BA25" s="317">
        <v>0</v>
      </c>
      <c r="BB25" s="18">
        <v>0</v>
      </c>
      <c r="BC25" s="18">
        <v>0</v>
      </c>
      <c r="BD25" s="317">
        <v>0</v>
      </c>
      <c r="BE25" s="105">
        <v>5</v>
      </c>
      <c r="BF25" s="18">
        <v>0</v>
      </c>
      <c r="BG25" s="317">
        <v>0</v>
      </c>
      <c r="BH25" s="18">
        <v>0</v>
      </c>
      <c r="BI25" s="18">
        <v>0</v>
      </c>
      <c r="BJ25" s="317">
        <v>0</v>
      </c>
      <c r="BK25" s="18">
        <v>0</v>
      </c>
      <c r="BL25" s="18">
        <v>0</v>
      </c>
      <c r="BM25" s="317">
        <v>0</v>
      </c>
      <c r="BN25" s="18">
        <v>0</v>
      </c>
      <c r="BO25" s="18">
        <v>0</v>
      </c>
      <c r="BP25" s="317">
        <v>0</v>
      </c>
      <c r="BQ25" s="18">
        <v>0</v>
      </c>
      <c r="BR25" s="18">
        <v>0</v>
      </c>
      <c r="BS25" s="317">
        <v>0</v>
      </c>
      <c r="BT25" s="18">
        <v>0</v>
      </c>
      <c r="BU25" s="18">
        <v>0</v>
      </c>
      <c r="BV25" s="317">
        <v>0</v>
      </c>
      <c r="BW25" s="18">
        <v>0</v>
      </c>
      <c r="BX25" s="18">
        <v>0</v>
      </c>
      <c r="BY25" s="317">
        <v>0</v>
      </c>
      <c r="BZ25" s="18">
        <v>0</v>
      </c>
      <c r="CA25" s="18">
        <v>0</v>
      </c>
      <c r="CB25" s="317">
        <v>0</v>
      </c>
      <c r="CC25" s="18">
        <v>0</v>
      </c>
      <c r="CD25" s="18">
        <v>0</v>
      </c>
      <c r="CE25" s="317">
        <v>0</v>
      </c>
      <c r="CF25" s="18">
        <v>0</v>
      </c>
      <c r="CG25" s="18">
        <v>0</v>
      </c>
      <c r="CH25" s="317">
        <v>0</v>
      </c>
      <c r="CI25" s="18">
        <v>0</v>
      </c>
      <c r="CJ25" s="18">
        <v>0</v>
      </c>
      <c r="CK25" s="317">
        <v>0</v>
      </c>
      <c r="CL25" s="18">
        <v>0</v>
      </c>
      <c r="CM25" s="18">
        <v>0</v>
      </c>
      <c r="CN25" s="317">
        <v>0</v>
      </c>
      <c r="CO25" s="18">
        <v>0</v>
      </c>
      <c r="CP25" s="18">
        <v>0</v>
      </c>
      <c r="CQ25" s="317">
        <v>0</v>
      </c>
      <c r="CR25" s="18">
        <v>0</v>
      </c>
      <c r="CS25" s="18">
        <v>0</v>
      </c>
      <c r="CT25" s="317">
        <v>0</v>
      </c>
      <c r="CU25" s="18">
        <v>0</v>
      </c>
      <c r="CV25" s="18">
        <v>0</v>
      </c>
      <c r="CW25" s="317">
        <v>0</v>
      </c>
      <c r="CX25" s="18">
        <v>0</v>
      </c>
      <c r="CY25" s="18">
        <v>0</v>
      </c>
      <c r="CZ25" s="317">
        <v>0</v>
      </c>
      <c r="DA25" s="18">
        <v>0</v>
      </c>
      <c r="DB25" s="18">
        <v>0</v>
      </c>
      <c r="DC25" s="317">
        <v>0</v>
      </c>
      <c r="DD25" s="18">
        <v>0</v>
      </c>
      <c r="DE25" s="18">
        <v>0</v>
      </c>
      <c r="DF25" s="317">
        <v>0</v>
      </c>
      <c r="DG25" s="18">
        <v>0</v>
      </c>
      <c r="DH25" s="18">
        <v>0</v>
      </c>
      <c r="DI25" s="317">
        <v>0</v>
      </c>
      <c r="DJ25" s="18">
        <v>0</v>
      </c>
      <c r="DK25" s="18">
        <v>0</v>
      </c>
      <c r="DL25" s="317">
        <v>0</v>
      </c>
      <c r="DM25" s="18">
        <v>0</v>
      </c>
      <c r="DN25" s="18">
        <v>0</v>
      </c>
      <c r="DO25" s="317">
        <v>0</v>
      </c>
      <c r="DP25" s="18">
        <v>0</v>
      </c>
      <c r="DQ25" s="18">
        <v>0</v>
      </c>
      <c r="DR25" s="317">
        <v>0</v>
      </c>
      <c r="DS25" s="18">
        <v>0</v>
      </c>
      <c r="DT25" s="18">
        <v>0</v>
      </c>
      <c r="DU25" s="317">
        <v>0</v>
      </c>
      <c r="DV25" s="18">
        <v>0</v>
      </c>
      <c r="DW25" s="18">
        <v>0</v>
      </c>
      <c r="DX25" s="317">
        <v>0</v>
      </c>
      <c r="DY25" s="18">
        <v>0</v>
      </c>
      <c r="DZ25" s="18">
        <v>0</v>
      </c>
      <c r="EA25" s="317">
        <v>0</v>
      </c>
      <c r="EB25" s="18">
        <v>0</v>
      </c>
      <c r="EC25" s="18">
        <v>0</v>
      </c>
      <c r="ED25" s="317">
        <v>0</v>
      </c>
      <c r="EE25" s="18">
        <v>0</v>
      </c>
      <c r="EF25" s="18">
        <v>0</v>
      </c>
      <c r="EG25" s="317">
        <v>0</v>
      </c>
      <c r="EH25" s="18">
        <v>0</v>
      </c>
      <c r="EI25" s="18">
        <v>0</v>
      </c>
      <c r="EJ25" s="317">
        <v>0</v>
      </c>
      <c r="EK25" s="18">
        <v>0</v>
      </c>
      <c r="EL25" s="18">
        <v>0</v>
      </c>
      <c r="EM25" s="317">
        <v>0</v>
      </c>
      <c r="EN25" s="646" t="s">
        <v>832</v>
      </c>
      <c r="EO25" s="531"/>
      <c r="EP25" s="531"/>
      <c r="EQ25" s="531"/>
      <c r="ER25" s="531"/>
      <c r="ES25" s="531"/>
      <c r="ET25" s="531"/>
      <c r="EU25" s="57" t="s">
        <v>194</v>
      </c>
    </row>
    <row r="26" spans="1:151" ht="12.75">
      <c r="A26" s="40">
        <v>43857</v>
      </c>
      <c r="B26" s="84">
        <f t="shared" ref="B26:D26" si="22">SUM(I26,AA26,AD26,AG26,AJ26,AM26,BB26,BE26,BW26,CL26,CO26,CX26,DA26,DJ26,EE26,)</f>
        <v>7</v>
      </c>
      <c r="C26" s="41">
        <f t="shared" si="22"/>
        <v>0</v>
      </c>
      <c r="D26" s="41">
        <f t="shared" si="22"/>
        <v>0</v>
      </c>
      <c r="E26" s="16">
        <f t="shared" si="2"/>
        <v>7</v>
      </c>
      <c r="F26" s="15">
        <v>0</v>
      </c>
      <c r="G26" s="15">
        <v>0</v>
      </c>
      <c r="H26" s="17">
        <v>0</v>
      </c>
      <c r="I26" s="15">
        <v>0</v>
      </c>
      <c r="J26" s="15">
        <v>0</v>
      </c>
      <c r="K26" s="17">
        <v>0</v>
      </c>
      <c r="L26" s="15">
        <v>0</v>
      </c>
      <c r="M26" s="15">
        <v>0</v>
      </c>
      <c r="N26" s="17">
        <v>0</v>
      </c>
      <c r="O26" s="15">
        <v>0</v>
      </c>
      <c r="P26" s="15">
        <v>0</v>
      </c>
      <c r="Q26" s="17">
        <v>0</v>
      </c>
      <c r="R26" s="15">
        <v>0</v>
      </c>
      <c r="S26" s="15">
        <v>0</v>
      </c>
      <c r="T26" s="17">
        <v>0</v>
      </c>
      <c r="U26" s="15">
        <v>0</v>
      </c>
      <c r="V26" s="15">
        <v>0</v>
      </c>
      <c r="W26" s="17">
        <v>0</v>
      </c>
      <c r="X26" s="15">
        <v>0</v>
      </c>
      <c r="Y26" s="15">
        <v>0</v>
      </c>
      <c r="Z26" s="17">
        <v>0</v>
      </c>
      <c r="AA26" s="15">
        <v>0</v>
      </c>
      <c r="AB26" s="15">
        <v>0</v>
      </c>
      <c r="AC26" s="17">
        <v>0</v>
      </c>
      <c r="AD26" s="105">
        <v>2</v>
      </c>
      <c r="AE26" s="15">
        <v>0</v>
      </c>
      <c r="AF26" s="17">
        <v>0</v>
      </c>
      <c r="AG26" s="15">
        <v>0</v>
      </c>
      <c r="AH26" s="15">
        <v>0</v>
      </c>
      <c r="AI26" s="17">
        <v>0</v>
      </c>
      <c r="AJ26" s="15">
        <v>0</v>
      </c>
      <c r="AK26" s="15">
        <v>0</v>
      </c>
      <c r="AL26" s="17">
        <v>0</v>
      </c>
      <c r="AM26" s="15">
        <v>0</v>
      </c>
      <c r="AN26" s="15">
        <v>0</v>
      </c>
      <c r="AO26" s="17">
        <v>0</v>
      </c>
      <c r="AP26" s="15">
        <v>0</v>
      </c>
      <c r="AQ26" s="15">
        <v>0</v>
      </c>
      <c r="AR26" s="17">
        <v>0</v>
      </c>
      <c r="AS26" s="15">
        <v>0</v>
      </c>
      <c r="AT26" s="15">
        <v>0</v>
      </c>
      <c r="AU26" s="17">
        <v>0</v>
      </c>
      <c r="AV26" s="15">
        <v>0</v>
      </c>
      <c r="AW26" s="15">
        <v>0</v>
      </c>
      <c r="AX26" s="17">
        <v>0</v>
      </c>
      <c r="AY26" s="15">
        <v>0</v>
      </c>
      <c r="AZ26" s="15">
        <v>0</v>
      </c>
      <c r="BA26" s="17">
        <v>0</v>
      </c>
      <c r="BB26" s="15">
        <v>0</v>
      </c>
      <c r="BC26" s="15">
        <v>0</v>
      </c>
      <c r="BD26" s="17">
        <v>0</v>
      </c>
      <c r="BE26" s="105">
        <v>5</v>
      </c>
      <c r="BF26" s="15">
        <v>0</v>
      </c>
      <c r="BG26" s="17">
        <v>0</v>
      </c>
      <c r="BH26" s="15">
        <v>0</v>
      </c>
      <c r="BI26" s="15">
        <v>0</v>
      </c>
      <c r="BJ26" s="17">
        <v>0</v>
      </c>
      <c r="BK26" s="15">
        <v>0</v>
      </c>
      <c r="BL26" s="15">
        <v>0</v>
      </c>
      <c r="BM26" s="17">
        <v>0</v>
      </c>
      <c r="BN26" s="15">
        <v>0</v>
      </c>
      <c r="BO26" s="15">
        <v>0</v>
      </c>
      <c r="BP26" s="17">
        <v>0</v>
      </c>
      <c r="BQ26" s="15">
        <v>0</v>
      </c>
      <c r="BR26" s="15">
        <v>0</v>
      </c>
      <c r="BS26" s="17">
        <v>0</v>
      </c>
      <c r="BT26" s="15">
        <v>0</v>
      </c>
      <c r="BU26" s="15">
        <v>0</v>
      </c>
      <c r="BV26" s="17">
        <v>0</v>
      </c>
      <c r="BW26" s="15">
        <v>0</v>
      </c>
      <c r="BX26" s="15">
        <v>0</v>
      </c>
      <c r="BY26" s="17">
        <v>0</v>
      </c>
      <c r="BZ26" s="15">
        <v>0</v>
      </c>
      <c r="CA26" s="15">
        <v>0</v>
      </c>
      <c r="CB26" s="17">
        <v>0</v>
      </c>
      <c r="CC26" s="15">
        <v>0</v>
      </c>
      <c r="CD26" s="15">
        <v>0</v>
      </c>
      <c r="CE26" s="17">
        <v>0</v>
      </c>
      <c r="CF26" s="15">
        <v>0</v>
      </c>
      <c r="CG26" s="15">
        <v>0</v>
      </c>
      <c r="CH26" s="17">
        <v>0</v>
      </c>
      <c r="CI26" s="15">
        <v>0</v>
      </c>
      <c r="CJ26" s="15">
        <v>0</v>
      </c>
      <c r="CK26" s="17">
        <v>0</v>
      </c>
      <c r="CL26" s="15">
        <v>0</v>
      </c>
      <c r="CM26" s="15">
        <v>0</v>
      </c>
      <c r="CN26" s="17">
        <v>0</v>
      </c>
      <c r="CO26" s="15">
        <v>0</v>
      </c>
      <c r="CP26" s="15">
        <v>0</v>
      </c>
      <c r="CQ26" s="17">
        <v>0</v>
      </c>
      <c r="CR26" s="15">
        <v>0</v>
      </c>
      <c r="CS26" s="15">
        <v>0</v>
      </c>
      <c r="CT26" s="17">
        <v>0</v>
      </c>
      <c r="CU26" s="15">
        <v>0</v>
      </c>
      <c r="CV26" s="15">
        <v>0</v>
      </c>
      <c r="CW26" s="17">
        <v>0</v>
      </c>
      <c r="CX26" s="15">
        <v>0</v>
      </c>
      <c r="CY26" s="15">
        <v>0</v>
      </c>
      <c r="CZ26" s="17">
        <v>0</v>
      </c>
      <c r="DA26" s="15">
        <v>0</v>
      </c>
      <c r="DB26" s="15">
        <v>0</v>
      </c>
      <c r="DC26" s="17">
        <v>0</v>
      </c>
      <c r="DD26" s="15">
        <v>0</v>
      </c>
      <c r="DE26" s="15">
        <v>0</v>
      </c>
      <c r="DF26" s="17">
        <v>0</v>
      </c>
      <c r="DG26" s="15">
        <v>0</v>
      </c>
      <c r="DH26" s="15">
        <v>0</v>
      </c>
      <c r="DI26" s="17">
        <v>0</v>
      </c>
      <c r="DJ26" s="15">
        <v>0</v>
      </c>
      <c r="DK26" s="15">
        <v>0</v>
      </c>
      <c r="DL26" s="17">
        <v>0</v>
      </c>
      <c r="DM26" s="15">
        <v>0</v>
      </c>
      <c r="DN26" s="15">
        <v>0</v>
      </c>
      <c r="DO26" s="17">
        <v>0</v>
      </c>
      <c r="DP26" s="15">
        <v>0</v>
      </c>
      <c r="DQ26" s="15">
        <v>0</v>
      </c>
      <c r="DR26" s="17">
        <v>0</v>
      </c>
      <c r="DS26" s="15">
        <v>0</v>
      </c>
      <c r="DT26" s="15">
        <v>0</v>
      </c>
      <c r="DU26" s="17">
        <v>0</v>
      </c>
      <c r="DV26" s="15">
        <v>0</v>
      </c>
      <c r="DW26" s="15">
        <v>0</v>
      </c>
      <c r="DX26" s="17">
        <v>0</v>
      </c>
      <c r="DY26" s="15">
        <v>0</v>
      </c>
      <c r="DZ26" s="15">
        <v>0</v>
      </c>
      <c r="EA26" s="17">
        <v>0</v>
      </c>
      <c r="EB26" s="15">
        <v>0</v>
      </c>
      <c r="EC26" s="15">
        <v>0</v>
      </c>
      <c r="ED26" s="17">
        <v>0</v>
      </c>
      <c r="EE26" s="15">
        <v>0</v>
      </c>
      <c r="EF26" s="15">
        <v>0</v>
      </c>
      <c r="EG26" s="17">
        <v>0</v>
      </c>
      <c r="EH26" s="15">
        <v>0</v>
      </c>
      <c r="EI26" s="15">
        <v>0</v>
      </c>
      <c r="EJ26" s="17">
        <v>0</v>
      </c>
      <c r="EK26" s="15">
        <v>0</v>
      </c>
      <c r="EL26" s="15">
        <v>0</v>
      </c>
      <c r="EM26" s="17">
        <v>0</v>
      </c>
      <c r="EN26" s="640"/>
      <c r="EO26" s="531"/>
      <c r="EP26" s="531"/>
      <c r="EQ26" s="531"/>
      <c r="ER26" s="531"/>
      <c r="ES26" s="531"/>
      <c r="ET26" s="531"/>
      <c r="EU26" s="57" t="s">
        <v>195</v>
      </c>
    </row>
    <row r="27" spans="1:151" ht="12.75">
      <c r="A27" s="40">
        <v>43858</v>
      </c>
      <c r="B27" s="84">
        <f t="shared" ref="B27:D27" si="23">SUM(I27,AA27,AD27,AG27,AJ27,AM27,BB27,BE27,BW27,CL27,CO27,CX27,DA27,DJ27,EE27,)</f>
        <v>8</v>
      </c>
      <c r="C27" s="41">
        <f t="shared" si="23"/>
        <v>0</v>
      </c>
      <c r="D27" s="41">
        <f t="shared" si="23"/>
        <v>0</v>
      </c>
      <c r="E27" s="16">
        <f t="shared" si="2"/>
        <v>8</v>
      </c>
      <c r="F27" s="18">
        <v>0</v>
      </c>
      <c r="G27" s="18">
        <v>0</v>
      </c>
      <c r="H27" s="317">
        <v>0</v>
      </c>
      <c r="I27" s="18">
        <v>0</v>
      </c>
      <c r="J27" s="18">
        <v>0</v>
      </c>
      <c r="K27" s="317">
        <v>0</v>
      </c>
      <c r="L27" s="18">
        <v>0</v>
      </c>
      <c r="M27" s="18">
        <v>0</v>
      </c>
      <c r="N27" s="317">
        <v>0</v>
      </c>
      <c r="O27" s="18">
        <v>0</v>
      </c>
      <c r="P27" s="18">
        <v>0</v>
      </c>
      <c r="Q27" s="317">
        <v>0</v>
      </c>
      <c r="R27" s="18">
        <v>0</v>
      </c>
      <c r="S27" s="18">
        <v>0</v>
      </c>
      <c r="T27" s="317">
        <v>0</v>
      </c>
      <c r="U27" s="18">
        <v>0</v>
      </c>
      <c r="V27" s="18">
        <v>0</v>
      </c>
      <c r="W27" s="317">
        <v>0</v>
      </c>
      <c r="X27" s="18">
        <v>0</v>
      </c>
      <c r="Y27" s="18">
        <v>0</v>
      </c>
      <c r="Z27" s="317">
        <v>0</v>
      </c>
      <c r="AA27" s="18">
        <v>0</v>
      </c>
      <c r="AB27" s="18">
        <v>0</v>
      </c>
      <c r="AC27" s="317">
        <v>0</v>
      </c>
      <c r="AD27" s="105">
        <v>3</v>
      </c>
      <c r="AE27" s="18">
        <v>0</v>
      </c>
      <c r="AF27" s="317">
        <v>0</v>
      </c>
      <c r="AG27" s="18">
        <v>0</v>
      </c>
      <c r="AH27" s="18">
        <v>0</v>
      </c>
      <c r="AI27" s="317">
        <v>0</v>
      </c>
      <c r="AJ27" s="18">
        <v>0</v>
      </c>
      <c r="AK27" s="18">
        <v>0</v>
      </c>
      <c r="AL27" s="317">
        <v>0</v>
      </c>
      <c r="AM27" s="18">
        <v>0</v>
      </c>
      <c r="AN27" s="18">
        <v>0</v>
      </c>
      <c r="AO27" s="317">
        <v>0</v>
      </c>
      <c r="AP27" s="18">
        <v>0</v>
      </c>
      <c r="AQ27" s="18">
        <v>0</v>
      </c>
      <c r="AR27" s="317">
        <v>0</v>
      </c>
      <c r="AS27" s="18">
        <v>0</v>
      </c>
      <c r="AT27" s="18">
        <v>0</v>
      </c>
      <c r="AU27" s="317">
        <v>0</v>
      </c>
      <c r="AV27" s="18">
        <v>0</v>
      </c>
      <c r="AW27" s="18">
        <v>0</v>
      </c>
      <c r="AX27" s="317">
        <v>0</v>
      </c>
      <c r="AY27" s="18">
        <v>0</v>
      </c>
      <c r="AZ27" s="18">
        <v>0</v>
      </c>
      <c r="BA27" s="317">
        <v>0</v>
      </c>
      <c r="BB27" s="18">
        <v>0</v>
      </c>
      <c r="BC27" s="18">
        <v>0</v>
      </c>
      <c r="BD27" s="317">
        <v>0</v>
      </c>
      <c r="BE27" s="105">
        <v>5</v>
      </c>
      <c r="BF27" s="18">
        <v>0</v>
      </c>
      <c r="BG27" s="317">
        <v>0</v>
      </c>
      <c r="BH27" s="18">
        <v>0</v>
      </c>
      <c r="BI27" s="18">
        <v>0</v>
      </c>
      <c r="BJ27" s="317">
        <v>0</v>
      </c>
      <c r="BK27" s="18">
        <v>0</v>
      </c>
      <c r="BL27" s="18">
        <v>0</v>
      </c>
      <c r="BM27" s="317">
        <v>0</v>
      </c>
      <c r="BN27" s="18">
        <v>0</v>
      </c>
      <c r="BO27" s="18">
        <v>0</v>
      </c>
      <c r="BP27" s="317">
        <v>0</v>
      </c>
      <c r="BQ27" s="18">
        <v>0</v>
      </c>
      <c r="BR27" s="18">
        <v>0</v>
      </c>
      <c r="BS27" s="317">
        <v>0</v>
      </c>
      <c r="BT27" s="18">
        <v>0</v>
      </c>
      <c r="BU27" s="18">
        <v>0</v>
      </c>
      <c r="BV27" s="317">
        <v>0</v>
      </c>
      <c r="BW27" s="18">
        <v>0</v>
      </c>
      <c r="BX27" s="18">
        <v>0</v>
      </c>
      <c r="BY27" s="317">
        <v>0</v>
      </c>
      <c r="BZ27" s="18">
        <v>0</v>
      </c>
      <c r="CA27" s="18">
        <v>0</v>
      </c>
      <c r="CB27" s="317">
        <v>0</v>
      </c>
      <c r="CC27" s="18">
        <v>0</v>
      </c>
      <c r="CD27" s="18">
        <v>0</v>
      </c>
      <c r="CE27" s="317">
        <v>0</v>
      </c>
      <c r="CF27" s="18">
        <v>0</v>
      </c>
      <c r="CG27" s="18">
        <v>0</v>
      </c>
      <c r="CH27" s="317">
        <v>0</v>
      </c>
      <c r="CI27" s="18">
        <v>0</v>
      </c>
      <c r="CJ27" s="18">
        <v>0</v>
      </c>
      <c r="CK27" s="317">
        <v>0</v>
      </c>
      <c r="CL27" s="18">
        <v>0</v>
      </c>
      <c r="CM27" s="18">
        <v>0</v>
      </c>
      <c r="CN27" s="317">
        <v>0</v>
      </c>
      <c r="CO27" s="18">
        <v>0</v>
      </c>
      <c r="CP27" s="18">
        <v>0</v>
      </c>
      <c r="CQ27" s="317">
        <v>0</v>
      </c>
      <c r="CR27" s="18">
        <v>0</v>
      </c>
      <c r="CS27" s="18">
        <v>0</v>
      </c>
      <c r="CT27" s="317">
        <v>0</v>
      </c>
      <c r="CU27" s="18">
        <v>0</v>
      </c>
      <c r="CV27" s="18">
        <v>0</v>
      </c>
      <c r="CW27" s="317">
        <v>0</v>
      </c>
      <c r="CX27" s="18">
        <v>0</v>
      </c>
      <c r="CY27" s="18">
        <v>0</v>
      </c>
      <c r="CZ27" s="317">
        <v>0</v>
      </c>
      <c r="DA27" s="18">
        <v>0</v>
      </c>
      <c r="DB27" s="18">
        <v>0</v>
      </c>
      <c r="DC27" s="317">
        <v>0</v>
      </c>
      <c r="DD27" s="18">
        <v>0</v>
      </c>
      <c r="DE27" s="18">
        <v>0</v>
      </c>
      <c r="DF27" s="317">
        <v>0</v>
      </c>
      <c r="DG27" s="18">
        <v>0</v>
      </c>
      <c r="DH27" s="18">
        <v>0</v>
      </c>
      <c r="DI27" s="317">
        <v>0</v>
      </c>
      <c r="DJ27" s="18">
        <v>0</v>
      </c>
      <c r="DK27" s="18">
        <v>0</v>
      </c>
      <c r="DL27" s="317">
        <v>0</v>
      </c>
      <c r="DM27" s="18">
        <v>0</v>
      </c>
      <c r="DN27" s="18">
        <v>0</v>
      </c>
      <c r="DO27" s="317">
        <v>0</v>
      </c>
      <c r="DP27" s="18">
        <v>0</v>
      </c>
      <c r="DQ27" s="18">
        <v>0</v>
      </c>
      <c r="DR27" s="317">
        <v>0</v>
      </c>
      <c r="DS27" s="18">
        <v>0</v>
      </c>
      <c r="DT27" s="18">
        <v>0</v>
      </c>
      <c r="DU27" s="317">
        <v>0</v>
      </c>
      <c r="DV27" s="18">
        <v>0</v>
      </c>
      <c r="DW27" s="18">
        <v>0</v>
      </c>
      <c r="DX27" s="317">
        <v>0</v>
      </c>
      <c r="DY27" s="18">
        <v>0</v>
      </c>
      <c r="DZ27" s="18">
        <v>0</v>
      </c>
      <c r="EA27" s="317">
        <v>0</v>
      </c>
      <c r="EB27" s="18">
        <v>0</v>
      </c>
      <c r="EC27" s="18">
        <v>0</v>
      </c>
      <c r="ED27" s="317">
        <v>0</v>
      </c>
      <c r="EE27" s="18">
        <v>0</v>
      </c>
      <c r="EF27" s="18">
        <v>0</v>
      </c>
      <c r="EG27" s="317">
        <v>0</v>
      </c>
      <c r="EH27" s="18">
        <v>0</v>
      </c>
      <c r="EI27" s="18">
        <v>0</v>
      </c>
      <c r="EJ27" s="317">
        <v>0</v>
      </c>
      <c r="EK27" s="18">
        <v>0</v>
      </c>
      <c r="EL27" s="18">
        <v>0</v>
      </c>
      <c r="EM27" s="317">
        <v>0</v>
      </c>
      <c r="EN27" s="640"/>
      <c r="EO27" s="531"/>
      <c r="EP27" s="531"/>
      <c r="EQ27" s="531"/>
      <c r="ER27" s="531"/>
      <c r="ES27" s="531"/>
      <c r="ET27" s="531"/>
      <c r="EU27" s="57" t="s">
        <v>196</v>
      </c>
    </row>
    <row r="28" spans="1:151" ht="12.75">
      <c r="A28" s="40">
        <v>43859</v>
      </c>
      <c r="B28" s="84">
        <f t="shared" ref="B28:D28" si="24">SUM(I28,AA28,AD28,AG28,AJ28,AM28,BB28,BE28,BW28,CL28,CO28,CX28,DA28,DJ28,EE28,)</f>
        <v>8</v>
      </c>
      <c r="C28" s="41">
        <f t="shared" si="24"/>
        <v>0</v>
      </c>
      <c r="D28" s="41">
        <f t="shared" si="24"/>
        <v>0</v>
      </c>
      <c r="E28" s="16">
        <f t="shared" si="2"/>
        <v>8</v>
      </c>
      <c r="F28" s="15">
        <v>0</v>
      </c>
      <c r="G28" s="15">
        <v>0</v>
      </c>
      <c r="H28" s="17">
        <v>0</v>
      </c>
      <c r="I28" s="15">
        <v>0</v>
      </c>
      <c r="J28" s="15">
        <v>0</v>
      </c>
      <c r="K28" s="17">
        <v>0</v>
      </c>
      <c r="L28" s="15">
        <v>0</v>
      </c>
      <c r="M28" s="15">
        <v>0</v>
      </c>
      <c r="N28" s="17">
        <v>0</v>
      </c>
      <c r="O28" s="15">
        <v>0</v>
      </c>
      <c r="P28" s="15">
        <v>0</v>
      </c>
      <c r="Q28" s="17">
        <v>0</v>
      </c>
      <c r="R28" s="15">
        <v>0</v>
      </c>
      <c r="S28" s="15">
        <v>0</v>
      </c>
      <c r="T28" s="17">
        <v>0</v>
      </c>
      <c r="U28" s="15">
        <v>0</v>
      </c>
      <c r="V28" s="15">
        <v>0</v>
      </c>
      <c r="W28" s="17">
        <v>0</v>
      </c>
      <c r="X28" s="15">
        <v>0</v>
      </c>
      <c r="Y28" s="15">
        <v>0</v>
      </c>
      <c r="Z28" s="17">
        <v>0</v>
      </c>
      <c r="AA28" s="15">
        <v>0</v>
      </c>
      <c r="AB28" s="15">
        <v>0</v>
      </c>
      <c r="AC28" s="17">
        <v>0</v>
      </c>
      <c r="AD28" s="105">
        <v>3</v>
      </c>
      <c r="AE28" s="15">
        <v>0</v>
      </c>
      <c r="AF28" s="17">
        <v>0</v>
      </c>
      <c r="AG28" s="15">
        <v>0</v>
      </c>
      <c r="AH28" s="15">
        <v>0</v>
      </c>
      <c r="AI28" s="17">
        <v>0</v>
      </c>
      <c r="AJ28" s="15">
        <v>0</v>
      </c>
      <c r="AK28" s="15">
        <v>0</v>
      </c>
      <c r="AL28" s="17">
        <v>0</v>
      </c>
      <c r="AM28" s="15">
        <v>0</v>
      </c>
      <c r="AN28" s="15">
        <v>0</v>
      </c>
      <c r="AO28" s="17">
        <v>0</v>
      </c>
      <c r="AP28" s="15">
        <v>0</v>
      </c>
      <c r="AQ28" s="15">
        <v>0</v>
      </c>
      <c r="AR28" s="17">
        <v>0</v>
      </c>
      <c r="AS28" s="15">
        <v>0</v>
      </c>
      <c r="AT28" s="15">
        <v>0</v>
      </c>
      <c r="AU28" s="17">
        <v>0</v>
      </c>
      <c r="AV28" s="15">
        <v>0</v>
      </c>
      <c r="AW28" s="15">
        <v>0</v>
      </c>
      <c r="AX28" s="17">
        <v>0</v>
      </c>
      <c r="AY28" s="15">
        <v>0</v>
      </c>
      <c r="AZ28" s="15">
        <v>0</v>
      </c>
      <c r="BA28" s="17">
        <v>0</v>
      </c>
      <c r="BB28" s="15">
        <v>0</v>
      </c>
      <c r="BC28" s="15">
        <v>0</v>
      </c>
      <c r="BD28" s="17">
        <v>0</v>
      </c>
      <c r="BE28" s="105">
        <v>5</v>
      </c>
      <c r="BF28" s="15">
        <v>0</v>
      </c>
      <c r="BG28" s="17">
        <v>0</v>
      </c>
      <c r="BH28" s="15">
        <v>0</v>
      </c>
      <c r="BI28" s="15">
        <v>0</v>
      </c>
      <c r="BJ28" s="17">
        <v>0</v>
      </c>
      <c r="BK28" s="15">
        <v>0</v>
      </c>
      <c r="BL28" s="15">
        <v>0</v>
      </c>
      <c r="BM28" s="17">
        <v>0</v>
      </c>
      <c r="BN28" s="15">
        <v>0</v>
      </c>
      <c r="BO28" s="15">
        <v>0</v>
      </c>
      <c r="BP28" s="17">
        <v>0</v>
      </c>
      <c r="BQ28" s="15">
        <v>0</v>
      </c>
      <c r="BR28" s="15">
        <v>0</v>
      </c>
      <c r="BS28" s="17">
        <v>0</v>
      </c>
      <c r="BT28" s="15">
        <v>0</v>
      </c>
      <c r="BU28" s="15">
        <v>0</v>
      </c>
      <c r="BV28" s="17">
        <v>0</v>
      </c>
      <c r="BW28" s="15">
        <v>0</v>
      </c>
      <c r="BX28" s="15">
        <v>0</v>
      </c>
      <c r="BY28" s="17">
        <v>0</v>
      </c>
      <c r="BZ28" s="15">
        <v>0</v>
      </c>
      <c r="CA28" s="15">
        <v>0</v>
      </c>
      <c r="CB28" s="17">
        <v>0</v>
      </c>
      <c r="CC28" s="15">
        <v>0</v>
      </c>
      <c r="CD28" s="15">
        <v>0</v>
      </c>
      <c r="CE28" s="17">
        <v>0</v>
      </c>
      <c r="CF28" s="15">
        <v>0</v>
      </c>
      <c r="CG28" s="15">
        <v>0</v>
      </c>
      <c r="CH28" s="17">
        <v>0</v>
      </c>
      <c r="CI28" s="15">
        <v>0</v>
      </c>
      <c r="CJ28" s="15">
        <v>0</v>
      </c>
      <c r="CK28" s="17">
        <v>0</v>
      </c>
      <c r="CL28" s="15">
        <v>0</v>
      </c>
      <c r="CM28" s="15">
        <v>0</v>
      </c>
      <c r="CN28" s="17">
        <v>0</v>
      </c>
      <c r="CO28" s="15">
        <v>0</v>
      </c>
      <c r="CP28" s="15">
        <v>0</v>
      </c>
      <c r="CQ28" s="17">
        <v>0</v>
      </c>
      <c r="CR28" s="15">
        <v>0</v>
      </c>
      <c r="CS28" s="15">
        <v>0</v>
      </c>
      <c r="CT28" s="17">
        <v>0</v>
      </c>
      <c r="CU28" s="15">
        <v>0</v>
      </c>
      <c r="CV28" s="15">
        <v>0</v>
      </c>
      <c r="CW28" s="17">
        <v>0</v>
      </c>
      <c r="CX28" s="15">
        <v>0</v>
      </c>
      <c r="CY28" s="15">
        <v>0</v>
      </c>
      <c r="CZ28" s="17">
        <v>0</v>
      </c>
      <c r="DA28" s="15">
        <v>0</v>
      </c>
      <c r="DB28" s="15">
        <v>0</v>
      </c>
      <c r="DC28" s="17">
        <v>0</v>
      </c>
      <c r="DD28" s="15">
        <v>0</v>
      </c>
      <c r="DE28" s="15">
        <v>0</v>
      </c>
      <c r="DF28" s="17">
        <v>0</v>
      </c>
      <c r="DG28" s="15">
        <v>0</v>
      </c>
      <c r="DH28" s="15">
        <v>0</v>
      </c>
      <c r="DI28" s="17">
        <v>0</v>
      </c>
      <c r="DJ28" s="15">
        <v>0</v>
      </c>
      <c r="DK28" s="15">
        <v>0</v>
      </c>
      <c r="DL28" s="17">
        <v>0</v>
      </c>
      <c r="DM28" s="15">
        <v>0</v>
      </c>
      <c r="DN28" s="15">
        <v>0</v>
      </c>
      <c r="DO28" s="17">
        <v>0</v>
      </c>
      <c r="DP28" s="15">
        <v>0</v>
      </c>
      <c r="DQ28" s="15">
        <v>0</v>
      </c>
      <c r="DR28" s="17">
        <v>0</v>
      </c>
      <c r="DS28" s="15">
        <v>0</v>
      </c>
      <c r="DT28" s="15">
        <v>0</v>
      </c>
      <c r="DU28" s="17">
        <v>0</v>
      </c>
      <c r="DV28" s="15">
        <v>0</v>
      </c>
      <c r="DW28" s="15">
        <v>0</v>
      </c>
      <c r="DX28" s="17">
        <v>0</v>
      </c>
      <c r="DY28" s="15">
        <v>0</v>
      </c>
      <c r="DZ28" s="15">
        <v>0</v>
      </c>
      <c r="EA28" s="17">
        <v>0</v>
      </c>
      <c r="EB28" s="15">
        <v>0</v>
      </c>
      <c r="EC28" s="15">
        <v>0</v>
      </c>
      <c r="ED28" s="17">
        <v>0</v>
      </c>
      <c r="EE28" s="15">
        <v>0</v>
      </c>
      <c r="EF28" s="15">
        <v>0</v>
      </c>
      <c r="EG28" s="17">
        <v>0</v>
      </c>
      <c r="EH28" s="15">
        <v>0</v>
      </c>
      <c r="EI28" s="15">
        <v>0</v>
      </c>
      <c r="EJ28" s="17">
        <v>0</v>
      </c>
      <c r="EK28" s="15">
        <v>0</v>
      </c>
      <c r="EL28" s="15">
        <v>0</v>
      </c>
      <c r="EM28" s="17">
        <v>0</v>
      </c>
      <c r="EN28" s="640"/>
      <c r="EO28" s="531"/>
      <c r="EP28" s="531"/>
      <c r="EQ28" s="531"/>
      <c r="ER28" s="531"/>
      <c r="ES28" s="531"/>
      <c r="ET28" s="531"/>
      <c r="EU28" s="339"/>
    </row>
    <row r="29" spans="1:151" ht="12.75">
      <c r="A29" s="40">
        <v>43860</v>
      </c>
      <c r="B29" s="84">
        <f t="shared" ref="B29:D29" si="25">SUM(I29,AA29,AD29,AG29,AJ29,AM29,BB29,BE29,BW29,CL29,CO29,CX29,DA29,DJ29,EE29,)</f>
        <v>9</v>
      </c>
      <c r="C29" s="41">
        <f t="shared" si="25"/>
        <v>0</v>
      </c>
      <c r="D29" s="41">
        <f t="shared" si="25"/>
        <v>0</v>
      </c>
      <c r="E29" s="16">
        <f t="shared" si="2"/>
        <v>9</v>
      </c>
      <c r="F29" s="18">
        <v>0</v>
      </c>
      <c r="G29" s="18">
        <v>0</v>
      </c>
      <c r="H29" s="317">
        <v>0</v>
      </c>
      <c r="I29" s="18">
        <v>0</v>
      </c>
      <c r="J29" s="18">
        <v>0</v>
      </c>
      <c r="K29" s="317">
        <v>0</v>
      </c>
      <c r="L29" s="18">
        <v>0</v>
      </c>
      <c r="M29" s="18">
        <v>0</v>
      </c>
      <c r="N29" s="317">
        <v>0</v>
      </c>
      <c r="O29" s="18">
        <v>0</v>
      </c>
      <c r="P29" s="18">
        <v>0</v>
      </c>
      <c r="Q29" s="317">
        <v>0</v>
      </c>
      <c r="R29" s="18">
        <v>0</v>
      </c>
      <c r="S29" s="18">
        <v>0</v>
      </c>
      <c r="T29" s="317">
        <v>0</v>
      </c>
      <c r="U29" s="18">
        <v>0</v>
      </c>
      <c r="V29" s="18">
        <v>0</v>
      </c>
      <c r="W29" s="317">
        <v>0</v>
      </c>
      <c r="X29" s="18">
        <v>0</v>
      </c>
      <c r="Y29" s="18">
        <v>0</v>
      </c>
      <c r="Z29" s="317">
        <v>0</v>
      </c>
      <c r="AA29" s="18">
        <v>0</v>
      </c>
      <c r="AB29" s="18">
        <v>0</v>
      </c>
      <c r="AC29" s="317">
        <v>0</v>
      </c>
      <c r="AD29" s="105">
        <v>3</v>
      </c>
      <c r="AE29" s="18">
        <v>0</v>
      </c>
      <c r="AF29" s="317">
        <v>0</v>
      </c>
      <c r="AG29" s="18">
        <v>0</v>
      </c>
      <c r="AH29" s="18">
        <v>0</v>
      </c>
      <c r="AI29" s="317">
        <v>0</v>
      </c>
      <c r="AJ29" s="18">
        <v>0</v>
      </c>
      <c r="AK29" s="18">
        <v>0</v>
      </c>
      <c r="AL29" s="317">
        <v>0</v>
      </c>
      <c r="AM29" s="18">
        <v>0</v>
      </c>
      <c r="AN29" s="18">
        <v>0</v>
      </c>
      <c r="AO29" s="317">
        <v>0</v>
      </c>
      <c r="AP29" s="18">
        <v>0</v>
      </c>
      <c r="AQ29" s="18">
        <v>0</v>
      </c>
      <c r="AR29" s="317">
        <v>0</v>
      </c>
      <c r="AS29" s="18">
        <v>0</v>
      </c>
      <c r="AT29" s="18">
        <v>0</v>
      </c>
      <c r="AU29" s="317">
        <v>0</v>
      </c>
      <c r="AV29" s="18">
        <v>0</v>
      </c>
      <c r="AW29" s="18">
        <v>0</v>
      </c>
      <c r="AX29" s="317">
        <v>0</v>
      </c>
      <c r="AY29" s="18">
        <v>0</v>
      </c>
      <c r="AZ29" s="18">
        <v>0</v>
      </c>
      <c r="BA29" s="317">
        <v>0</v>
      </c>
      <c r="BB29" s="18">
        <v>0</v>
      </c>
      <c r="BC29" s="18">
        <v>0</v>
      </c>
      <c r="BD29" s="317">
        <v>0</v>
      </c>
      <c r="BE29" s="105">
        <v>6</v>
      </c>
      <c r="BF29" s="18">
        <v>0</v>
      </c>
      <c r="BG29" s="317">
        <v>0</v>
      </c>
      <c r="BH29" s="18">
        <v>0</v>
      </c>
      <c r="BI29" s="18">
        <v>0</v>
      </c>
      <c r="BJ29" s="317">
        <v>0</v>
      </c>
      <c r="BK29" s="18">
        <v>0</v>
      </c>
      <c r="BL29" s="18">
        <v>0</v>
      </c>
      <c r="BM29" s="317">
        <v>0</v>
      </c>
      <c r="BN29" s="18">
        <v>0</v>
      </c>
      <c r="BO29" s="18">
        <v>0</v>
      </c>
      <c r="BP29" s="317">
        <v>0</v>
      </c>
      <c r="BQ29" s="18">
        <v>0</v>
      </c>
      <c r="BR29" s="18">
        <v>0</v>
      </c>
      <c r="BS29" s="317">
        <v>0</v>
      </c>
      <c r="BT29" s="18">
        <v>0</v>
      </c>
      <c r="BU29" s="18">
        <v>0</v>
      </c>
      <c r="BV29" s="317">
        <v>0</v>
      </c>
      <c r="BW29" s="18">
        <v>0</v>
      </c>
      <c r="BX29" s="18">
        <v>0</v>
      </c>
      <c r="BY29" s="317">
        <v>0</v>
      </c>
      <c r="BZ29" s="18">
        <v>0</v>
      </c>
      <c r="CA29" s="18">
        <v>0</v>
      </c>
      <c r="CB29" s="317">
        <v>0</v>
      </c>
      <c r="CC29" s="18">
        <v>0</v>
      </c>
      <c r="CD29" s="18">
        <v>0</v>
      </c>
      <c r="CE29" s="317">
        <v>0</v>
      </c>
      <c r="CF29" s="18">
        <v>0</v>
      </c>
      <c r="CG29" s="18">
        <v>0</v>
      </c>
      <c r="CH29" s="317">
        <v>0</v>
      </c>
      <c r="CI29" s="18">
        <v>0</v>
      </c>
      <c r="CJ29" s="18">
        <v>0</v>
      </c>
      <c r="CK29" s="317">
        <v>0</v>
      </c>
      <c r="CL29" s="18">
        <v>0</v>
      </c>
      <c r="CM29" s="18">
        <v>0</v>
      </c>
      <c r="CN29" s="317">
        <v>0</v>
      </c>
      <c r="CO29" s="18">
        <v>0</v>
      </c>
      <c r="CP29" s="18">
        <v>0</v>
      </c>
      <c r="CQ29" s="317">
        <v>0</v>
      </c>
      <c r="CR29" s="18">
        <v>0</v>
      </c>
      <c r="CS29" s="18">
        <v>0</v>
      </c>
      <c r="CT29" s="317">
        <v>0</v>
      </c>
      <c r="CU29" s="18">
        <v>0</v>
      </c>
      <c r="CV29" s="18">
        <v>0</v>
      </c>
      <c r="CW29" s="317">
        <v>0</v>
      </c>
      <c r="CX29" s="18">
        <v>0</v>
      </c>
      <c r="CY29" s="18">
        <v>0</v>
      </c>
      <c r="CZ29" s="317">
        <v>0</v>
      </c>
      <c r="DA29" s="18">
        <v>0</v>
      </c>
      <c r="DB29" s="18">
        <v>0</v>
      </c>
      <c r="DC29" s="317">
        <v>0</v>
      </c>
      <c r="DD29" s="18">
        <v>0</v>
      </c>
      <c r="DE29" s="18">
        <v>0</v>
      </c>
      <c r="DF29" s="317">
        <v>0</v>
      </c>
      <c r="DG29" s="18">
        <v>0</v>
      </c>
      <c r="DH29" s="18">
        <v>0</v>
      </c>
      <c r="DI29" s="317">
        <v>0</v>
      </c>
      <c r="DJ29" s="18">
        <v>0</v>
      </c>
      <c r="DK29" s="18">
        <v>0</v>
      </c>
      <c r="DL29" s="317">
        <v>0</v>
      </c>
      <c r="DM29" s="18">
        <v>0</v>
      </c>
      <c r="DN29" s="18">
        <v>0</v>
      </c>
      <c r="DO29" s="317">
        <v>0</v>
      </c>
      <c r="DP29" s="18">
        <v>0</v>
      </c>
      <c r="DQ29" s="18">
        <v>0</v>
      </c>
      <c r="DR29" s="317">
        <v>0</v>
      </c>
      <c r="DS29" s="18">
        <v>0</v>
      </c>
      <c r="DT29" s="18">
        <v>0</v>
      </c>
      <c r="DU29" s="317">
        <v>0</v>
      </c>
      <c r="DV29" s="18">
        <v>0</v>
      </c>
      <c r="DW29" s="18">
        <v>0</v>
      </c>
      <c r="DX29" s="317">
        <v>0</v>
      </c>
      <c r="DY29" s="18">
        <v>0</v>
      </c>
      <c r="DZ29" s="18">
        <v>0</v>
      </c>
      <c r="EA29" s="317">
        <v>0</v>
      </c>
      <c r="EB29" s="18">
        <v>0</v>
      </c>
      <c r="EC29" s="18">
        <v>0</v>
      </c>
      <c r="ED29" s="317">
        <v>0</v>
      </c>
      <c r="EE29" s="18">
        <v>0</v>
      </c>
      <c r="EF29" s="18">
        <v>0</v>
      </c>
      <c r="EG29" s="317">
        <v>0</v>
      </c>
      <c r="EH29" s="18">
        <v>0</v>
      </c>
      <c r="EI29" s="18">
        <v>0</v>
      </c>
      <c r="EJ29" s="317">
        <v>0</v>
      </c>
      <c r="EK29" s="18">
        <v>0</v>
      </c>
      <c r="EL29" s="18">
        <v>0</v>
      </c>
      <c r="EM29" s="317">
        <v>0</v>
      </c>
      <c r="EN29" s="640"/>
      <c r="EO29" s="531"/>
      <c r="EP29" s="531"/>
      <c r="EQ29" s="531"/>
      <c r="ER29" s="531"/>
      <c r="ES29" s="531"/>
      <c r="ET29" s="531"/>
      <c r="EU29" s="57" t="s">
        <v>209</v>
      </c>
    </row>
    <row r="30" spans="1:151" ht="12.75">
      <c r="A30" s="43">
        <v>43861</v>
      </c>
      <c r="B30" s="89">
        <f t="shared" ref="B30:D30" si="26">SUM(I30,AA30,AD30,AG30,AJ30,AM30,BB30,BE30,BW30,CL30,CO30,CX30,DA30,DJ30,EE30,)</f>
        <v>11</v>
      </c>
      <c r="C30" s="61">
        <f t="shared" si="26"/>
        <v>0</v>
      </c>
      <c r="D30" s="61">
        <f t="shared" si="26"/>
        <v>0</v>
      </c>
      <c r="E30" s="23">
        <f t="shared" si="2"/>
        <v>11</v>
      </c>
      <c r="F30" s="22">
        <v>0</v>
      </c>
      <c r="G30" s="22">
        <v>0</v>
      </c>
      <c r="H30" s="24">
        <v>0</v>
      </c>
      <c r="I30" s="22">
        <v>0</v>
      </c>
      <c r="J30" s="22">
        <v>0</v>
      </c>
      <c r="K30" s="24">
        <v>0</v>
      </c>
      <c r="L30" s="22">
        <v>0</v>
      </c>
      <c r="M30" s="22">
        <v>0</v>
      </c>
      <c r="N30" s="24">
        <v>0</v>
      </c>
      <c r="O30" s="22">
        <v>0</v>
      </c>
      <c r="P30" s="22">
        <v>0</v>
      </c>
      <c r="Q30" s="24">
        <v>0</v>
      </c>
      <c r="R30" s="22">
        <v>0</v>
      </c>
      <c r="S30" s="22">
        <v>0</v>
      </c>
      <c r="T30" s="24">
        <v>0</v>
      </c>
      <c r="U30" s="22">
        <v>0</v>
      </c>
      <c r="V30" s="22">
        <v>0</v>
      </c>
      <c r="W30" s="24">
        <v>0</v>
      </c>
      <c r="X30" s="22">
        <v>0</v>
      </c>
      <c r="Y30" s="22">
        <v>0</v>
      </c>
      <c r="Z30" s="24">
        <v>0</v>
      </c>
      <c r="AA30" s="22">
        <v>0</v>
      </c>
      <c r="AB30" s="22">
        <v>0</v>
      </c>
      <c r="AC30" s="24">
        <v>0</v>
      </c>
      <c r="AD30" s="116">
        <v>4</v>
      </c>
      <c r="AE30" s="22">
        <v>0</v>
      </c>
      <c r="AF30" s="24">
        <v>0</v>
      </c>
      <c r="AG30" s="22">
        <v>0</v>
      </c>
      <c r="AH30" s="22">
        <v>0</v>
      </c>
      <c r="AI30" s="24">
        <v>0</v>
      </c>
      <c r="AJ30" s="22">
        <v>0</v>
      </c>
      <c r="AK30" s="22">
        <v>0</v>
      </c>
      <c r="AL30" s="24">
        <v>0</v>
      </c>
      <c r="AM30" s="22">
        <v>0</v>
      </c>
      <c r="AN30" s="22">
        <v>0</v>
      </c>
      <c r="AO30" s="24">
        <v>0</v>
      </c>
      <c r="AP30" s="22">
        <v>0</v>
      </c>
      <c r="AQ30" s="22">
        <v>0</v>
      </c>
      <c r="AR30" s="24">
        <v>0</v>
      </c>
      <c r="AS30" s="22">
        <v>0</v>
      </c>
      <c r="AT30" s="22">
        <v>0</v>
      </c>
      <c r="AU30" s="24">
        <v>0</v>
      </c>
      <c r="AV30" s="22">
        <v>0</v>
      </c>
      <c r="AW30" s="22">
        <v>0</v>
      </c>
      <c r="AX30" s="24">
        <v>0</v>
      </c>
      <c r="AY30" s="22">
        <v>0</v>
      </c>
      <c r="AZ30" s="22">
        <v>0</v>
      </c>
      <c r="BA30" s="24">
        <v>0</v>
      </c>
      <c r="BB30" s="22">
        <v>0</v>
      </c>
      <c r="BC30" s="22">
        <v>0</v>
      </c>
      <c r="BD30" s="24">
        <v>0</v>
      </c>
      <c r="BE30" s="116">
        <v>7</v>
      </c>
      <c r="BF30" s="22">
        <v>0</v>
      </c>
      <c r="BG30" s="24">
        <v>0</v>
      </c>
      <c r="BH30" s="22">
        <v>0</v>
      </c>
      <c r="BI30" s="22">
        <v>0</v>
      </c>
      <c r="BJ30" s="24">
        <v>0</v>
      </c>
      <c r="BK30" s="22">
        <v>0</v>
      </c>
      <c r="BL30" s="22">
        <v>0</v>
      </c>
      <c r="BM30" s="24">
        <v>0</v>
      </c>
      <c r="BN30" s="22">
        <v>0</v>
      </c>
      <c r="BO30" s="22">
        <v>0</v>
      </c>
      <c r="BP30" s="24">
        <v>0</v>
      </c>
      <c r="BQ30" s="22">
        <v>0</v>
      </c>
      <c r="BR30" s="22">
        <v>0</v>
      </c>
      <c r="BS30" s="24">
        <v>0</v>
      </c>
      <c r="BT30" s="22">
        <v>0</v>
      </c>
      <c r="BU30" s="22">
        <v>0</v>
      </c>
      <c r="BV30" s="24">
        <v>0</v>
      </c>
      <c r="BW30" s="22">
        <v>0</v>
      </c>
      <c r="BX30" s="22">
        <v>0</v>
      </c>
      <c r="BY30" s="24">
        <v>0</v>
      </c>
      <c r="BZ30" s="22">
        <v>0</v>
      </c>
      <c r="CA30" s="22">
        <v>0</v>
      </c>
      <c r="CB30" s="24">
        <v>0</v>
      </c>
      <c r="CC30" s="22">
        <v>0</v>
      </c>
      <c r="CD30" s="22">
        <v>0</v>
      </c>
      <c r="CE30" s="24">
        <v>0</v>
      </c>
      <c r="CF30" s="22">
        <v>0</v>
      </c>
      <c r="CG30" s="22">
        <v>0</v>
      </c>
      <c r="CH30" s="24">
        <v>0</v>
      </c>
      <c r="CI30" s="22">
        <v>0</v>
      </c>
      <c r="CJ30" s="22">
        <v>0</v>
      </c>
      <c r="CK30" s="24">
        <v>0</v>
      </c>
      <c r="CL30" s="22">
        <v>0</v>
      </c>
      <c r="CM30" s="22">
        <v>0</v>
      </c>
      <c r="CN30" s="24">
        <v>0</v>
      </c>
      <c r="CO30" s="22">
        <v>0</v>
      </c>
      <c r="CP30" s="22">
        <v>0</v>
      </c>
      <c r="CQ30" s="24">
        <v>0</v>
      </c>
      <c r="CR30" s="22">
        <v>0</v>
      </c>
      <c r="CS30" s="22">
        <v>0</v>
      </c>
      <c r="CT30" s="24">
        <v>0</v>
      </c>
      <c r="CU30" s="22">
        <v>0</v>
      </c>
      <c r="CV30" s="22">
        <v>0</v>
      </c>
      <c r="CW30" s="24">
        <v>0</v>
      </c>
      <c r="CX30" s="22">
        <v>0</v>
      </c>
      <c r="CY30" s="22">
        <v>0</v>
      </c>
      <c r="CZ30" s="24">
        <v>0</v>
      </c>
      <c r="DA30" s="22">
        <v>0</v>
      </c>
      <c r="DB30" s="22">
        <v>0</v>
      </c>
      <c r="DC30" s="24">
        <v>0</v>
      </c>
      <c r="DD30" s="22">
        <v>0</v>
      </c>
      <c r="DE30" s="22">
        <v>0</v>
      </c>
      <c r="DF30" s="24">
        <v>0</v>
      </c>
      <c r="DG30" s="22">
        <v>0</v>
      </c>
      <c r="DH30" s="22">
        <v>0</v>
      </c>
      <c r="DI30" s="24">
        <v>0</v>
      </c>
      <c r="DJ30" s="22">
        <v>0</v>
      </c>
      <c r="DK30" s="22">
        <v>0</v>
      </c>
      <c r="DL30" s="24">
        <v>0</v>
      </c>
      <c r="DM30" s="22">
        <v>0</v>
      </c>
      <c r="DN30" s="22">
        <v>0</v>
      </c>
      <c r="DO30" s="24">
        <v>0</v>
      </c>
      <c r="DP30" s="22">
        <v>0</v>
      </c>
      <c r="DQ30" s="22">
        <v>0</v>
      </c>
      <c r="DR30" s="24">
        <v>0</v>
      </c>
      <c r="DS30" s="22">
        <v>0</v>
      </c>
      <c r="DT30" s="22">
        <v>0</v>
      </c>
      <c r="DU30" s="24">
        <v>0</v>
      </c>
      <c r="DV30" s="22">
        <v>0</v>
      </c>
      <c r="DW30" s="22">
        <v>0</v>
      </c>
      <c r="DX30" s="24">
        <v>0</v>
      </c>
      <c r="DY30" s="22">
        <v>0</v>
      </c>
      <c r="DZ30" s="22">
        <v>0</v>
      </c>
      <c r="EA30" s="24">
        <v>0</v>
      </c>
      <c r="EB30" s="22">
        <v>0</v>
      </c>
      <c r="EC30" s="22">
        <v>0</v>
      </c>
      <c r="ED30" s="24">
        <v>0</v>
      </c>
      <c r="EE30" s="22">
        <v>0</v>
      </c>
      <c r="EF30" s="22">
        <v>0</v>
      </c>
      <c r="EG30" s="24">
        <v>0</v>
      </c>
      <c r="EH30" s="22">
        <v>0</v>
      </c>
      <c r="EI30" s="22">
        <v>0</v>
      </c>
      <c r="EJ30" s="24">
        <v>0</v>
      </c>
      <c r="EK30" s="22">
        <v>0</v>
      </c>
      <c r="EL30" s="22">
        <v>0</v>
      </c>
      <c r="EM30" s="24">
        <v>0</v>
      </c>
      <c r="EN30" s="641"/>
      <c r="EO30" s="639"/>
      <c r="EP30" s="639"/>
      <c r="EQ30" s="639"/>
      <c r="ER30" s="639"/>
      <c r="ES30" s="639"/>
      <c r="ET30" s="639"/>
      <c r="EU30" s="352" t="s">
        <v>198</v>
      </c>
    </row>
    <row r="31" spans="1:151" ht="12.75">
      <c r="A31" s="40">
        <v>43862</v>
      </c>
      <c r="B31" s="84">
        <f t="shared" ref="B31:D31" si="27">SUM(I31,AA31,AD31,AG31,AJ31,AM31,BB31,BE31,BW31,CL31,CO31,CX31,DA31,DJ31,EE31,)</f>
        <v>12</v>
      </c>
      <c r="C31" s="41">
        <f t="shared" si="27"/>
        <v>0</v>
      </c>
      <c r="D31" s="41">
        <f t="shared" si="27"/>
        <v>0</v>
      </c>
      <c r="E31" s="16">
        <f t="shared" si="2"/>
        <v>12</v>
      </c>
      <c r="F31" s="18">
        <v>0</v>
      </c>
      <c r="G31" s="18">
        <v>0</v>
      </c>
      <c r="H31" s="317">
        <v>0</v>
      </c>
      <c r="I31" s="18">
        <v>0</v>
      </c>
      <c r="J31" s="18">
        <v>0</v>
      </c>
      <c r="K31" s="317">
        <v>0</v>
      </c>
      <c r="L31" s="18">
        <v>0</v>
      </c>
      <c r="M31" s="18">
        <v>0</v>
      </c>
      <c r="N31" s="317">
        <v>0</v>
      </c>
      <c r="O31" s="18">
        <v>0</v>
      </c>
      <c r="P31" s="18">
        <v>0</v>
      </c>
      <c r="Q31" s="317">
        <v>0</v>
      </c>
      <c r="R31" s="18">
        <v>0</v>
      </c>
      <c r="S31" s="18">
        <v>0</v>
      </c>
      <c r="T31" s="317">
        <v>0</v>
      </c>
      <c r="U31" s="18">
        <v>0</v>
      </c>
      <c r="V31" s="18">
        <v>0</v>
      </c>
      <c r="W31" s="317">
        <v>0</v>
      </c>
      <c r="X31" s="18">
        <v>0</v>
      </c>
      <c r="Y31" s="18">
        <v>0</v>
      </c>
      <c r="Z31" s="317">
        <v>0</v>
      </c>
      <c r="AA31" s="18">
        <v>0</v>
      </c>
      <c r="AB31" s="18">
        <v>0</v>
      </c>
      <c r="AC31" s="317">
        <v>0</v>
      </c>
      <c r="AD31" s="105">
        <v>4</v>
      </c>
      <c r="AE31" s="18">
        <v>0</v>
      </c>
      <c r="AF31" s="317">
        <v>0</v>
      </c>
      <c r="AG31" s="18">
        <v>0</v>
      </c>
      <c r="AH31" s="18">
        <v>0</v>
      </c>
      <c r="AI31" s="317">
        <v>0</v>
      </c>
      <c r="AJ31" s="18">
        <v>0</v>
      </c>
      <c r="AK31" s="18">
        <v>0</v>
      </c>
      <c r="AL31" s="317">
        <v>0</v>
      </c>
      <c r="AM31" s="18">
        <v>0</v>
      </c>
      <c r="AN31" s="18">
        <v>0</v>
      </c>
      <c r="AO31" s="317">
        <v>0</v>
      </c>
      <c r="AP31" s="18">
        <v>0</v>
      </c>
      <c r="AQ31" s="18">
        <v>0</v>
      </c>
      <c r="AR31" s="317">
        <v>0</v>
      </c>
      <c r="AS31" s="18">
        <v>0</v>
      </c>
      <c r="AT31" s="18">
        <v>0</v>
      </c>
      <c r="AU31" s="317">
        <v>0</v>
      </c>
      <c r="AV31" s="18">
        <v>0</v>
      </c>
      <c r="AW31" s="18">
        <v>0</v>
      </c>
      <c r="AX31" s="317">
        <v>0</v>
      </c>
      <c r="AY31" s="18">
        <v>0</v>
      </c>
      <c r="AZ31" s="18">
        <v>0</v>
      </c>
      <c r="BA31" s="317">
        <v>0</v>
      </c>
      <c r="BB31" s="18">
        <v>0</v>
      </c>
      <c r="BC31" s="18">
        <v>0</v>
      </c>
      <c r="BD31" s="317">
        <v>0</v>
      </c>
      <c r="BE31" s="105">
        <v>8</v>
      </c>
      <c r="BF31" s="18">
        <v>0</v>
      </c>
      <c r="BG31" s="317">
        <v>0</v>
      </c>
      <c r="BH31" s="18">
        <v>0</v>
      </c>
      <c r="BI31" s="18">
        <v>0</v>
      </c>
      <c r="BJ31" s="317">
        <v>0</v>
      </c>
      <c r="BK31" s="18">
        <v>0</v>
      </c>
      <c r="BL31" s="18">
        <v>0</v>
      </c>
      <c r="BM31" s="317">
        <v>0</v>
      </c>
      <c r="BN31" s="18">
        <v>0</v>
      </c>
      <c r="BO31" s="18">
        <v>0</v>
      </c>
      <c r="BP31" s="317">
        <v>0</v>
      </c>
      <c r="BQ31" s="18">
        <v>0</v>
      </c>
      <c r="BR31" s="18">
        <v>0</v>
      </c>
      <c r="BS31" s="317">
        <v>0</v>
      </c>
      <c r="BT31" s="18">
        <v>0</v>
      </c>
      <c r="BU31" s="18">
        <v>0</v>
      </c>
      <c r="BV31" s="317">
        <v>0</v>
      </c>
      <c r="BW31" s="18">
        <v>0</v>
      </c>
      <c r="BX31" s="18">
        <v>0</v>
      </c>
      <c r="BY31" s="317">
        <v>0</v>
      </c>
      <c r="BZ31" s="18">
        <v>0</v>
      </c>
      <c r="CA31" s="18">
        <v>0</v>
      </c>
      <c r="CB31" s="317">
        <v>0</v>
      </c>
      <c r="CC31" s="18">
        <v>0</v>
      </c>
      <c r="CD31" s="18">
        <v>0</v>
      </c>
      <c r="CE31" s="317">
        <v>0</v>
      </c>
      <c r="CF31" s="18">
        <v>0</v>
      </c>
      <c r="CG31" s="18">
        <v>0</v>
      </c>
      <c r="CH31" s="317">
        <v>0</v>
      </c>
      <c r="CI31" s="18">
        <v>0</v>
      </c>
      <c r="CJ31" s="18">
        <v>0</v>
      </c>
      <c r="CK31" s="317">
        <v>0</v>
      </c>
      <c r="CL31" s="18">
        <v>0</v>
      </c>
      <c r="CM31" s="18">
        <v>0</v>
      </c>
      <c r="CN31" s="317">
        <v>0</v>
      </c>
      <c r="CO31" s="18">
        <v>0</v>
      </c>
      <c r="CP31" s="18">
        <v>0</v>
      </c>
      <c r="CQ31" s="317">
        <v>0</v>
      </c>
      <c r="CR31" s="18">
        <v>0</v>
      </c>
      <c r="CS31" s="18">
        <v>0</v>
      </c>
      <c r="CT31" s="317">
        <v>0</v>
      </c>
      <c r="CU31" s="18">
        <v>0</v>
      </c>
      <c r="CV31" s="18">
        <v>0</v>
      </c>
      <c r="CW31" s="317">
        <v>0</v>
      </c>
      <c r="CX31" s="18">
        <v>0</v>
      </c>
      <c r="CY31" s="18">
        <v>0</v>
      </c>
      <c r="CZ31" s="317">
        <v>0</v>
      </c>
      <c r="DA31" s="18">
        <v>0</v>
      </c>
      <c r="DB31" s="18">
        <v>0</v>
      </c>
      <c r="DC31" s="317">
        <v>0</v>
      </c>
      <c r="DD31" s="18">
        <v>0</v>
      </c>
      <c r="DE31" s="18">
        <v>0</v>
      </c>
      <c r="DF31" s="317">
        <v>0</v>
      </c>
      <c r="DG31" s="18">
        <v>0</v>
      </c>
      <c r="DH31" s="18">
        <v>0</v>
      </c>
      <c r="DI31" s="317">
        <v>0</v>
      </c>
      <c r="DJ31" s="18">
        <v>0</v>
      </c>
      <c r="DK31" s="18">
        <v>0</v>
      </c>
      <c r="DL31" s="317">
        <v>0</v>
      </c>
      <c r="DM31" s="18">
        <v>0</v>
      </c>
      <c r="DN31" s="18">
        <v>0</v>
      </c>
      <c r="DO31" s="317">
        <v>0</v>
      </c>
      <c r="DP31" s="18">
        <v>0</v>
      </c>
      <c r="DQ31" s="18">
        <v>0</v>
      </c>
      <c r="DR31" s="317">
        <v>0</v>
      </c>
      <c r="DS31" s="18">
        <v>0</v>
      </c>
      <c r="DT31" s="18">
        <v>0</v>
      </c>
      <c r="DU31" s="317">
        <v>0</v>
      </c>
      <c r="DV31" s="18">
        <v>0</v>
      </c>
      <c r="DW31" s="18">
        <v>0</v>
      </c>
      <c r="DX31" s="317">
        <v>0</v>
      </c>
      <c r="DY31" s="18">
        <v>0</v>
      </c>
      <c r="DZ31" s="18">
        <v>0</v>
      </c>
      <c r="EA31" s="317">
        <v>0</v>
      </c>
      <c r="EB31" s="18">
        <v>0</v>
      </c>
      <c r="EC31" s="18">
        <v>0</v>
      </c>
      <c r="ED31" s="317">
        <v>0</v>
      </c>
      <c r="EE31" s="18">
        <v>0</v>
      </c>
      <c r="EF31" s="18">
        <v>0</v>
      </c>
      <c r="EG31" s="317">
        <v>0</v>
      </c>
      <c r="EH31" s="18">
        <v>0</v>
      </c>
      <c r="EI31" s="18">
        <v>0</v>
      </c>
      <c r="EJ31" s="317">
        <v>0</v>
      </c>
      <c r="EK31" s="18">
        <v>0</v>
      </c>
      <c r="EL31" s="18">
        <v>0</v>
      </c>
      <c r="EM31" s="317">
        <v>0</v>
      </c>
      <c r="EN31" s="640"/>
      <c r="EO31" s="531"/>
      <c r="EP31" s="531"/>
      <c r="EQ31" s="531"/>
      <c r="ER31" s="531"/>
      <c r="ES31" s="531"/>
      <c r="ET31" s="531"/>
      <c r="EU31" s="339"/>
    </row>
    <row r="32" spans="1:151" ht="12.75">
      <c r="A32" s="40">
        <v>43863</v>
      </c>
      <c r="B32" s="84">
        <f t="shared" ref="B32:D32" si="28">SUM(I32,AA32,AD32,AG32,AJ32,AM32,BB32,BE32,BW32,CL32,CO32,CX32,DA32,DJ32,EE32,)</f>
        <v>15</v>
      </c>
      <c r="C32" s="41">
        <f t="shared" si="28"/>
        <v>0</v>
      </c>
      <c r="D32" s="41">
        <f t="shared" si="28"/>
        <v>0</v>
      </c>
      <c r="E32" s="16">
        <f t="shared" si="2"/>
        <v>15</v>
      </c>
      <c r="F32" s="15">
        <v>0</v>
      </c>
      <c r="G32" s="15">
        <v>0</v>
      </c>
      <c r="H32" s="17">
        <v>0</v>
      </c>
      <c r="I32" s="15">
        <v>0</v>
      </c>
      <c r="J32" s="15">
        <v>0</v>
      </c>
      <c r="K32" s="17">
        <v>0</v>
      </c>
      <c r="L32" s="15">
        <v>0</v>
      </c>
      <c r="M32" s="15">
        <v>0</v>
      </c>
      <c r="N32" s="17">
        <v>0</v>
      </c>
      <c r="O32" s="15">
        <v>0</v>
      </c>
      <c r="P32" s="15">
        <v>0</v>
      </c>
      <c r="Q32" s="17">
        <v>0</v>
      </c>
      <c r="R32" s="15">
        <v>0</v>
      </c>
      <c r="S32" s="15">
        <v>0</v>
      </c>
      <c r="T32" s="17">
        <v>0</v>
      </c>
      <c r="U32" s="15">
        <v>0</v>
      </c>
      <c r="V32" s="15">
        <v>0</v>
      </c>
      <c r="W32" s="17">
        <v>0</v>
      </c>
      <c r="X32" s="15">
        <v>0</v>
      </c>
      <c r="Y32" s="15">
        <v>0</v>
      </c>
      <c r="Z32" s="17">
        <v>0</v>
      </c>
      <c r="AA32" s="15">
        <v>0</v>
      </c>
      <c r="AB32" s="15">
        <v>0</v>
      </c>
      <c r="AC32" s="17">
        <v>0</v>
      </c>
      <c r="AD32" s="105">
        <v>4</v>
      </c>
      <c r="AE32" s="15">
        <v>0</v>
      </c>
      <c r="AF32" s="17">
        <v>0</v>
      </c>
      <c r="AG32" s="15">
        <v>0</v>
      </c>
      <c r="AH32" s="15">
        <v>0</v>
      </c>
      <c r="AI32" s="17">
        <v>0</v>
      </c>
      <c r="AJ32" s="15">
        <v>0</v>
      </c>
      <c r="AK32" s="15">
        <v>0</v>
      </c>
      <c r="AL32" s="17">
        <v>0</v>
      </c>
      <c r="AM32" s="15">
        <v>0</v>
      </c>
      <c r="AN32" s="15">
        <v>0</v>
      </c>
      <c r="AO32" s="17">
        <v>0</v>
      </c>
      <c r="AP32" s="15">
        <v>0</v>
      </c>
      <c r="AQ32" s="15">
        <v>0</v>
      </c>
      <c r="AR32" s="17">
        <v>0</v>
      </c>
      <c r="AS32" s="15">
        <v>0</v>
      </c>
      <c r="AT32" s="15">
        <v>0</v>
      </c>
      <c r="AU32" s="17">
        <v>0</v>
      </c>
      <c r="AV32" s="15">
        <v>0</v>
      </c>
      <c r="AW32" s="15">
        <v>0</v>
      </c>
      <c r="AX32" s="17">
        <v>0</v>
      </c>
      <c r="AY32" s="15">
        <v>0</v>
      </c>
      <c r="AZ32" s="15">
        <v>0</v>
      </c>
      <c r="BA32" s="17">
        <v>0</v>
      </c>
      <c r="BB32" s="15">
        <v>0</v>
      </c>
      <c r="BC32" s="15">
        <v>0</v>
      </c>
      <c r="BD32" s="17">
        <v>0</v>
      </c>
      <c r="BE32" s="105">
        <v>11</v>
      </c>
      <c r="BF32" s="15">
        <v>0</v>
      </c>
      <c r="BG32" s="17">
        <v>0</v>
      </c>
      <c r="BH32" s="15">
        <v>0</v>
      </c>
      <c r="BI32" s="15">
        <v>0</v>
      </c>
      <c r="BJ32" s="17">
        <v>0</v>
      </c>
      <c r="BK32" s="15">
        <v>0</v>
      </c>
      <c r="BL32" s="15">
        <v>0</v>
      </c>
      <c r="BM32" s="17">
        <v>0</v>
      </c>
      <c r="BN32" s="15">
        <v>0</v>
      </c>
      <c r="BO32" s="15">
        <v>0</v>
      </c>
      <c r="BP32" s="17">
        <v>0</v>
      </c>
      <c r="BQ32" s="15">
        <v>0</v>
      </c>
      <c r="BR32" s="15">
        <v>0</v>
      </c>
      <c r="BS32" s="17">
        <v>0</v>
      </c>
      <c r="BT32" s="15">
        <v>0</v>
      </c>
      <c r="BU32" s="15">
        <v>0</v>
      </c>
      <c r="BV32" s="17">
        <v>0</v>
      </c>
      <c r="BW32" s="15">
        <v>0</v>
      </c>
      <c r="BX32" s="15">
        <v>0</v>
      </c>
      <c r="BY32" s="17">
        <v>0</v>
      </c>
      <c r="BZ32" s="15">
        <v>0</v>
      </c>
      <c r="CA32" s="15">
        <v>0</v>
      </c>
      <c r="CB32" s="17">
        <v>0</v>
      </c>
      <c r="CC32" s="15">
        <v>0</v>
      </c>
      <c r="CD32" s="15">
        <v>0</v>
      </c>
      <c r="CE32" s="17">
        <v>0</v>
      </c>
      <c r="CF32" s="15">
        <v>0</v>
      </c>
      <c r="CG32" s="15">
        <v>0</v>
      </c>
      <c r="CH32" s="17">
        <v>0</v>
      </c>
      <c r="CI32" s="15">
        <v>0</v>
      </c>
      <c r="CJ32" s="15">
        <v>0</v>
      </c>
      <c r="CK32" s="17">
        <v>0</v>
      </c>
      <c r="CL32" s="15">
        <v>0</v>
      </c>
      <c r="CM32" s="15">
        <v>0</v>
      </c>
      <c r="CN32" s="17">
        <v>0</v>
      </c>
      <c r="CO32" s="15">
        <v>0</v>
      </c>
      <c r="CP32" s="15">
        <v>0</v>
      </c>
      <c r="CQ32" s="17">
        <v>0</v>
      </c>
      <c r="CR32" s="15">
        <v>0</v>
      </c>
      <c r="CS32" s="15">
        <v>0</v>
      </c>
      <c r="CT32" s="17">
        <v>0</v>
      </c>
      <c r="CU32" s="15">
        <v>0</v>
      </c>
      <c r="CV32" s="15">
        <v>0</v>
      </c>
      <c r="CW32" s="17">
        <v>0</v>
      </c>
      <c r="CX32" s="15">
        <v>0</v>
      </c>
      <c r="CY32" s="15">
        <v>0</v>
      </c>
      <c r="CZ32" s="17">
        <v>0</v>
      </c>
      <c r="DA32" s="15">
        <v>0</v>
      </c>
      <c r="DB32" s="15">
        <v>0</v>
      </c>
      <c r="DC32" s="17">
        <v>0</v>
      </c>
      <c r="DD32" s="15">
        <v>0</v>
      </c>
      <c r="DE32" s="15">
        <v>0</v>
      </c>
      <c r="DF32" s="17">
        <v>0</v>
      </c>
      <c r="DG32" s="15">
        <v>0</v>
      </c>
      <c r="DH32" s="15">
        <v>0</v>
      </c>
      <c r="DI32" s="17">
        <v>0</v>
      </c>
      <c r="DJ32" s="15">
        <v>0</v>
      </c>
      <c r="DK32" s="15">
        <v>0</v>
      </c>
      <c r="DL32" s="17">
        <v>0</v>
      </c>
      <c r="DM32" s="15">
        <v>0</v>
      </c>
      <c r="DN32" s="15">
        <v>0</v>
      </c>
      <c r="DO32" s="17">
        <v>0</v>
      </c>
      <c r="DP32" s="15">
        <v>0</v>
      </c>
      <c r="DQ32" s="15">
        <v>0</v>
      </c>
      <c r="DR32" s="17">
        <v>0</v>
      </c>
      <c r="DS32" s="15">
        <v>0</v>
      </c>
      <c r="DT32" s="15">
        <v>0</v>
      </c>
      <c r="DU32" s="17">
        <v>0</v>
      </c>
      <c r="DV32" s="15">
        <v>0</v>
      </c>
      <c r="DW32" s="15">
        <v>0</v>
      </c>
      <c r="DX32" s="17">
        <v>0</v>
      </c>
      <c r="DY32" s="15">
        <v>0</v>
      </c>
      <c r="DZ32" s="15">
        <v>0</v>
      </c>
      <c r="EA32" s="17">
        <v>0</v>
      </c>
      <c r="EB32" s="15">
        <v>0</v>
      </c>
      <c r="EC32" s="15">
        <v>0</v>
      </c>
      <c r="ED32" s="17">
        <v>0</v>
      </c>
      <c r="EE32" s="15">
        <v>0</v>
      </c>
      <c r="EF32" s="15">
        <v>0</v>
      </c>
      <c r="EG32" s="17">
        <v>0</v>
      </c>
      <c r="EH32" s="15">
        <v>0</v>
      </c>
      <c r="EI32" s="15">
        <v>0</v>
      </c>
      <c r="EJ32" s="17">
        <v>0</v>
      </c>
      <c r="EK32" s="15">
        <v>0</v>
      </c>
      <c r="EL32" s="15">
        <v>0</v>
      </c>
      <c r="EM32" s="17">
        <v>0</v>
      </c>
      <c r="EN32" s="640"/>
      <c r="EO32" s="531"/>
      <c r="EP32" s="531"/>
      <c r="EQ32" s="531"/>
      <c r="ER32" s="531"/>
      <c r="ES32" s="531"/>
      <c r="ET32" s="531"/>
      <c r="EU32" s="57" t="s">
        <v>833</v>
      </c>
    </row>
    <row r="33" spans="1:151" ht="12.75">
      <c r="A33" s="40">
        <v>43864</v>
      </c>
      <c r="B33" s="84">
        <f t="shared" ref="B33:D33" si="29">SUM(I33,AA33,AD33,AG33,AJ33,AM33,BB33,BE33,BW33,CL33,CO33,CX33,DA33,DJ33,EE33,)</f>
        <v>15</v>
      </c>
      <c r="C33" s="41">
        <f t="shared" si="29"/>
        <v>0</v>
      </c>
      <c r="D33" s="41">
        <f t="shared" si="29"/>
        <v>0</v>
      </c>
      <c r="E33" s="16">
        <f t="shared" si="2"/>
        <v>15</v>
      </c>
      <c r="F33" s="18">
        <v>0</v>
      </c>
      <c r="G33" s="18">
        <v>0</v>
      </c>
      <c r="H33" s="317">
        <v>0</v>
      </c>
      <c r="I33" s="18">
        <v>0</v>
      </c>
      <c r="J33" s="18">
        <v>0</v>
      </c>
      <c r="K33" s="317">
        <v>0</v>
      </c>
      <c r="L33" s="18">
        <v>0</v>
      </c>
      <c r="M33" s="18">
        <v>0</v>
      </c>
      <c r="N33" s="317">
        <v>0</v>
      </c>
      <c r="O33" s="18">
        <v>0</v>
      </c>
      <c r="P33" s="18">
        <v>0</v>
      </c>
      <c r="Q33" s="317">
        <v>0</v>
      </c>
      <c r="R33" s="18">
        <v>0</v>
      </c>
      <c r="S33" s="18">
        <v>0</v>
      </c>
      <c r="T33" s="317">
        <v>0</v>
      </c>
      <c r="U33" s="18">
        <v>0</v>
      </c>
      <c r="V33" s="18">
        <v>0</v>
      </c>
      <c r="W33" s="317">
        <v>0</v>
      </c>
      <c r="X33" s="18">
        <v>0</v>
      </c>
      <c r="Y33" s="18">
        <v>0</v>
      </c>
      <c r="Z33" s="317">
        <v>0</v>
      </c>
      <c r="AA33" s="18">
        <v>0</v>
      </c>
      <c r="AB33" s="18">
        <v>0</v>
      </c>
      <c r="AC33" s="317">
        <v>0</v>
      </c>
      <c r="AD33" s="105">
        <v>4</v>
      </c>
      <c r="AE33" s="18">
        <v>0</v>
      </c>
      <c r="AF33" s="317">
        <v>0</v>
      </c>
      <c r="AG33" s="18">
        <v>0</v>
      </c>
      <c r="AH33" s="18">
        <v>0</v>
      </c>
      <c r="AI33" s="317">
        <v>0</v>
      </c>
      <c r="AJ33" s="18">
        <v>0</v>
      </c>
      <c r="AK33" s="18">
        <v>0</v>
      </c>
      <c r="AL33" s="317">
        <v>0</v>
      </c>
      <c r="AM33" s="18">
        <v>0</v>
      </c>
      <c r="AN33" s="18">
        <v>0</v>
      </c>
      <c r="AO33" s="317">
        <v>0</v>
      </c>
      <c r="AP33" s="18">
        <v>0</v>
      </c>
      <c r="AQ33" s="18">
        <v>0</v>
      </c>
      <c r="AR33" s="317">
        <v>0</v>
      </c>
      <c r="AS33" s="18">
        <v>0</v>
      </c>
      <c r="AT33" s="18">
        <v>0</v>
      </c>
      <c r="AU33" s="317">
        <v>0</v>
      </c>
      <c r="AV33" s="18">
        <v>0</v>
      </c>
      <c r="AW33" s="18">
        <v>0</v>
      </c>
      <c r="AX33" s="317">
        <v>0</v>
      </c>
      <c r="AY33" s="18">
        <v>0</v>
      </c>
      <c r="AZ33" s="18">
        <v>0</v>
      </c>
      <c r="BA33" s="317">
        <v>0</v>
      </c>
      <c r="BB33" s="18">
        <v>0</v>
      </c>
      <c r="BC33" s="18">
        <v>0</v>
      </c>
      <c r="BD33" s="317">
        <v>0</v>
      </c>
      <c r="BE33" s="105">
        <v>11</v>
      </c>
      <c r="BF33" s="18">
        <v>0</v>
      </c>
      <c r="BG33" s="317">
        <v>0</v>
      </c>
      <c r="BH33" s="18">
        <v>0</v>
      </c>
      <c r="BI33" s="18">
        <v>0</v>
      </c>
      <c r="BJ33" s="317">
        <v>0</v>
      </c>
      <c r="BK33" s="18">
        <v>0</v>
      </c>
      <c r="BL33" s="18">
        <v>0</v>
      </c>
      <c r="BM33" s="317">
        <v>0</v>
      </c>
      <c r="BN33" s="18">
        <v>0</v>
      </c>
      <c r="BO33" s="18">
        <v>0</v>
      </c>
      <c r="BP33" s="317">
        <v>0</v>
      </c>
      <c r="BQ33" s="18">
        <v>0</v>
      </c>
      <c r="BR33" s="18">
        <v>0</v>
      </c>
      <c r="BS33" s="317">
        <v>0</v>
      </c>
      <c r="BT33" s="18">
        <v>0</v>
      </c>
      <c r="BU33" s="18">
        <v>0</v>
      </c>
      <c r="BV33" s="317">
        <v>0</v>
      </c>
      <c r="BW33" s="18">
        <v>0</v>
      </c>
      <c r="BX33" s="18">
        <v>0</v>
      </c>
      <c r="BY33" s="317">
        <v>0</v>
      </c>
      <c r="BZ33" s="18">
        <v>0</v>
      </c>
      <c r="CA33" s="18">
        <v>0</v>
      </c>
      <c r="CB33" s="317">
        <v>0</v>
      </c>
      <c r="CC33" s="18">
        <v>0</v>
      </c>
      <c r="CD33" s="18">
        <v>0</v>
      </c>
      <c r="CE33" s="317">
        <v>0</v>
      </c>
      <c r="CF33" s="18">
        <v>0</v>
      </c>
      <c r="CG33" s="18">
        <v>0</v>
      </c>
      <c r="CH33" s="317">
        <v>0</v>
      </c>
      <c r="CI33" s="18">
        <v>0</v>
      </c>
      <c r="CJ33" s="18">
        <v>0</v>
      </c>
      <c r="CK33" s="317">
        <v>0</v>
      </c>
      <c r="CL33" s="18">
        <v>0</v>
      </c>
      <c r="CM33" s="18">
        <v>0</v>
      </c>
      <c r="CN33" s="317">
        <v>0</v>
      </c>
      <c r="CO33" s="18">
        <v>0</v>
      </c>
      <c r="CP33" s="18">
        <v>0</v>
      </c>
      <c r="CQ33" s="317">
        <v>0</v>
      </c>
      <c r="CR33" s="18">
        <v>0</v>
      </c>
      <c r="CS33" s="18">
        <v>0</v>
      </c>
      <c r="CT33" s="317">
        <v>0</v>
      </c>
      <c r="CU33" s="18">
        <v>0</v>
      </c>
      <c r="CV33" s="18">
        <v>0</v>
      </c>
      <c r="CW33" s="317">
        <v>0</v>
      </c>
      <c r="CX33" s="18">
        <v>0</v>
      </c>
      <c r="CY33" s="18">
        <v>0</v>
      </c>
      <c r="CZ33" s="317">
        <v>0</v>
      </c>
      <c r="DA33" s="18">
        <v>0</v>
      </c>
      <c r="DB33" s="18">
        <v>0</v>
      </c>
      <c r="DC33" s="317">
        <v>0</v>
      </c>
      <c r="DD33" s="18">
        <v>0</v>
      </c>
      <c r="DE33" s="18">
        <v>0</v>
      </c>
      <c r="DF33" s="317">
        <v>0</v>
      </c>
      <c r="DG33" s="18">
        <v>0</v>
      </c>
      <c r="DH33" s="18">
        <v>0</v>
      </c>
      <c r="DI33" s="317">
        <v>0</v>
      </c>
      <c r="DJ33" s="18">
        <v>0</v>
      </c>
      <c r="DK33" s="18">
        <v>0</v>
      </c>
      <c r="DL33" s="317">
        <v>0</v>
      </c>
      <c r="DM33" s="18">
        <v>0</v>
      </c>
      <c r="DN33" s="18">
        <v>0</v>
      </c>
      <c r="DO33" s="317">
        <v>0</v>
      </c>
      <c r="DP33" s="18">
        <v>0</v>
      </c>
      <c r="DQ33" s="18">
        <v>0</v>
      </c>
      <c r="DR33" s="317">
        <v>0</v>
      </c>
      <c r="DS33" s="18">
        <v>0</v>
      </c>
      <c r="DT33" s="18">
        <v>0</v>
      </c>
      <c r="DU33" s="317">
        <v>0</v>
      </c>
      <c r="DV33" s="18">
        <v>0</v>
      </c>
      <c r="DW33" s="18">
        <v>0</v>
      </c>
      <c r="DX33" s="317">
        <v>0</v>
      </c>
      <c r="DY33" s="18">
        <v>0</v>
      </c>
      <c r="DZ33" s="18">
        <v>0</v>
      </c>
      <c r="EA33" s="317">
        <v>0</v>
      </c>
      <c r="EB33" s="18">
        <v>0</v>
      </c>
      <c r="EC33" s="18">
        <v>0</v>
      </c>
      <c r="ED33" s="317">
        <v>0</v>
      </c>
      <c r="EE33" s="18">
        <v>0</v>
      </c>
      <c r="EF33" s="18">
        <v>0</v>
      </c>
      <c r="EG33" s="317">
        <v>0</v>
      </c>
      <c r="EH33" s="18">
        <v>0</v>
      </c>
      <c r="EI33" s="18">
        <v>0</v>
      </c>
      <c r="EJ33" s="317">
        <v>0</v>
      </c>
      <c r="EK33" s="18">
        <v>0</v>
      </c>
      <c r="EL33" s="18">
        <v>0</v>
      </c>
      <c r="EM33" s="317">
        <v>0</v>
      </c>
      <c r="EN33" s="640"/>
      <c r="EO33" s="531"/>
      <c r="EP33" s="531"/>
      <c r="EQ33" s="531"/>
      <c r="ER33" s="531"/>
      <c r="ES33" s="531"/>
      <c r="ET33" s="531"/>
      <c r="EU33" s="339"/>
    </row>
    <row r="34" spans="1:151" ht="12.75">
      <c r="A34" s="40">
        <v>43865</v>
      </c>
      <c r="B34" s="84">
        <f t="shared" ref="B34:D34" si="30">SUM(I34,AA34,AD34,AG34,AJ34,AM34,BB34,BE34,BW34,CL34,CO34,CX34,DA34,DJ34,EE34,)</f>
        <v>16</v>
      </c>
      <c r="C34" s="41">
        <f t="shared" si="30"/>
        <v>0</v>
      </c>
      <c r="D34" s="41">
        <f t="shared" si="30"/>
        <v>0</v>
      </c>
      <c r="E34" s="16">
        <f t="shared" si="2"/>
        <v>16</v>
      </c>
      <c r="F34" s="15">
        <v>0</v>
      </c>
      <c r="G34" s="15">
        <v>0</v>
      </c>
      <c r="H34" s="17">
        <v>0</v>
      </c>
      <c r="I34" s="15">
        <v>0</v>
      </c>
      <c r="J34" s="15">
        <v>0</v>
      </c>
      <c r="K34" s="17">
        <v>0</v>
      </c>
      <c r="L34" s="15">
        <v>0</v>
      </c>
      <c r="M34" s="15">
        <v>0</v>
      </c>
      <c r="N34" s="17">
        <v>0</v>
      </c>
      <c r="O34" s="15">
        <v>0</v>
      </c>
      <c r="P34" s="15">
        <v>0</v>
      </c>
      <c r="Q34" s="17">
        <v>0</v>
      </c>
      <c r="R34" s="15">
        <v>0</v>
      </c>
      <c r="S34" s="15">
        <v>0</v>
      </c>
      <c r="T34" s="17">
        <v>0</v>
      </c>
      <c r="U34" s="15">
        <v>0</v>
      </c>
      <c r="V34" s="15">
        <v>0</v>
      </c>
      <c r="W34" s="17">
        <v>0</v>
      </c>
      <c r="X34" s="15">
        <v>0</v>
      </c>
      <c r="Y34" s="15">
        <v>0</v>
      </c>
      <c r="Z34" s="17">
        <v>0</v>
      </c>
      <c r="AA34" s="15">
        <v>0</v>
      </c>
      <c r="AB34" s="15">
        <v>0</v>
      </c>
      <c r="AC34" s="17">
        <v>0</v>
      </c>
      <c r="AD34" s="105">
        <v>5</v>
      </c>
      <c r="AE34" s="15">
        <v>0</v>
      </c>
      <c r="AF34" s="17">
        <v>0</v>
      </c>
      <c r="AG34" s="15">
        <v>0</v>
      </c>
      <c r="AH34" s="15">
        <v>0</v>
      </c>
      <c r="AI34" s="17">
        <v>0</v>
      </c>
      <c r="AJ34" s="15">
        <v>0</v>
      </c>
      <c r="AK34" s="15">
        <v>0</v>
      </c>
      <c r="AL34" s="17">
        <v>0</v>
      </c>
      <c r="AM34" s="15">
        <v>0</v>
      </c>
      <c r="AN34" s="15">
        <v>0</v>
      </c>
      <c r="AO34" s="17">
        <v>0</v>
      </c>
      <c r="AP34" s="15">
        <v>0</v>
      </c>
      <c r="AQ34" s="15">
        <v>0</v>
      </c>
      <c r="AR34" s="17">
        <v>0</v>
      </c>
      <c r="AS34" s="15">
        <v>0</v>
      </c>
      <c r="AT34" s="15">
        <v>0</v>
      </c>
      <c r="AU34" s="17">
        <v>0</v>
      </c>
      <c r="AV34" s="15">
        <v>0</v>
      </c>
      <c r="AW34" s="15">
        <v>0</v>
      </c>
      <c r="AX34" s="17">
        <v>0</v>
      </c>
      <c r="AY34" s="15">
        <v>0</v>
      </c>
      <c r="AZ34" s="15">
        <v>0</v>
      </c>
      <c r="BA34" s="17">
        <v>0</v>
      </c>
      <c r="BB34" s="15">
        <v>0</v>
      </c>
      <c r="BC34" s="15">
        <v>0</v>
      </c>
      <c r="BD34" s="17">
        <v>0</v>
      </c>
      <c r="BE34" s="105">
        <v>11</v>
      </c>
      <c r="BF34" s="15">
        <v>0</v>
      </c>
      <c r="BG34" s="17">
        <v>0</v>
      </c>
      <c r="BH34" s="15">
        <v>0</v>
      </c>
      <c r="BI34" s="15">
        <v>0</v>
      </c>
      <c r="BJ34" s="17">
        <v>0</v>
      </c>
      <c r="BK34" s="15">
        <v>0</v>
      </c>
      <c r="BL34" s="15">
        <v>0</v>
      </c>
      <c r="BM34" s="17">
        <v>0</v>
      </c>
      <c r="BN34" s="15">
        <v>0</v>
      </c>
      <c r="BO34" s="15">
        <v>0</v>
      </c>
      <c r="BP34" s="17">
        <v>0</v>
      </c>
      <c r="BQ34" s="15">
        <v>0</v>
      </c>
      <c r="BR34" s="15">
        <v>0</v>
      </c>
      <c r="BS34" s="17">
        <v>0</v>
      </c>
      <c r="BT34" s="15">
        <v>0</v>
      </c>
      <c r="BU34" s="15">
        <v>0</v>
      </c>
      <c r="BV34" s="17">
        <v>0</v>
      </c>
      <c r="BW34" s="15">
        <v>0</v>
      </c>
      <c r="BX34" s="15">
        <v>0</v>
      </c>
      <c r="BY34" s="17">
        <v>0</v>
      </c>
      <c r="BZ34" s="15">
        <v>0</v>
      </c>
      <c r="CA34" s="15">
        <v>0</v>
      </c>
      <c r="CB34" s="17">
        <v>0</v>
      </c>
      <c r="CC34" s="15">
        <v>0</v>
      </c>
      <c r="CD34" s="15">
        <v>0</v>
      </c>
      <c r="CE34" s="17">
        <v>0</v>
      </c>
      <c r="CF34" s="15">
        <v>0</v>
      </c>
      <c r="CG34" s="15">
        <v>0</v>
      </c>
      <c r="CH34" s="17">
        <v>0</v>
      </c>
      <c r="CI34" s="15">
        <v>0</v>
      </c>
      <c r="CJ34" s="15">
        <v>0</v>
      </c>
      <c r="CK34" s="17">
        <v>0</v>
      </c>
      <c r="CL34" s="15">
        <v>0</v>
      </c>
      <c r="CM34" s="15">
        <v>0</v>
      </c>
      <c r="CN34" s="17">
        <v>0</v>
      </c>
      <c r="CO34" s="15">
        <v>0</v>
      </c>
      <c r="CP34" s="15">
        <v>0</v>
      </c>
      <c r="CQ34" s="17">
        <v>0</v>
      </c>
      <c r="CR34" s="15">
        <v>0</v>
      </c>
      <c r="CS34" s="15">
        <v>0</v>
      </c>
      <c r="CT34" s="17">
        <v>0</v>
      </c>
      <c r="CU34" s="15">
        <v>0</v>
      </c>
      <c r="CV34" s="15">
        <v>0</v>
      </c>
      <c r="CW34" s="17">
        <v>0</v>
      </c>
      <c r="CX34" s="15">
        <v>0</v>
      </c>
      <c r="CY34" s="15">
        <v>0</v>
      </c>
      <c r="CZ34" s="17">
        <v>0</v>
      </c>
      <c r="DA34" s="15">
        <v>0</v>
      </c>
      <c r="DB34" s="15">
        <v>0</v>
      </c>
      <c r="DC34" s="17">
        <v>0</v>
      </c>
      <c r="DD34" s="15">
        <v>0</v>
      </c>
      <c r="DE34" s="15">
        <v>0</v>
      </c>
      <c r="DF34" s="17">
        <v>0</v>
      </c>
      <c r="DG34" s="15">
        <v>0</v>
      </c>
      <c r="DH34" s="15">
        <v>0</v>
      </c>
      <c r="DI34" s="17">
        <v>0</v>
      </c>
      <c r="DJ34" s="15">
        <v>0</v>
      </c>
      <c r="DK34" s="15">
        <v>0</v>
      </c>
      <c r="DL34" s="17">
        <v>0</v>
      </c>
      <c r="DM34" s="15">
        <v>0</v>
      </c>
      <c r="DN34" s="15">
        <v>0</v>
      </c>
      <c r="DO34" s="17">
        <v>0</v>
      </c>
      <c r="DP34" s="15">
        <v>0</v>
      </c>
      <c r="DQ34" s="15">
        <v>0</v>
      </c>
      <c r="DR34" s="17">
        <v>0</v>
      </c>
      <c r="DS34" s="15">
        <v>0</v>
      </c>
      <c r="DT34" s="15">
        <v>0</v>
      </c>
      <c r="DU34" s="17">
        <v>0</v>
      </c>
      <c r="DV34" s="15">
        <v>0</v>
      </c>
      <c r="DW34" s="15">
        <v>0</v>
      </c>
      <c r="DX34" s="17">
        <v>0</v>
      </c>
      <c r="DY34" s="15">
        <v>0</v>
      </c>
      <c r="DZ34" s="15">
        <v>0</v>
      </c>
      <c r="EA34" s="17">
        <v>0</v>
      </c>
      <c r="EB34" s="15">
        <v>0</v>
      </c>
      <c r="EC34" s="15">
        <v>0</v>
      </c>
      <c r="ED34" s="17">
        <v>0</v>
      </c>
      <c r="EE34" s="15">
        <v>0</v>
      </c>
      <c r="EF34" s="15">
        <v>0</v>
      </c>
      <c r="EG34" s="17">
        <v>0</v>
      </c>
      <c r="EH34" s="15">
        <v>0</v>
      </c>
      <c r="EI34" s="15">
        <v>0</v>
      </c>
      <c r="EJ34" s="17">
        <v>0</v>
      </c>
      <c r="EK34" s="15">
        <v>0</v>
      </c>
      <c r="EL34" s="15">
        <v>0</v>
      </c>
      <c r="EM34" s="17">
        <v>0</v>
      </c>
      <c r="EN34" s="640"/>
      <c r="EO34" s="531"/>
      <c r="EP34" s="531"/>
      <c r="EQ34" s="531"/>
      <c r="ER34" s="531"/>
      <c r="ES34" s="531"/>
      <c r="ET34" s="531"/>
      <c r="EU34" s="77" t="s">
        <v>223</v>
      </c>
    </row>
    <row r="35" spans="1:151" ht="12.75">
      <c r="A35" s="40">
        <v>43866</v>
      </c>
      <c r="B35" s="84">
        <f t="shared" ref="B35:D35" si="31">SUM(I35,AA35,AD35,AG35,AJ35,AM35,BB35,BE35,BW35,CL35,CO35,CX35,DA35,DJ35,EE35,)</f>
        <v>17</v>
      </c>
      <c r="C35" s="41">
        <f t="shared" si="31"/>
        <v>0</v>
      </c>
      <c r="D35" s="41">
        <f t="shared" si="31"/>
        <v>0</v>
      </c>
      <c r="E35" s="16">
        <f t="shared" si="2"/>
        <v>17</v>
      </c>
      <c r="F35" s="18">
        <v>0</v>
      </c>
      <c r="G35" s="18">
        <v>0</v>
      </c>
      <c r="H35" s="317">
        <v>0</v>
      </c>
      <c r="I35" s="18">
        <v>0</v>
      </c>
      <c r="J35" s="18">
        <v>0</v>
      </c>
      <c r="K35" s="317">
        <v>0</v>
      </c>
      <c r="L35" s="18">
        <v>0</v>
      </c>
      <c r="M35" s="18">
        <v>0</v>
      </c>
      <c r="N35" s="317">
        <v>0</v>
      </c>
      <c r="O35" s="18">
        <v>0</v>
      </c>
      <c r="P35" s="18">
        <v>0</v>
      </c>
      <c r="Q35" s="317">
        <v>0</v>
      </c>
      <c r="R35" s="18">
        <v>0</v>
      </c>
      <c r="S35" s="18">
        <v>0</v>
      </c>
      <c r="T35" s="317">
        <v>0</v>
      </c>
      <c r="U35" s="18">
        <v>0</v>
      </c>
      <c r="V35" s="18">
        <v>0</v>
      </c>
      <c r="W35" s="317">
        <v>0</v>
      </c>
      <c r="X35" s="18">
        <v>0</v>
      </c>
      <c r="Y35" s="18">
        <v>0</v>
      </c>
      <c r="Z35" s="317">
        <v>0</v>
      </c>
      <c r="AA35" s="18">
        <v>0</v>
      </c>
      <c r="AB35" s="18">
        <v>0</v>
      </c>
      <c r="AC35" s="317">
        <v>0</v>
      </c>
      <c r="AD35" s="105">
        <v>5</v>
      </c>
      <c r="AE35" s="18">
        <v>0</v>
      </c>
      <c r="AF35" s="317">
        <v>0</v>
      </c>
      <c r="AG35" s="18">
        <v>0</v>
      </c>
      <c r="AH35" s="18">
        <v>0</v>
      </c>
      <c r="AI35" s="317">
        <v>0</v>
      </c>
      <c r="AJ35" s="18">
        <v>0</v>
      </c>
      <c r="AK35" s="18">
        <v>0</v>
      </c>
      <c r="AL35" s="317">
        <v>0</v>
      </c>
      <c r="AM35" s="18">
        <v>0</v>
      </c>
      <c r="AN35" s="18">
        <v>0</v>
      </c>
      <c r="AO35" s="317">
        <v>0</v>
      </c>
      <c r="AP35" s="18">
        <v>0</v>
      </c>
      <c r="AQ35" s="18">
        <v>0</v>
      </c>
      <c r="AR35" s="317">
        <v>0</v>
      </c>
      <c r="AS35" s="18">
        <v>0</v>
      </c>
      <c r="AT35" s="18">
        <v>0</v>
      </c>
      <c r="AU35" s="317">
        <v>0</v>
      </c>
      <c r="AV35" s="18">
        <v>0</v>
      </c>
      <c r="AW35" s="18">
        <v>0</v>
      </c>
      <c r="AX35" s="317">
        <v>0</v>
      </c>
      <c r="AY35" s="18">
        <v>0</v>
      </c>
      <c r="AZ35" s="18">
        <v>0</v>
      </c>
      <c r="BA35" s="317">
        <v>0</v>
      </c>
      <c r="BB35" s="18">
        <v>0</v>
      </c>
      <c r="BC35" s="18">
        <v>0</v>
      </c>
      <c r="BD35" s="317">
        <v>0</v>
      </c>
      <c r="BE35" s="105">
        <v>12</v>
      </c>
      <c r="BF35" s="18">
        <v>0</v>
      </c>
      <c r="BG35" s="317">
        <v>0</v>
      </c>
      <c r="BH35" s="18">
        <v>0</v>
      </c>
      <c r="BI35" s="18">
        <v>0</v>
      </c>
      <c r="BJ35" s="317">
        <v>0</v>
      </c>
      <c r="BK35" s="18">
        <v>0</v>
      </c>
      <c r="BL35" s="18">
        <v>0</v>
      </c>
      <c r="BM35" s="317">
        <v>0</v>
      </c>
      <c r="BN35" s="18">
        <v>0</v>
      </c>
      <c r="BO35" s="18">
        <v>0</v>
      </c>
      <c r="BP35" s="317">
        <v>0</v>
      </c>
      <c r="BQ35" s="18">
        <v>0</v>
      </c>
      <c r="BR35" s="18">
        <v>0</v>
      </c>
      <c r="BS35" s="317">
        <v>0</v>
      </c>
      <c r="BT35" s="18">
        <v>0</v>
      </c>
      <c r="BU35" s="18">
        <v>0</v>
      </c>
      <c r="BV35" s="317">
        <v>0</v>
      </c>
      <c r="BW35" s="18">
        <v>0</v>
      </c>
      <c r="BX35" s="18">
        <v>0</v>
      </c>
      <c r="BY35" s="317">
        <v>0</v>
      </c>
      <c r="BZ35" s="18">
        <v>0</v>
      </c>
      <c r="CA35" s="18">
        <v>0</v>
      </c>
      <c r="CB35" s="317">
        <v>0</v>
      </c>
      <c r="CC35" s="18">
        <v>0</v>
      </c>
      <c r="CD35" s="18">
        <v>0</v>
      </c>
      <c r="CE35" s="317">
        <v>0</v>
      </c>
      <c r="CF35" s="18">
        <v>0</v>
      </c>
      <c r="CG35" s="18">
        <v>0</v>
      </c>
      <c r="CH35" s="317">
        <v>0</v>
      </c>
      <c r="CI35" s="18">
        <v>0</v>
      </c>
      <c r="CJ35" s="18">
        <v>0</v>
      </c>
      <c r="CK35" s="317">
        <v>0</v>
      </c>
      <c r="CL35" s="18">
        <v>0</v>
      </c>
      <c r="CM35" s="18">
        <v>0</v>
      </c>
      <c r="CN35" s="317">
        <v>0</v>
      </c>
      <c r="CO35" s="18">
        <v>0</v>
      </c>
      <c r="CP35" s="18">
        <v>0</v>
      </c>
      <c r="CQ35" s="317">
        <v>0</v>
      </c>
      <c r="CR35" s="18">
        <v>0</v>
      </c>
      <c r="CS35" s="18">
        <v>0</v>
      </c>
      <c r="CT35" s="317">
        <v>0</v>
      </c>
      <c r="CU35" s="18">
        <v>0</v>
      </c>
      <c r="CV35" s="18">
        <v>0</v>
      </c>
      <c r="CW35" s="317">
        <v>0</v>
      </c>
      <c r="CX35" s="18">
        <v>0</v>
      </c>
      <c r="CY35" s="18">
        <v>0</v>
      </c>
      <c r="CZ35" s="317">
        <v>0</v>
      </c>
      <c r="DA35" s="18">
        <v>0</v>
      </c>
      <c r="DB35" s="18">
        <v>0</v>
      </c>
      <c r="DC35" s="317">
        <v>0</v>
      </c>
      <c r="DD35" s="18">
        <v>0</v>
      </c>
      <c r="DE35" s="18">
        <v>0</v>
      </c>
      <c r="DF35" s="317">
        <v>0</v>
      </c>
      <c r="DG35" s="18">
        <v>0</v>
      </c>
      <c r="DH35" s="18">
        <v>0</v>
      </c>
      <c r="DI35" s="317">
        <v>0</v>
      </c>
      <c r="DJ35" s="18">
        <v>0</v>
      </c>
      <c r="DK35" s="18">
        <v>0</v>
      </c>
      <c r="DL35" s="317">
        <v>0</v>
      </c>
      <c r="DM35" s="18">
        <v>0</v>
      </c>
      <c r="DN35" s="18">
        <v>0</v>
      </c>
      <c r="DO35" s="317">
        <v>0</v>
      </c>
      <c r="DP35" s="18">
        <v>0</v>
      </c>
      <c r="DQ35" s="18">
        <v>0</v>
      </c>
      <c r="DR35" s="317">
        <v>0</v>
      </c>
      <c r="DS35" s="18">
        <v>0</v>
      </c>
      <c r="DT35" s="18">
        <v>0</v>
      </c>
      <c r="DU35" s="317">
        <v>0</v>
      </c>
      <c r="DV35" s="18">
        <v>0</v>
      </c>
      <c r="DW35" s="18">
        <v>0</v>
      </c>
      <c r="DX35" s="317">
        <v>0</v>
      </c>
      <c r="DY35" s="18">
        <v>0</v>
      </c>
      <c r="DZ35" s="18">
        <v>0</v>
      </c>
      <c r="EA35" s="317">
        <v>0</v>
      </c>
      <c r="EB35" s="18">
        <v>0</v>
      </c>
      <c r="EC35" s="18">
        <v>0</v>
      </c>
      <c r="ED35" s="317">
        <v>0</v>
      </c>
      <c r="EE35" s="18">
        <v>0</v>
      </c>
      <c r="EF35" s="18">
        <v>0</v>
      </c>
      <c r="EG35" s="317">
        <v>0</v>
      </c>
      <c r="EH35" s="18">
        <v>0</v>
      </c>
      <c r="EI35" s="18">
        <v>0</v>
      </c>
      <c r="EJ35" s="317">
        <v>0</v>
      </c>
      <c r="EK35" s="18">
        <v>0</v>
      </c>
      <c r="EL35" s="18">
        <v>0</v>
      </c>
      <c r="EM35" s="317">
        <v>0</v>
      </c>
      <c r="EN35" s="640"/>
      <c r="EO35" s="531"/>
      <c r="EP35" s="531"/>
      <c r="EQ35" s="531"/>
      <c r="ER35" s="531"/>
      <c r="ES35" s="531"/>
      <c r="ET35" s="531"/>
      <c r="EU35" s="77" t="s">
        <v>838</v>
      </c>
    </row>
    <row r="36" spans="1:151" ht="12.75">
      <c r="A36" s="40">
        <v>43867</v>
      </c>
      <c r="B36" s="84">
        <f t="shared" ref="B36:D36" si="32">SUM(I36,AA36,AD36,AG36,AJ36,AM36,BB36,BE36,BW36,CL36,CO36,CX36,DA36,DJ36,EE36,)</f>
        <v>19</v>
      </c>
      <c r="C36" s="41">
        <f t="shared" si="32"/>
        <v>0</v>
      </c>
      <c r="D36" s="41">
        <f t="shared" si="32"/>
        <v>0</v>
      </c>
      <c r="E36" s="16">
        <f t="shared" si="2"/>
        <v>19</v>
      </c>
      <c r="F36" s="15">
        <v>0</v>
      </c>
      <c r="G36" s="15">
        <v>0</v>
      </c>
      <c r="H36" s="17">
        <v>0</v>
      </c>
      <c r="I36" s="15">
        <v>0</v>
      </c>
      <c r="J36" s="15">
        <v>0</v>
      </c>
      <c r="K36" s="17">
        <v>0</v>
      </c>
      <c r="L36" s="15">
        <v>0</v>
      </c>
      <c r="M36" s="15">
        <v>0</v>
      </c>
      <c r="N36" s="17">
        <v>0</v>
      </c>
      <c r="O36" s="15">
        <v>0</v>
      </c>
      <c r="P36" s="15">
        <v>0</v>
      </c>
      <c r="Q36" s="17">
        <v>0</v>
      </c>
      <c r="R36" s="15">
        <v>0</v>
      </c>
      <c r="S36" s="15">
        <v>0</v>
      </c>
      <c r="T36" s="17">
        <v>0</v>
      </c>
      <c r="U36" s="15">
        <v>0</v>
      </c>
      <c r="V36" s="15">
        <v>0</v>
      </c>
      <c r="W36" s="17">
        <v>0</v>
      </c>
      <c r="X36" s="15">
        <v>0</v>
      </c>
      <c r="Y36" s="15">
        <v>0</v>
      </c>
      <c r="Z36" s="17">
        <v>0</v>
      </c>
      <c r="AA36" s="15">
        <v>0</v>
      </c>
      <c r="AB36" s="15">
        <v>0</v>
      </c>
      <c r="AC36" s="17">
        <v>0</v>
      </c>
      <c r="AD36" s="105">
        <v>7</v>
      </c>
      <c r="AE36" s="15">
        <v>0</v>
      </c>
      <c r="AF36" s="17">
        <v>0</v>
      </c>
      <c r="AG36" s="15">
        <v>0</v>
      </c>
      <c r="AH36" s="15">
        <v>0</v>
      </c>
      <c r="AI36" s="17">
        <v>0</v>
      </c>
      <c r="AJ36" s="15">
        <v>0</v>
      </c>
      <c r="AK36" s="15">
        <v>0</v>
      </c>
      <c r="AL36" s="17">
        <v>0</v>
      </c>
      <c r="AM36" s="15">
        <v>0</v>
      </c>
      <c r="AN36" s="15">
        <v>0</v>
      </c>
      <c r="AO36" s="17">
        <v>0</v>
      </c>
      <c r="AP36" s="15">
        <v>0</v>
      </c>
      <c r="AQ36" s="15">
        <v>0</v>
      </c>
      <c r="AR36" s="17">
        <v>0</v>
      </c>
      <c r="AS36" s="15">
        <v>0</v>
      </c>
      <c r="AT36" s="15">
        <v>0</v>
      </c>
      <c r="AU36" s="17">
        <v>0</v>
      </c>
      <c r="AV36" s="15">
        <v>0</v>
      </c>
      <c r="AW36" s="15">
        <v>0</v>
      </c>
      <c r="AX36" s="17">
        <v>0</v>
      </c>
      <c r="AY36" s="15">
        <v>0</v>
      </c>
      <c r="AZ36" s="15">
        <v>0</v>
      </c>
      <c r="BA36" s="17">
        <v>0</v>
      </c>
      <c r="BB36" s="15">
        <v>0</v>
      </c>
      <c r="BC36" s="15">
        <v>0</v>
      </c>
      <c r="BD36" s="17">
        <v>0</v>
      </c>
      <c r="BE36" s="105">
        <v>12</v>
      </c>
      <c r="BF36" s="15">
        <v>0</v>
      </c>
      <c r="BG36" s="17">
        <v>0</v>
      </c>
      <c r="BH36" s="15">
        <v>0</v>
      </c>
      <c r="BI36" s="15">
        <v>0</v>
      </c>
      <c r="BJ36" s="17">
        <v>0</v>
      </c>
      <c r="BK36" s="15">
        <v>0</v>
      </c>
      <c r="BL36" s="15">
        <v>0</v>
      </c>
      <c r="BM36" s="17">
        <v>0</v>
      </c>
      <c r="BN36" s="15">
        <v>0</v>
      </c>
      <c r="BO36" s="15">
        <v>0</v>
      </c>
      <c r="BP36" s="17">
        <v>0</v>
      </c>
      <c r="BQ36" s="15">
        <v>0</v>
      </c>
      <c r="BR36" s="15">
        <v>0</v>
      </c>
      <c r="BS36" s="17">
        <v>0</v>
      </c>
      <c r="BT36" s="15">
        <v>0</v>
      </c>
      <c r="BU36" s="15">
        <v>0</v>
      </c>
      <c r="BV36" s="17">
        <v>0</v>
      </c>
      <c r="BW36" s="15">
        <v>0</v>
      </c>
      <c r="BX36" s="15">
        <v>0</v>
      </c>
      <c r="BY36" s="17">
        <v>0</v>
      </c>
      <c r="BZ36" s="15">
        <v>0</v>
      </c>
      <c r="CA36" s="15">
        <v>0</v>
      </c>
      <c r="CB36" s="17">
        <v>0</v>
      </c>
      <c r="CC36" s="15">
        <v>0</v>
      </c>
      <c r="CD36" s="15">
        <v>0</v>
      </c>
      <c r="CE36" s="17">
        <v>0</v>
      </c>
      <c r="CF36" s="15">
        <v>0</v>
      </c>
      <c r="CG36" s="15">
        <v>0</v>
      </c>
      <c r="CH36" s="17">
        <v>0</v>
      </c>
      <c r="CI36" s="15">
        <v>0</v>
      </c>
      <c r="CJ36" s="15">
        <v>0</v>
      </c>
      <c r="CK36" s="17">
        <v>0</v>
      </c>
      <c r="CL36" s="15">
        <v>0</v>
      </c>
      <c r="CM36" s="15">
        <v>0</v>
      </c>
      <c r="CN36" s="17">
        <v>0</v>
      </c>
      <c r="CO36" s="15">
        <v>0</v>
      </c>
      <c r="CP36" s="15">
        <v>0</v>
      </c>
      <c r="CQ36" s="17">
        <v>0</v>
      </c>
      <c r="CR36" s="15">
        <v>0</v>
      </c>
      <c r="CS36" s="15">
        <v>0</v>
      </c>
      <c r="CT36" s="17">
        <v>0</v>
      </c>
      <c r="CU36" s="15">
        <v>0</v>
      </c>
      <c r="CV36" s="15">
        <v>0</v>
      </c>
      <c r="CW36" s="17">
        <v>0</v>
      </c>
      <c r="CX36" s="15">
        <v>0</v>
      </c>
      <c r="CY36" s="15">
        <v>0</v>
      </c>
      <c r="CZ36" s="17">
        <v>0</v>
      </c>
      <c r="DA36" s="15">
        <v>0</v>
      </c>
      <c r="DB36" s="15">
        <v>0</v>
      </c>
      <c r="DC36" s="17">
        <v>0</v>
      </c>
      <c r="DD36" s="15">
        <v>0</v>
      </c>
      <c r="DE36" s="15">
        <v>0</v>
      </c>
      <c r="DF36" s="17">
        <v>0</v>
      </c>
      <c r="DG36" s="15">
        <v>0</v>
      </c>
      <c r="DH36" s="15">
        <v>0</v>
      </c>
      <c r="DI36" s="17">
        <v>0</v>
      </c>
      <c r="DJ36" s="15">
        <v>0</v>
      </c>
      <c r="DK36" s="15">
        <v>0</v>
      </c>
      <c r="DL36" s="17">
        <v>0</v>
      </c>
      <c r="DM36" s="15">
        <v>0</v>
      </c>
      <c r="DN36" s="15">
        <v>0</v>
      </c>
      <c r="DO36" s="17">
        <v>0</v>
      </c>
      <c r="DP36" s="15">
        <v>0</v>
      </c>
      <c r="DQ36" s="15">
        <v>0</v>
      </c>
      <c r="DR36" s="17">
        <v>0</v>
      </c>
      <c r="DS36" s="15">
        <v>0</v>
      </c>
      <c r="DT36" s="15">
        <v>0</v>
      </c>
      <c r="DU36" s="17">
        <v>0</v>
      </c>
      <c r="DV36" s="15">
        <v>0</v>
      </c>
      <c r="DW36" s="15">
        <v>0</v>
      </c>
      <c r="DX36" s="17">
        <v>0</v>
      </c>
      <c r="DY36" s="15">
        <v>0</v>
      </c>
      <c r="DZ36" s="15">
        <v>0</v>
      </c>
      <c r="EA36" s="17">
        <v>0</v>
      </c>
      <c r="EB36" s="15">
        <v>0</v>
      </c>
      <c r="EC36" s="15">
        <v>0</v>
      </c>
      <c r="ED36" s="17">
        <v>0</v>
      </c>
      <c r="EE36" s="15">
        <v>0</v>
      </c>
      <c r="EF36" s="15">
        <v>0</v>
      </c>
      <c r="EG36" s="17">
        <v>0</v>
      </c>
      <c r="EH36" s="15">
        <v>0</v>
      </c>
      <c r="EI36" s="15">
        <v>0</v>
      </c>
      <c r="EJ36" s="17">
        <v>0</v>
      </c>
      <c r="EK36" s="15">
        <v>0</v>
      </c>
      <c r="EL36" s="15">
        <v>0</v>
      </c>
      <c r="EM36" s="17">
        <v>0</v>
      </c>
      <c r="EN36" s="640"/>
      <c r="EO36" s="531"/>
      <c r="EP36" s="531"/>
      <c r="EQ36" s="531"/>
      <c r="ER36" s="531"/>
      <c r="ES36" s="531"/>
      <c r="ET36" s="531"/>
      <c r="EU36" s="77" t="s">
        <v>227</v>
      </c>
    </row>
    <row r="37" spans="1:151" ht="12.75">
      <c r="A37" s="40">
        <v>43868</v>
      </c>
      <c r="B37" s="84">
        <f t="shared" ref="B37:D37" si="33">SUM(I37,AA37,AD37,AG37,AJ37,AM37,BB37,BE37,BW37,CL37,CO37,CX37,DA37,DJ37,EE37,)</f>
        <v>19</v>
      </c>
      <c r="C37" s="41">
        <f t="shared" si="33"/>
        <v>0</v>
      </c>
      <c r="D37" s="41">
        <f t="shared" si="33"/>
        <v>0</v>
      </c>
      <c r="E37" s="16">
        <f t="shared" si="2"/>
        <v>19</v>
      </c>
      <c r="F37" s="18">
        <v>0</v>
      </c>
      <c r="G37" s="18">
        <v>0</v>
      </c>
      <c r="H37" s="317">
        <v>0</v>
      </c>
      <c r="I37" s="18">
        <v>0</v>
      </c>
      <c r="J37" s="18">
        <v>0</v>
      </c>
      <c r="K37" s="317">
        <v>0</v>
      </c>
      <c r="L37" s="18">
        <v>0</v>
      </c>
      <c r="M37" s="18">
        <v>0</v>
      </c>
      <c r="N37" s="317">
        <v>0</v>
      </c>
      <c r="O37" s="18">
        <v>0</v>
      </c>
      <c r="P37" s="18">
        <v>0</v>
      </c>
      <c r="Q37" s="317">
        <v>0</v>
      </c>
      <c r="R37" s="18">
        <v>0</v>
      </c>
      <c r="S37" s="18">
        <v>0</v>
      </c>
      <c r="T37" s="317">
        <v>0</v>
      </c>
      <c r="U37" s="18">
        <v>0</v>
      </c>
      <c r="V37" s="18">
        <v>0</v>
      </c>
      <c r="W37" s="317">
        <v>0</v>
      </c>
      <c r="X37" s="18">
        <v>0</v>
      </c>
      <c r="Y37" s="18">
        <v>0</v>
      </c>
      <c r="Z37" s="317">
        <v>0</v>
      </c>
      <c r="AA37" s="18">
        <v>0</v>
      </c>
      <c r="AB37" s="18">
        <v>0</v>
      </c>
      <c r="AC37" s="317">
        <v>0</v>
      </c>
      <c r="AD37" s="105">
        <v>7</v>
      </c>
      <c r="AE37" s="18">
        <v>0</v>
      </c>
      <c r="AF37" s="317">
        <v>0</v>
      </c>
      <c r="AG37" s="18">
        <v>0</v>
      </c>
      <c r="AH37" s="18">
        <v>0</v>
      </c>
      <c r="AI37" s="317">
        <v>0</v>
      </c>
      <c r="AJ37" s="18">
        <v>0</v>
      </c>
      <c r="AK37" s="18">
        <v>0</v>
      </c>
      <c r="AL37" s="317">
        <v>0</v>
      </c>
      <c r="AM37" s="18">
        <v>0</v>
      </c>
      <c r="AN37" s="18">
        <v>0</v>
      </c>
      <c r="AO37" s="317">
        <v>0</v>
      </c>
      <c r="AP37" s="18">
        <v>0</v>
      </c>
      <c r="AQ37" s="18">
        <v>0</v>
      </c>
      <c r="AR37" s="317">
        <v>0</v>
      </c>
      <c r="AS37" s="18">
        <v>0</v>
      </c>
      <c r="AT37" s="18">
        <v>0</v>
      </c>
      <c r="AU37" s="317">
        <v>0</v>
      </c>
      <c r="AV37" s="18">
        <v>0</v>
      </c>
      <c r="AW37" s="18">
        <v>0</v>
      </c>
      <c r="AX37" s="317">
        <v>0</v>
      </c>
      <c r="AY37" s="18">
        <v>0</v>
      </c>
      <c r="AZ37" s="18">
        <v>0</v>
      </c>
      <c r="BA37" s="317">
        <v>0</v>
      </c>
      <c r="BB37" s="18">
        <v>0</v>
      </c>
      <c r="BC37" s="18">
        <v>0</v>
      </c>
      <c r="BD37" s="317">
        <v>0</v>
      </c>
      <c r="BE37" s="105">
        <v>12</v>
      </c>
      <c r="BF37" s="18">
        <v>0</v>
      </c>
      <c r="BG37" s="317">
        <v>0</v>
      </c>
      <c r="BH37" s="18">
        <v>0</v>
      </c>
      <c r="BI37" s="18">
        <v>0</v>
      </c>
      <c r="BJ37" s="317">
        <v>0</v>
      </c>
      <c r="BK37" s="18">
        <v>0</v>
      </c>
      <c r="BL37" s="18">
        <v>0</v>
      </c>
      <c r="BM37" s="317">
        <v>0</v>
      </c>
      <c r="BN37" s="18">
        <v>0</v>
      </c>
      <c r="BO37" s="18">
        <v>0</v>
      </c>
      <c r="BP37" s="317">
        <v>0</v>
      </c>
      <c r="BQ37" s="18">
        <v>0</v>
      </c>
      <c r="BR37" s="18">
        <v>0</v>
      </c>
      <c r="BS37" s="317">
        <v>0</v>
      </c>
      <c r="BT37" s="18">
        <v>0</v>
      </c>
      <c r="BU37" s="18">
        <v>0</v>
      </c>
      <c r="BV37" s="317">
        <v>0</v>
      </c>
      <c r="BW37" s="18">
        <v>0</v>
      </c>
      <c r="BX37" s="18">
        <v>0</v>
      </c>
      <c r="BY37" s="317">
        <v>0</v>
      </c>
      <c r="BZ37" s="18">
        <v>0</v>
      </c>
      <c r="CA37" s="18">
        <v>0</v>
      </c>
      <c r="CB37" s="317">
        <v>0</v>
      </c>
      <c r="CC37" s="18">
        <v>0</v>
      </c>
      <c r="CD37" s="18">
        <v>0</v>
      </c>
      <c r="CE37" s="317">
        <v>0</v>
      </c>
      <c r="CF37" s="18">
        <v>0</v>
      </c>
      <c r="CG37" s="18">
        <v>0</v>
      </c>
      <c r="CH37" s="317">
        <v>0</v>
      </c>
      <c r="CI37" s="18">
        <v>0</v>
      </c>
      <c r="CJ37" s="18">
        <v>0</v>
      </c>
      <c r="CK37" s="317">
        <v>0</v>
      </c>
      <c r="CL37" s="18">
        <v>0</v>
      </c>
      <c r="CM37" s="18">
        <v>0</v>
      </c>
      <c r="CN37" s="317">
        <v>0</v>
      </c>
      <c r="CO37" s="18">
        <v>0</v>
      </c>
      <c r="CP37" s="18">
        <v>0</v>
      </c>
      <c r="CQ37" s="317">
        <v>0</v>
      </c>
      <c r="CR37" s="18">
        <v>0</v>
      </c>
      <c r="CS37" s="18">
        <v>0</v>
      </c>
      <c r="CT37" s="317">
        <v>0</v>
      </c>
      <c r="CU37" s="18">
        <v>0</v>
      </c>
      <c r="CV37" s="18">
        <v>0</v>
      </c>
      <c r="CW37" s="317">
        <v>0</v>
      </c>
      <c r="CX37" s="18">
        <v>0</v>
      </c>
      <c r="CY37" s="18">
        <v>0</v>
      </c>
      <c r="CZ37" s="317">
        <v>0</v>
      </c>
      <c r="DA37" s="18">
        <v>0</v>
      </c>
      <c r="DB37" s="18">
        <v>0</v>
      </c>
      <c r="DC37" s="317">
        <v>0</v>
      </c>
      <c r="DD37" s="18">
        <v>0</v>
      </c>
      <c r="DE37" s="18">
        <v>0</v>
      </c>
      <c r="DF37" s="317">
        <v>0</v>
      </c>
      <c r="DG37" s="18">
        <v>0</v>
      </c>
      <c r="DH37" s="18">
        <v>0</v>
      </c>
      <c r="DI37" s="317">
        <v>0</v>
      </c>
      <c r="DJ37" s="18">
        <v>0</v>
      </c>
      <c r="DK37" s="18">
        <v>0</v>
      </c>
      <c r="DL37" s="317">
        <v>0</v>
      </c>
      <c r="DM37" s="18">
        <v>0</v>
      </c>
      <c r="DN37" s="18">
        <v>0</v>
      </c>
      <c r="DO37" s="317">
        <v>0</v>
      </c>
      <c r="DP37" s="18">
        <v>0</v>
      </c>
      <c r="DQ37" s="18">
        <v>0</v>
      </c>
      <c r="DR37" s="317">
        <v>0</v>
      </c>
      <c r="DS37" s="18">
        <v>0</v>
      </c>
      <c r="DT37" s="18">
        <v>0</v>
      </c>
      <c r="DU37" s="317">
        <v>0</v>
      </c>
      <c r="DV37" s="18">
        <v>0</v>
      </c>
      <c r="DW37" s="18">
        <v>0</v>
      </c>
      <c r="DX37" s="317">
        <v>0</v>
      </c>
      <c r="DY37" s="18">
        <v>0</v>
      </c>
      <c r="DZ37" s="18">
        <v>0</v>
      </c>
      <c r="EA37" s="317">
        <v>0</v>
      </c>
      <c r="EB37" s="18">
        <v>0</v>
      </c>
      <c r="EC37" s="18">
        <v>0</v>
      </c>
      <c r="ED37" s="317">
        <v>0</v>
      </c>
      <c r="EE37" s="18">
        <v>0</v>
      </c>
      <c r="EF37" s="18">
        <v>0</v>
      </c>
      <c r="EG37" s="317">
        <v>0</v>
      </c>
      <c r="EH37" s="18">
        <v>0</v>
      </c>
      <c r="EI37" s="18">
        <v>0</v>
      </c>
      <c r="EJ37" s="317">
        <v>0</v>
      </c>
      <c r="EK37" s="18">
        <v>0</v>
      </c>
      <c r="EL37" s="18">
        <v>0</v>
      </c>
      <c r="EM37" s="317">
        <v>0</v>
      </c>
      <c r="EN37" s="640"/>
      <c r="EO37" s="531"/>
      <c r="EP37" s="531"/>
      <c r="EQ37" s="531"/>
      <c r="ER37" s="531"/>
      <c r="ES37" s="531"/>
      <c r="ET37" s="531"/>
      <c r="EU37" s="339"/>
    </row>
    <row r="38" spans="1:151" ht="12.75">
      <c r="A38" s="40">
        <v>43869</v>
      </c>
      <c r="B38" s="84">
        <f t="shared" ref="B38:D38" si="34">SUM(I38,AA38,AD38,AG38,AJ38,AM38,BB38,BE38,BW38,CL38,CO38,CX38,DA38,DJ38,EE38,)</f>
        <v>19</v>
      </c>
      <c r="C38" s="41">
        <f t="shared" si="34"/>
        <v>0</v>
      </c>
      <c r="D38" s="41">
        <f t="shared" si="34"/>
        <v>0</v>
      </c>
      <c r="E38" s="16">
        <f t="shared" si="2"/>
        <v>19</v>
      </c>
      <c r="F38" s="15">
        <v>0</v>
      </c>
      <c r="G38" s="15">
        <v>0</v>
      </c>
      <c r="H38" s="17">
        <v>0</v>
      </c>
      <c r="I38" s="15">
        <v>0</v>
      </c>
      <c r="J38" s="15">
        <v>0</v>
      </c>
      <c r="K38" s="17">
        <v>0</v>
      </c>
      <c r="L38" s="15">
        <v>0</v>
      </c>
      <c r="M38" s="15">
        <v>0</v>
      </c>
      <c r="N38" s="17">
        <v>0</v>
      </c>
      <c r="O38" s="15">
        <v>0</v>
      </c>
      <c r="P38" s="15">
        <v>0</v>
      </c>
      <c r="Q38" s="17">
        <v>0</v>
      </c>
      <c r="R38" s="15">
        <v>0</v>
      </c>
      <c r="S38" s="15">
        <v>0</v>
      </c>
      <c r="T38" s="17">
        <v>0</v>
      </c>
      <c r="U38" s="15">
        <v>0</v>
      </c>
      <c r="V38" s="15">
        <v>0</v>
      </c>
      <c r="W38" s="17">
        <v>0</v>
      </c>
      <c r="X38" s="15">
        <v>0</v>
      </c>
      <c r="Y38" s="15">
        <v>0</v>
      </c>
      <c r="Z38" s="17">
        <v>0</v>
      </c>
      <c r="AA38" s="15">
        <v>0</v>
      </c>
      <c r="AB38" s="15">
        <v>0</v>
      </c>
      <c r="AC38" s="17">
        <v>0</v>
      </c>
      <c r="AD38" s="105">
        <v>7</v>
      </c>
      <c r="AE38" s="15">
        <v>0</v>
      </c>
      <c r="AF38" s="17">
        <v>0</v>
      </c>
      <c r="AG38" s="15">
        <v>0</v>
      </c>
      <c r="AH38" s="15">
        <v>0</v>
      </c>
      <c r="AI38" s="17">
        <v>0</v>
      </c>
      <c r="AJ38" s="15">
        <v>0</v>
      </c>
      <c r="AK38" s="15">
        <v>0</v>
      </c>
      <c r="AL38" s="17">
        <v>0</v>
      </c>
      <c r="AM38" s="15">
        <v>0</v>
      </c>
      <c r="AN38" s="15">
        <v>0</v>
      </c>
      <c r="AO38" s="17">
        <v>0</v>
      </c>
      <c r="AP38" s="15">
        <v>0</v>
      </c>
      <c r="AQ38" s="15">
        <v>0</v>
      </c>
      <c r="AR38" s="17">
        <v>0</v>
      </c>
      <c r="AS38" s="15">
        <v>0</v>
      </c>
      <c r="AT38" s="15">
        <v>0</v>
      </c>
      <c r="AU38" s="17">
        <v>0</v>
      </c>
      <c r="AV38" s="15">
        <v>0</v>
      </c>
      <c r="AW38" s="15">
        <v>0</v>
      </c>
      <c r="AX38" s="17">
        <v>0</v>
      </c>
      <c r="AY38" s="15">
        <v>0</v>
      </c>
      <c r="AZ38" s="15">
        <v>0</v>
      </c>
      <c r="BA38" s="17">
        <v>0</v>
      </c>
      <c r="BB38" s="15">
        <v>0</v>
      </c>
      <c r="BC38" s="15">
        <v>0</v>
      </c>
      <c r="BD38" s="17">
        <v>0</v>
      </c>
      <c r="BE38" s="105">
        <v>12</v>
      </c>
      <c r="BF38" s="15">
        <v>0</v>
      </c>
      <c r="BG38" s="17">
        <v>0</v>
      </c>
      <c r="BH38" s="15">
        <v>0</v>
      </c>
      <c r="BI38" s="15">
        <v>0</v>
      </c>
      <c r="BJ38" s="17">
        <v>0</v>
      </c>
      <c r="BK38" s="15">
        <v>0</v>
      </c>
      <c r="BL38" s="15">
        <v>0</v>
      </c>
      <c r="BM38" s="17">
        <v>0</v>
      </c>
      <c r="BN38" s="15">
        <v>0</v>
      </c>
      <c r="BO38" s="15">
        <v>0</v>
      </c>
      <c r="BP38" s="17">
        <v>0</v>
      </c>
      <c r="BQ38" s="15">
        <v>0</v>
      </c>
      <c r="BR38" s="15">
        <v>0</v>
      </c>
      <c r="BS38" s="17">
        <v>0</v>
      </c>
      <c r="BT38" s="15">
        <v>0</v>
      </c>
      <c r="BU38" s="15">
        <v>0</v>
      </c>
      <c r="BV38" s="17">
        <v>0</v>
      </c>
      <c r="BW38" s="15">
        <v>0</v>
      </c>
      <c r="BX38" s="15">
        <v>0</v>
      </c>
      <c r="BY38" s="17">
        <v>0</v>
      </c>
      <c r="BZ38" s="15">
        <v>0</v>
      </c>
      <c r="CA38" s="15">
        <v>0</v>
      </c>
      <c r="CB38" s="17">
        <v>0</v>
      </c>
      <c r="CC38" s="15">
        <v>0</v>
      </c>
      <c r="CD38" s="15">
        <v>0</v>
      </c>
      <c r="CE38" s="17">
        <v>0</v>
      </c>
      <c r="CF38" s="15">
        <v>0</v>
      </c>
      <c r="CG38" s="15">
        <v>0</v>
      </c>
      <c r="CH38" s="17">
        <v>0</v>
      </c>
      <c r="CI38" s="15">
        <v>0</v>
      </c>
      <c r="CJ38" s="15">
        <v>0</v>
      </c>
      <c r="CK38" s="17">
        <v>0</v>
      </c>
      <c r="CL38" s="15">
        <v>0</v>
      </c>
      <c r="CM38" s="15">
        <v>0</v>
      </c>
      <c r="CN38" s="17">
        <v>0</v>
      </c>
      <c r="CO38" s="15">
        <v>0</v>
      </c>
      <c r="CP38" s="15">
        <v>0</v>
      </c>
      <c r="CQ38" s="17">
        <v>0</v>
      </c>
      <c r="CR38" s="15">
        <v>0</v>
      </c>
      <c r="CS38" s="15">
        <v>0</v>
      </c>
      <c r="CT38" s="17">
        <v>0</v>
      </c>
      <c r="CU38" s="15">
        <v>0</v>
      </c>
      <c r="CV38" s="15">
        <v>0</v>
      </c>
      <c r="CW38" s="17">
        <v>0</v>
      </c>
      <c r="CX38" s="15">
        <v>0</v>
      </c>
      <c r="CY38" s="15">
        <v>0</v>
      </c>
      <c r="CZ38" s="17">
        <v>0</v>
      </c>
      <c r="DA38" s="15">
        <v>0</v>
      </c>
      <c r="DB38" s="15">
        <v>0</v>
      </c>
      <c r="DC38" s="17">
        <v>0</v>
      </c>
      <c r="DD38" s="15">
        <v>0</v>
      </c>
      <c r="DE38" s="15">
        <v>0</v>
      </c>
      <c r="DF38" s="17">
        <v>0</v>
      </c>
      <c r="DG38" s="15">
        <v>0</v>
      </c>
      <c r="DH38" s="15">
        <v>0</v>
      </c>
      <c r="DI38" s="17">
        <v>0</v>
      </c>
      <c r="DJ38" s="15">
        <v>0</v>
      </c>
      <c r="DK38" s="15">
        <v>0</v>
      </c>
      <c r="DL38" s="17">
        <v>0</v>
      </c>
      <c r="DM38" s="15">
        <v>0</v>
      </c>
      <c r="DN38" s="15">
        <v>0</v>
      </c>
      <c r="DO38" s="17">
        <v>0</v>
      </c>
      <c r="DP38" s="15">
        <v>0</v>
      </c>
      <c r="DQ38" s="15">
        <v>0</v>
      </c>
      <c r="DR38" s="17">
        <v>0</v>
      </c>
      <c r="DS38" s="15">
        <v>0</v>
      </c>
      <c r="DT38" s="15">
        <v>0</v>
      </c>
      <c r="DU38" s="17">
        <v>0</v>
      </c>
      <c r="DV38" s="15">
        <v>0</v>
      </c>
      <c r="DW38" s="15">
        <v>0</v>
      </c>
      <c r="DX38" s="17">
        <v>0</v>
      </c>
      <c r="DY38" s="15">
        <v>0</v>
      </c>
      <c r="DZ38" s="15">
        <v>0</v>
      </c>
      <c r="EA38" s="17">
        <v>0</v>
      </c>
      <c r="EB38" s="15">
        <v>0</v>
      </c>
      <c r="EC38" s="15">
        <v>0</v>
      </c>
      <c r="ED38" s="17">
        <v>0</v>
      </c>
      <c r="EE38" s="15">
        <v>0</v>
      </c>
      <c r="EF38" s="15">
        <v>0</v>
      </c>
      <c r="EG38" s="17">
        <v>0</v>
      </c>
      <c r="EH38" s="15">
        <v>0</v>
      </c>
      <c r="EI38" s="15">
        <v>0</v>
      </c>
      <c r="EJ38" s="17">
        <v>0</v>
      </c>
      <c r="EK38" s="15">
        <v>0</v>
      </c>
      <c r="EL38" s="15">
        <v>0</v>
      </c>
      <c r="EM38" s="17">
        <v>0</v>
      </c>
      <c r="EN38" s="640"/>
      <c r="EO38" s="531"/>
      <c r="EP38" s="531"/>
      <c r="EQ38" s="531"/>
      <c r="ER38" s="531"/>
      <c r="ES38" s="531"/>
      <c r="ET38" s="531"/>
      <c r="EU38" s="339"/>
    </row>
    <row r="39" spans="1:151" ht="12.75">
      <c r="A39" s="40">
        <v>43870</v>
      </c>
      <c r="B39" s="84">
        <f t="shared" ref="B39:D39" si="35">SUM(I39,AA39,AD39,AG39,AJ39,AM39,BB39,BE39,BW39,CL39,CO39,CX39,DA39,DJ39,EE39,)</f>
        <v>19</v>
      </c>
      <c r="C39" s="41">
        <f t="shared" si="35"/>
        <v>0</v>
      </c>
      <c r="D39" s="41">
        <f t="shared" si="35"/>
        <v>0</v>
      </c>
      <c r="E39" s="16">
        <f t="shared" si="2"/>
        <v>19</v>
      </c>
      <c r="F39" s="18">
        <v>0</v>
      </c>
      <c r="G39" s="18">
        <v>0</v>
      </c>
      <c r="H39" s="317">
        <v>0</v>
      </c>
      <c r="I39" s="18">
        <v>0</v>
      </c>
      <c r="J39" s="18">
        <v>0</v>
      </c>
      <c r="K39" s="317">
        <v>0</v>
      </c>
      <c r="L39" s="18">
        <v>0</v>
      </c>
      <c r="M39" s="18">
        <v>0</v>
      </c>
      <c r="N39" s="317">
        <v>0</v>
      </c>
      <c r="O39" s="18">
        <v>0</v>
      </c>
      <c r="P39" s="18">
        <v>0</v>
      </c>
      <c r="Q39" s="317">
        <v>0</v>
      </c>
      <c r="R39" s="18">
        <v>0</v>
      </c>
      <c r="S39" s="18">
        <v>0</v>
      </c>
      <c r="T39" s="317">
        <v>0</v>
      </c>
      <c r="U39" s="18">
        <v>0</v>
      </c>
      <c r="V39" s="18">
        <v>0</v>
      </c>
      <c r="W39" s="317">
        <v>0</v>
      </c>
      <c r="X39" s="18">
        <v>0</v>
      </c>
      <c r="Y39" s="18">
        <v>0</v>
      </c>
      <c r="Z39" s="317">
        <v>0</v>
      </c>
      <c r="AA39" s="18">
        <v>0</v>
      </c>
      <c r="AB39" s="18">
        <v>0</v>
      </c>
      <c r="AC39" s="317">
        <v>0</v>
      </c>
      <c r="AD39" s="105">
        <v>7</v>
      </c>
      <c r="AE39" s="18">
        <v>0</v>
      </c>
      <c r="AF39" s="317">
        <v>0</v>
      </c>
      <c r="AG39" s="18">
        <v>0</v>
      </c>
      <c r="AH39" s="18">
        <v>0</v>
      </c>
      <c r="AI39" s="317">
        <v>0</v>
      </c>
      <c r="AJ39" s="18">
        <v>0</v>
      </c>
      <c r="AK39" s="18">
        <v>0</v>
      </c>
      <c r="AL39" s="317">
        <v>0</v>
      </c>
      <c r="AM39" s="18">
        <v>0</v>
      </c>
      <c r="AN39" s="18">
        <v>0</v>
      </c>
      <c r="AO39" s="317">
        <v>0</v>
      </c>
      <c r="AP39" s="18">
        <v>0</v>
      </c>
      <c r="AQ39" s="18">
        <v>0</v>
      </c>
      <c r="AR39" s="317">
        <v>0</v>
      </c>
      <c r="AS39" s="18">
        <v>0</v>
      </c>
      <c r="AT39" s="18">
        <v>0</v>
      </c>
      <c r="AU39" s="317">
        <v>0</v>
      </c>
      <c r="AV39" s="18">
        <v>0</v>
      </c>
      <c r="AW39" s="18">
        <v>0</v>
      </c>
      <c r="AX39" s="317">
        <v>0</v>
      </c>
      <c r="AY39" s="18">
        <v>0</v>
      </c>
      <c r="AZ39" s="18">
        <v>0</v>
      </c>
      <c r="BA39" s="317">
        <v>0</v>
      </c>
      <c r="BB39" s="18">
        <v>0</v>
      </c>
      <c r="BC39" s="18">
        <v>0</v>
      </c>
      <c r="BD39" s="317">
        <v>0</v>
      </c>
      <c r="BE39" s="105">
        <v>12</v>
      </c>
      <c r="BF39" s="18">
        <v>0</v>
      </c>
      <c r="BG39" s="317">
        <v>0</v>
      </c>
      <c r="BH39" s="18">
        <v>0</v>
      </c>
      <c r="BI39" s="18">
        <v>0</v>
      </c>
      <c r="BJ39" s="317">
        <v>0</v>
      </c>
      <c r="BK39" s="18">
        <v>0</v>
      </c>
      <c r="BL39" s="18">
        <v>0</v>
      </c>
      <c r="BM39" s="317">
        <v>0</v>
      </c>
      <c r="BN39" s="18">
        <v>0</v>
      </c>
      <c r="BO39" s="18">
        <v>0</v>
      </c>
      <c r="BP39" s="317">
        <v>0</v>
      </c>
      <c r="BQ39" s="18">
        <v>0</v>
      </c>
      <c r="BR39" s="18">
        <v>0</v>
      </c>
      <c r="BS39" s="317">
        <v>0</v>
      </c>
      <c r="BT39" s="18">
        <v>0</v>
      </c>
      <c r="BU39" s="18">
        <v>0</v>
      </c>
      <c r="BV39" s="317">
        <v>0</v>
      </c>
      <c r="BW39" s="18">
        <v>0</v>
      </c>
      <c r="BX39" s="18">
        <v>0</v>
      </c>
      <c r="BY39" s="317">
        <v>0</v>
      </c>
      <c r="BZ39" s="18">
        <v>0</v>
      </c>
      <c r="CA39" s="18">
        <v>0</v>
      </c>
      <c r="CB39" s="317">
        <v>0</v>
      </c>
      <c r="CC39" s="18">
        <v>0</v>
      </c>
      <c r="CD39" s="18">
        <v>0</v>
      </c>
      <c r="CE39" s="317">
        <v>0</v>
      </c>
      <c r="CF39" s="18">
        <v>0</v>
      </c>
      <c r="CG39" s="18">
        <v>0</v>
      </c>
      <c r="CH39" s="317">
        <v>0</v>
      </c>
      <c r="CI39" s="18">
        <v>0</v>
      </c>
      <c r="CJ39" s="18">
        <v>0</v>
      </c>
      <c r="CK39" s="317">
        <v>0</v>
      </c>
      <c r="CL39" s="18">
        <v>0</v>
      </c>
      <c r="CM39" s="18">
        <v>0</v>
      </c>
      <c r="CN39" s="317">
        <v>0</v>
      </c>
      <c r="CO39" s="18">
        <v>0</v>
      </c>
      <c r="CP39" s="18">
        <v>0</v>
      </c>
      <c r="CQ39" s="317">
        <v>0</v>
      </c>
      <c r="CR39" s="18">
        <v>0</v>
      </c>
      <c r="CS39" s="18">
        <v>0</v>
      </c>
      <c r="CT39" s="317">
        <v>0</v>
      </c>
      <c r="CU39" s="18">
        <v>0</v>
      </c>
      <c r="CV39" s="18">
        <v>0</v>
      </c>
      <c r="CW39" s="317">
        <v>0</v>
      </c>
      <c r="CX39" s="18">
        <v>0</v>
      </c>
      <c r="CY39" s="18">
        <v>0</v>
      </c>
      <c r="CZ39" s="317">
        <v>0</v>
      </c>
      <c r="DA39" s="18">
        <v>0</v>
      </c>
      <c r="DB39" s="18">
        <v>0</v>
      </c>
      <c r="DC39" s="317">
        <v>0</v>
      </c>
      <c r="DD39" s="18">
        <v>0</v>
      </c>
      <c r="DE39" s="18">
        <v>0</v>
      </c>
      <c r="DF39" s="317">
        <v>0</v>
      </c>
      <c r="DG39" s="18">
        <v>0</v>
      </c>
      <c r="DH39" s="18">
        <v>0</v>
      </c>
      <c r="DI39" s="317">
        <v>0</v>
      </c>
      <c r="DJ39" s="18">
        <v>0</v>
      </c>
      <c r="DK39" s="18">
        <v>0</v>
      </c>
      <c r="DL39" s="317">
        <v>0</v>
      </c>
      <c r="DM39" s="18">
        <v>0</v>
      </c>
      <c r="DN39" s="18">
        <v>0</v>
      </c>
      <c r="DO39" s="317">
        <v>0</v>
      </c>
      <c r="DP39" s="18">
        <v>0</v>
      </c>
      <c r="DQ39" s="18">
        <v>0</v>
      </c>
      <c r="DR39" s="317">
        <v>0</v>
      </c>
      <c r="DS39" s="18">
        <v>0</v>
      </c>
      <c r="DT39" s="18">
        <v>0</v>
      </c>
      <c r="DU39" s="317">
        <v>0</v>
      </c>
      <c r="DV39" s="18">
        <v>0</v>
      </c>
      <c r="DW39" s="18">
        <v>0</v>
      </c>
      <c r="DX39" s="317">
        <v>0</v>
      </c>
      <c r="DY39" s="18">
        <v>0</v>
      </c>
      <c r="DZ39" s="18">
        <v>0</v>
      </c>
      <c r="EA39" s="317">
        <v>0</v>
      </c>
      <c r="EB39" s="18">
        <v>0</v>
      </c>
      <c r="EC39" s="18">
        <v>0</v>
      </c>
      <c r="ED39" s="317">
        <v>0</v>
      </c>
      <c r="EE39" s="18">
        <v>0</v>
      </c>
      <c r="EF39" s="18">
        <v>0</v>
      </c>
      <c r="EG39" s="317">
        <v>0</v>
      </c>
      <c r="EH39" s="18">
        <v>0</v>
      </c>
      <c r="EI39" s="18">
        <v>0</v>
      </c>
      <c r="EJ39" s="317">
        <v>0</v>
      </c>
      <c r="EK39" s="18">
        <v>0</v>
      </c>
      <c r="EL39" s="18">
        <v>0</v>
      </c>
      <c r="EM39" s="317">
        <v>0</v>
      </c>
      <c r="EN39" s="640"/>
      <c r="EO39" s="531"/>
      <c r="EP39" s="531"/>
      <c r="EQ39" s="531"/>
      <c r="ER39" s="531"/>
      <c r="ES39" s="531"/>
      <c r="ET39" s="531"/>
      <c r="EU39" s="339"/>
    </row>
    <row r="40" spans="1:151" ht="12.75">
      <c r="A40" s="40">
        <v>43871</v>
      </c>
      <c r="B40" s="84">
        <f t="shared" ref="B40:D40" si="36">SUM(I40,AA40,AD40,AG40,AJ40,AM40,BB40,BE40,BW40,CL40,CO40,CX40,DA40,DJ40,EE40,)</f>
        <v>20</v>
      </c>
      <c r="C40" s="41">
        <f t="shared" si="36"/>
        <v>0</v>
      </c>
      <c r="D40" s="41">
        <f t="shared" si="36"/>
        <v>0</v>
      </c>
      <c r="E40" s="16">
        <f t="shared" si="2"/>
        <v>20</v>
      </c>
      <c r="F40" s="15">
        <v>0</v>
      </c>
      <c r="G40" s="15">
        <v>0</v>
      </c>
      <c r="H40" s="17">
        <v>0</v>
      </c>
      <c r="I40" s="15">
        <v>0</v>
      </c>
      <c r="J40" s="15">
        <v>0</v>
      </c>
      <c r="K40" s="17">
        <v>0</v>
      </c>
      <c r="L40" s="15">
        <v>0</v>
      </c>
      <c r="M40" s="15">
        <v>0</v>
      </c>
      <c r="N40" s="17">
        <v>0</v>
      </c>
      <c r="O40" s="15">
        <v>0</v>
      </c>
      <c r="P40" s="15">
        <v>0</v>
      </c>
      <c r="Q40" s="17">
        <v>0</v>
      </c>
      <c r="R40" s="15">
        <v>0</v>
      </c>
      <c r="S40" s="15">
        <v>0</v>
      </c>
      <c r="T40" s="17">
        <v>0</v>
      </c>
      <c r="U40" s="15">
        <v>0</v>
      </c>
      <c r="V40" s="15">
        <v>0</v>
      </c>
      <c r="W40" s="17">
        <v>0</v>
      </c>
      <c r="X40" s="15">
        <v>0</v>
      </c>
      <c r="Y40" s="15">
        <v>0</v>
      </c>
      <c r="Z40" s="17">
        <v>0</v>
      </c>
      <c r="AA40" s="15">
        <v>0</v>
      </c>
      <c r="AB40" s="15">
        <v>0</v>
      </c>
      <c r="AC40" s="17">
        <v>0</v>
      </c>
      <c r="AD40" s="105">
        <v>7</v>
      </c>
      <c r="AE40" s="15">
        <v>0</v>
      </c>
      <c r="AF40" s="17">
        <v>0</v>
      </c>
      <c r="AG40" s="15">
        <v>0</v>
      </c>
      <c r="AH40" s="15">
        <v>0</v>
      </c>
      <c r="AI40" s="17">
        <v>0</v>
      </c>
      <c r="AJ40" s="15">
        <v>0</v>
      </c>
      <c r="AK40" s="15">
        <v>0</v>
      </c>
      <c r="AL40" s="17">
        <v>0</v>
      </c>
      <c r="AM40" s="15">
        <v>0</v>
      </c>
      <c r="AN40" s="15">
        <v>0</v>
      </c>
      <c r="AO40" s="17">
        <v>0</v>
      </c>
      <c r="AP40" s="15">
        <v>0</v>
      </c>
      <c r="AQ40" s="15">
        <v>0</v>
      </c>
      <c r="AR40" s="17">
        <v>0</v>
      </c>
      <c r="AS40" s="15">
        <v>0</v>
      </c>
      <c r="AT40" s="15">
        <v>0</v>
      </c>
      <c r="AU40" s="17">
        <v>0</v>
      </c>
      <c r="AV40" s="15">
        <v>0</v>
      </c>
      <c r="AW40" s="15">
        <v>0</v>
      </c>
      <c r="AX40" s="17">
        <v>0</v>
      </c>
      <c r="AY40" s="15">
        <v>0</v>
      </c>
      <c r="AZ40" s="15">
        <v>0</v>
      </c>
      <c r="BA40" s="17">
        <v>0</v>
      </c>
      <c r="BB40" s="15">
        <v>0</v>
      </c>
      <c r="BC40" s="15">
        <v>0</v>
      </c>
      <c r="BD40" s="17">
        <v>0</v>
      </c>
      <c r="BE40" s="105">
        <v>13</v>
      </c>
      <c r="BF40" s="15">
        <v>0</v>
      </c>
      <c r="BG40" s="17">
        <v>0</v>
      </c>
      <c r="BH40" s="15">
        <v>0</v>
      </c>
      <c r="BI40" s="15">
        <v>0</v>
      </c>
      <c r="BJ40" s="17">
        <v>0</v>
      </c>
      <c r="BK40" s="15">
        <v>0</v>
      </c>
      <c r="BL40" s="15">
        <v>0</v>
      </c>
      <c r="BM40" s="17">
        <v>0</v>
      </c>
      <c r="BN40" s="15">
        <v>0</v>
      </c>
      <c r="BO40" s="15">
        <v>0</v>
      </c>
      <c r="BP40" s="17">
        <v>0</v>
      </c>
      <c r="BQ40" s="15">
        <v>0</v>
      </c>
      <c r="BR40" s="15">
        <v>0</v>
      </c>
      <c r="BS40" s="17">
        <v>0</v>
      </c>
      <c r="BT40" s="15">
        <v>0</v>
      </c>
      <c r="BU40" s="15">
        <v>0</v>
      </c>
      <c r="BV40" s="17">
        <v>0</v>
      </c>
      <c r="BW40" s="15">
        <v>0</v>
      </c>
      <c r="BX40" s="15">
        <v>0</v>
      </c>
      <c r="BY40" s="17">
        <v>0</v>
      </c>
      <c r="BZ40" s="15">
        <v>0</v>
      </c>
      <c r="CA40" s="15">
        <v>0</v>
      </c>
      <c r="CB40" s="17">
        <v>0</v>
      </c>
      <c r="CC40" s="15">
        <v>0</v>
      </c>
      <c r="CD40" s="15">
        <v>0</v>
      </c>
      <c r="CE40" s="17">
        <v>0</v>
      </c>
      <c r="CF40" s="15">
        <v>0</v>
      </c>
      <c r="CG40" s="15">
        <v>0</v>
      </c>
      <c r="CH40" s="17">
        <v>0</v>
      </c>
      <c r="CI40" s="15">
        <v>0</v>
      </c>
      <c r="CJ40" s="15">
        <v>0</v>
      </c>
      <c r="CK40" s="17">
        <v>0</v>
      </c>
      <c r="CL40" s="15">
        <v>0</v>
      </c>
      <c r="CM40" s="15">
        <v>0</v>
      </c>
      <c r="CN40" s="17">
        <v>0</v>
      </c>
      <c r="CO40" s="15">
        <v>0</v>
      </c>
      <c r="CP40" s="15">
        <v>0</v>
      </c>
      <c r="CQ40" s="17">
        <v>0</v>
      </c>
      <c r="CR40" s="15">
        <v>0</v>
      </c>
      <c r="CS40" s="15">
        <v>0</v>
      </c>
      <c r="CT40" s="17">
        <v>0</v>
      </c>
      <c r="CU40" s="15">
        <v>0</v>
      </c>
      <c r="CV40" s="15">
        <v>0</v>
      </c>
      <c r="CW40" s="17">
        <v>0</v>
      </c>
      <c r="CX40" s="15">
        <v>0</v>
      </c>
      <c r="CY40" s="15">
        <v>0</v>
      </c>
      <c r="CZ40" s="17">
        <v>0</v>
      </c>
      <c r="DA40" s="15">
        <v>0</v>
      </c>
      <c r="DB40" s="15">
        <v>0</v>
      </c>
      <c r="DC40" s="17">
        <v>0</v>
      </c>
      <c r="DD40" s="15">
        <v>0</v>
      </c>
      <c r="DE40" s="15">
        <v>0</v>
      </c>
      <c r="DF40" s="17">
        <v>0</v>
      </c>
      <c r="DG40" s="15">
        <v>0</v>
      </c>
      <c r="DH40" s="15">
        <v>0</v>
      </c>
      <c r="DI40" s="17">
        <v>0</v>
      </c>
      <c r="DJ40" s="15">
        <v>0</v>
      </c>
      <c r="DK40" s="15">
        <v>0</v>
      </c>
      <c r="DL40" s="17">
        <v>0</v>
      </c>
      <c r="DM40" s="15">
        <v>0</v>
      </c>
      <c r="DN40" s="15">
        <v>0</v>
      </c>
      <c r="DO40" s="17">
        <v>0</v>
      </c>
      <c r="DP40" s="15">
        <v>0</v>
      </c>
      <c r="DQ40" s="15">
        <v>0</v>
      </c>
      <c r="DR40" s="17">
        <v>0</v>
      </c>
      <c r="DS40" s="15">
        <v>0</v>
      </c>
      <c r="DT40" s="15">
        <v>0</v>
      </c>
      <c r="DU40" s="17">
        <v>0</v>
      </c>
      <c r="DV40" s="15">
        <v>0</v>
      </c>
      <c r="DW40" s="15">
        <v>0</v>
      </c>
      <c r="DX40" s="17">
        <v>0</v>
      </c>
      <c r="DY40" s="15">
        <v>0</v>
      </c>
      <c r="DZ40" s="15">
        <v>0</v>
      </c>
      <c r="EA40" s="17">
        <v>0</v>
      </c>
      <c r="EB40" s="15">
        <v>0</v>
      </c>
      <c r="EC40" s="15">
        <v>0</v>
      </c>
      <c r="ED40" s="17">
        <v>0</v>
      </c>
      <c r="EE40" s="15">
        <v>0</v>
      </c>
      <c r="EF40" s="15">
        <v>0</v>
      </c>
      <c r="EG40" s="17">
        <v>0</v>
      </c>
      <c r="EH40" s="15">
        <v>0</v>
      </c>
      <c r="EI40" s="15">
        <v>0</v>
      </c>
      <c r="EJ40" s="17">
        <v>0</v>
      </c>
      <c r="EK40" s="15">
        <v>0</v>
      </c>
      <c r="EL40" s="15">
        <v>0</v>
      </c>
      <c r="EM40" s="17">
        <v>0</v>
      </c>
      <c r="EN40" s="640"/>
      <c r="EO40" s="531"/>
      <c r="EP40" s="531"/>
      <c r="EQ40" s="531"/>
      <c r="ER40" s="531"/>
      <c r="ES40" s="531"/>
      <c r="ET40" s="531"/>
      <c r="EU40" s="77" t="s">
        <v>241</v>
      </c>
    </row>
    <row r="41" spans="1:151" ht="12.75">
      <c r="A41" s="40">
        <v>43872</v>
      </c>
      <c r="B41" s="84">
        <f t="shared" ref="B41:D41" si="37">SUM(I41,AA41,AD41,AG41,AJ41,AM41,BB41,BE41,BW41,CL41,CO41,CX41,DA41,DJ41,EE41,)</f>
        <v>20</v>
      </c>
      <c r="C41" s="41">
        <f t="shared" si="37"/>
        <v>0</v>
      </c>
      <c r="D41" s="41">
        <f t="shared" si="37"/>
        <v>0</v>
      </c>
      <c r="E41" s="16">
        <f t="shared" si="2"/>
        <v>20</v>
      </c>
      <c r="F41" s="18">
        <v>0</v>
      </c>
      <c r="G41" s="18">
        <v>0</v>
      </c>
      <c r="H41" s="317">
        <v>0</v>
      </c>
      <c r="I41" s="18">
        <v>0</v>
      </c>
      <c r="J41" s="18">
        <v>0</v>
      </c>
      <c r="K41" s="317">
        <v>0</v>
      </c>
      <c r="L41" s="18">
        <v>0</v>
      </c>
      <c r="M41" s="18">
        <v>0</v>
      </c>
      <c r="N41" s="317">
        <v>0</v>
      </c>
      <c r="O41" s="18">
        <v>0</v>
      </c>
      <c r="P41" s="18">
        <v>0</v>
      </c>
      <c r="Q41" s="317">
        <v>0</v>
      </c>
      <c r="R41" s="18">
        <v>0</v>
      </c>
      <c r="S41" s="18">
        <v>0</v>
      </c>
      <c r="T41" s="317">
        <v>0</v>
      </c>
      <c r="U41" s="18">
        <v>0</v>
      </c>
      <c r="V41" s="18">
        <v>0</v>
      </c>
      <c r="W41" s="317">
        <v>0</v>
      </c>
      <c r="X41" s="18">
        <v>0</v>
      </c>
      <c r="Y41" s="18">
        <v>0</v>
      </c>
      <c r="Z41" s="317">
        <v>0</v>
      </c>
      <c r="AA41" s="18">
        <v>0</v>
      </c>
      <c r="AB41" s="18">
        <v>0</v>
      </c>
      <c r="AC41" s="317">
        <v>0</v>
      </c>
      <c r="AD41" s="105">
        <v>7</v>
      </c>
      <c r="AE41" s="18">
        <v>0</v>
      </c>
      <c r="AF41" s="317">
        <v>0</v>
      </c>
      <c r="AG41" s="18">
        <v>0</v>
      </c>
      <c r="AH41" s="18">
        <v>0</v>
      </c>
      <c r="AI41" s="317">
        <v>0</v>
      </c>
      <c r="AJ41" s="18">
        <v>0</v>
      </c>
      <c r="AK41" s="18">
        <v>0</v>
      </c>
      <c r="AL41" s="317">
        <v>0</v>
      </c>
      <c r="AM41" s="18">
        <v>0</v>
      </c>
      <c r="AN41" s="18">
        <v>0</v>
      </c>
      <c r="AO41" s="317">
        <v>0</v>
      </c>
      <c r="AP41" s="18">
        <v>0</v>
      </c>
      <c r="AQ41" s="18">
        <v>0</v>
      </c>
      <c r="AR41" s="317">
        <v>0</v>
      </c>
      <c r="AS41" s="18">
        <v>0</v>
      </c>
      <c r="AT41" s="18">
        <v>0</v>
      </c>
      <c r="AU41" s="317">
        <v>0</v>
      </c>
      <c r="AV41" s="18">
        <v>0</v>
      </c>
      <c r="AW41" s="18">
        <v>0</v>
      </c>
      <c r="AX41" s="317">
        <v>0</v>
      </c>
      <c r="AY41" s="18">
        <v>0</v>
      </c>
      <c r="AZ41" s="18">
        <v>0</v>
      </c>
      <c r="BA41" s="317">
        <v>0</v>
      </c>
      <c r="BB41" s="18">
        <v>0</v>
      </c>
      <c r="BC41" s="18">
        <v>0</v>
      </c>
      <c r="BD41" s="317">
        <v>0</v>
      </c>
      <c r="BE41" s="105">
        <v>13</v>
      </c>
      <c r="BF41" s="18">
        <v>0</v>
      </c>
      <c r="BG41" s="317">
        <v>0</v>
      </c>
      <c r="BH41" s="18">
        <v>0</v>
      </c>
      <c r="BI41" s="18">
        <v>0</v>
      </c>
      <c r="BJ41" s="317">
        <v>0</v>
      </c>
      <c r="BK41" s="18">
        <v>0</v>
      </c>
      <c r="BL41" s="18">
        <v>0</v>
      </c>
      <c r="BM41" s="317">
        <v>0</v>
      </c>
      <c r="BN41" s="18">
        <v>0</v>
      </c>
      <c r="BO41" s="18">
        <v>0</v>
      </c>
      <c r="BP41" s="317">
        <v>0</v>
      </c>
      <c r="BQ41" s="18">
        <v>0</v>
      </c>
      <c r="BR41" s="18">
        <v>0</v>
      </c>
      <c r="BS41" s="317">
        <v>0</v>
      </c>
      <c r="BT41" s="18">
        <v>0</v>
      </c>
      <c r="BU41" s="18">
        <v>0</v>
      </c>
      <c r="BV41" s="317">
        <v>0</v>
      </c>
      <c r="BW41" s="18">
        <v>0</v>
      </c>
      <c r="BX41" s="18">
        <v>0</v>
      </c>
      <c r="BY41" s="317">
        <v>0</v>
      </c>
      <c r="BZ41" s="18">
        <v>0</v>
      </c>
      <c r="CA41" s="18">
        <v>0</v>
      </c>
      <c r="CB41" s="317">
        <v>0</v>
      </c>
      <c r="CC41" s="18">
        <v>0</v>
      </c>
      <c r="CD41" s="18">
        <v>0</v>
      </c>
      <c r="CE41" s="317">
        <v>0</v>
      </c>
      <c r="CF41" s="18">
        <v>0</v>
      </c>
      <c r="CG41" s="18">
        <v>0</v>
      </c>
      <c r="CH41" s="317">
        <v>0</v>
      </c>
      <c r="CI41" s="18">
        <v>0</v>
      </c>
      <c r="CJ41" s="18">
        <v>0</v>
      </c>
      <c r="CK41" s="317">
        <v>0</v>
      </c>
      <c r="CL41" s="18">
        <v>0</v>
      </c>
      <c r="CM41" s="18">
        <v>0</v>
      </c>
      <c r="CN41" s="317">
        <v>0</v>
      </c>
      <c r="CO41" s="18">
        <v>0</v>
      </c>
      <c r="CP41" s="18">
        <v>0</v>
      </c>
      <c r="CQ41" s="317">
        <v>0</v>
      </c>
      <c r="CR41" s="18">
        <v>0</v>
      </c>
      <c r="CS41" s="18">
        <v>0</v>
      </c>
      <c r="CT41" s="317">
        <v>0</v>
      </c>
      <c r="CU41" s="18">
        <v>0</v>
      </c>
      <c r="CV41" s="18">
        <v>0</v>
      </c>
      <c r="CW41" s="317">
        <v>0</v>
      </c>
      <c r="CX41" s="18">
        <v>0</v>
      </c>
      <c r="CY41" s="18">
        <v>0</v>
      </c>
      <c r="CZ41" s="317">
        <v>0</v>
      </c>
      <c r="DA41" s="18">
        <v>0</v>
      </c>
      <c r="DB41" s="18">
        <v>0</v>
      </c>
      <c r="DC41" s="317">
        <v>0</v>
      </c>
      <c r="DD41" s="18">
        <v>0</v>
      </c>
      <c r="DE41" s="18">
        <v>0</v>
      </c>
      <c r="DF41" s="317">
        <v>0</v>
      </c>
      <c r="DG41" s="18">
        <v>0</v>
      </c>
      <c r="DH41" s="18">
        <v>0</v>
      </c>
      <c r="DI41" s="317">
        <v>0</v>
      </c>
      <c r="DJ41" s="18">
        <v>0</v>
      </c>
      <c r="DK41" s="18">
        <v>0</v>
      </c>
      <c r="DL41" s="317">
        <v>0</v>
      </c>
      <c r="DM41" s="18">
        <v>0</v>
      </c>
      <c r="DN41" s="18">
        <v>0</v>
      </c>
      <c r="DO41" s="317">
        <v>0</v>
      </c>
      <c r="DP41" s="18">
        <v>0</v>
      </c>
      <c r="DQ41" s="18">
        <v>0</v>
      </c>
      <c r="DR41" s="317">
        <v>0</v>
      </c>
      <c r="DS41" s="18">
        <v>0</v>
      </c>
      <c r="DT41" s="18">
        <v>0</v>
      </c>
      <c r="DU41" s="317">
        <v>0</v>
      </c>
      <c r="DV41" s="18">
        <v>0</v>
      </c>
      <c r="DW41" s="18">
        <v>0</v>
      </c>
      <c r="DX41" s="317">
        <v>0</v>
      </c>
      <c r="DY41" s="18">
        <v>0</v>
      </c>
      <c r="DZ41" s="18">
        <v>0</v>
      </c>
      <c r="EA41" s="317">
        <v>0</v>
      </c>
      <c r="EB41" s="18">
        <v>0</v>
      </c>
      <c r="EC41" s="18">
        <v>0</v>
      </c>
      <c r="ED41" s="317">
        <v>0</v>
      </c>
      <c r="EE41" s="18">
        <v>0</v>
      </c>
      <c r="EF41" s="18">
        <v>0</v>
      </c>
      <c r="EG41" s="317">
        <v>0</v>
      </c>
      <c r="EH41" s="18">
        <v>0</v>
      </c>
      <c r="EI41" s="18">
        <v>0</v>
      </c>
      <c r="EJ41" s="317">
        <v>0</v>
      </c>
      <c r="EK41" s="18">
        <v>0</v>
      </c>
      <c r="EL41" s="18">
        <v>0</v>
      </c>
      <c r="EM41" s="317">
        <v>0</v>
      </c>
      <c r="EN41" s="640"/>
      <c r="EO41" s="531"/>
      <c r="EP41" s="531"/>
      <c r="EQ41" s="531"/>
      <c r="ER41" s="531"/>
      <c r="ES41" s="531"/>
      <c r="ET41" s="531"/>
      <c r="EU41" s="339"/>
    </row>
    <row r="42" spans="1:151" ht="12.75">
      <c r="A42" s="40">
        <v>43873</v>
      </c>
      <c r="B42" s="84">
        <f t="shared" ref="B42:D42" si="38">SUM(I42,AA42,AD42,AG42,AJ42,AM42,BB42,BE42,BW42,CL42,CO42,CX42,DA42,DJ42,EE42,)</f>
        <v>21</v>
      </c>
      <c r="C42" s="41">
        <f t="shared" si="38"/>
        <v>0</v>
      </c>
      <c r="D42" s="41">
        <f t="shared" si="38"/>
        <v>0</v>
      </c>
      <c r="E42" s="16">
        <f t="shared" si="2"/>
        <v>21</v>
      </c>
      <c r="F42" s="15">
        <v>0</v>
      </c>
      <c r="G42" s="15">
        <v>0</v>
      </c>
      <c r="H42" s="17">
        <v>0</v>
      </c>
      <c r="I42" s="15">
        <v>0</v>
      </c>
      <c r="J42" s="15">
        <v>0</v>
      </c>
      <c r="K42" s="17">
        <v>0</v>
      </c>
      <c r="L42" s="15">
        <v>0</v>
      </c>
      <c r="M42" s="15">
        <v>0</v>
      </c>
      <c r="N42" s="17">
        <v>0</v>
      </c>
      <c r="O42" s="15">
        <v>0</v>
      </c>
      <c r="P42" s="15">
        <v>0</v>
      </c>
      <c r="Q42" s="17">
        <v>0</v>
      </c>
      <c r="R42" s="15">
        <v>0</v>
      </c>
      <c r="S42" s="15">
        <v>0</v>
      </c>
      <c r="T42" s="17">
        <v>0</v>
      </c>
      <c r="U42" s="15">
        <v>0</v>
      </c>
      <c r="V42" s="15">
        <v>0</v>
      </c>
      <c r="W42" s="17">
        <v>0</v>
      </c>
      <c r="X42" s="15">
        <v>0</v>
      </c>
      <c r="Y42" s="15">
        <v>0</v>
      </c>
      <c r="Z42" s="17">
        <v>0</v>
      </c>
      <c r="AA42" s="15">
        <v>0</v>
      </c>
      <c r="AB42" s="15">
        <v>0</v>
      </c>
      <c r="AC42" s="17">
        <v>0</v>
      </c>
      <c r="AD42" s="105">
        <v>7</v>
      </c>
      <c r="AE42" s="15">
        <v>0</v>
      </c>
      <c r="AF42" s="17">
        <v>0</v>
      </c>
      <c r="AG42" s="15">
        <v>0</v>
      </c>
      <c r="AH42" s="15">
        <v>0</v>
      </c>
      <c r="AI42" s="17">
        <v>0</v>
      </c>
      <c r="AJ42" s="15">
        <v>0</v>
      </c>
      <c r="AK42" s="15">
        <v>0</v>
      </c>
      <c r="AL42" s="17">
        <v>0</v>
      </c>
      <c r="AM42" s="15">
        <v>0</v>
      </c>
      <c r="AN42" s="15">
        <v>0</v>
      </c>
      <c r="AO42" s="17">
        <v>0</v>
      </c>
      <c r="AP42" s="15">
        <v>0</v>
      </c>
      <c r="AQ42" s="15">
        <v>0</v>
      </c>
      <c r="AR42" s="17">
        <v>0</v>
      </c>
      <c r="AS42" s="15">
        <v>0</v>
      </c>
      <c r="AT42" s="15">
        <v>0</v>
      </c>
      <c r="AU42" s="17">
        <v>0</v>
      </c>
      <c r="AV42" s="15">
        <v>0</v>
      </c>
      <c r="AW42" s="15">
        <v>0</v>
      </c>
      <c r="AX42" s="17">
        <v>0</v>
      </c>
      <c r="AY42" s="15">
        <v>0</v>
      </c>
      <c r="AZ42" s="15">
        <v>0</v>
      </c>
      <c r="BA42" s="17">
        <v>0</v>
      </c>
      <c r="BB42" s="15">
        <v>0</v>
      </c>
      <c r="BC42" s="15">
        <v>0</v>
      </c>
      <c r="BD42" s="17">
        <v>0</v>
      </c>
      <c r="BE42" s="105">
        <v>14</v>
      </c>
      <c r="BF42" s="15">
        <v>0</v>
      </c>
      <c r="BG42" s="17">
        <v>0</v>
      </c>
      <c r="BH42" s="15">
        <v>0</v>
      </c>
      <c r="BI42" s="15">
        <v>0</v>
      </c>
      <c r="BJ42" s="17">
        <v>0</v>
      </c>
      <c r="BK42" s="15">
        <v>0</v>
      </c>
      <c r="BL42" s="15">
        <v>0</v>
      </c>
      <c r="BM42" s="17">
        <v>0</v>
      </c>
      <c r="BN42" s="15">
        <v>0</v>
      </c>
      <c r="BO42" s="15">
        <v>0</v>
      </c>
      <c r="BP42" s="17">
        <v>0</v>
      </c>
      <c r="BQ42" s="15">
        <v>0</v>
      </c>
      <c r="BR42" s="15">
        <v>0</v>
      </c>
      <c r="BS42" s="17">
        <v>0</v>
      </c>
      <c r="BT42" s="15">
        <v>0</v>
      </c>
      <c r="BU42" s="15">
        <v>0</v>
      </c>
      <c r="BV42" s="17">
        <v>0</v>
      </c>
      <c r="BW42" s="15">
        <v>0</v>
      </c>
      <c r="BX42" s="15">
        <v>0</v>
      </c>
      <c r="BY42" s="17">
        <v>0</v>
      </c>
      <c r="BZ42" s="15">
        <v>0</v>
      </c>
      <c r="CA42" s="15">
        <v>0</v>
      </c>
      <c r="CB42" s="17">
        <v>0</v>
      </c>
      <c r="CC42" s="15">
        <v>0</v>
      </c>
      <c r="CD42" s="15">
        <v>0</v>
      </c>
      <c r="CE42" s="17">
        <v>0</v>
      </c>
      <c r="CF42" s="15">
        <v>0</v>
      </c>
      <c r="CG42" s="15">
        <v>0</v>
      </c>
      <c r="CH42" s="17">
        <v>0</v>
      </c>
      <c r="CI42" s="15">
        <v>0</v>
      </c>
      <c r="CJ42" s="15">
        <v>0</v>
      </c>
      <c r="CK42" s="17">
        <v>0</v>
      </c>
      <c r="CL42" s="15">
        <v>0</v>
      </c>
      <c r="CM42" s="15">
        <v>0</v>
      </c>
      <c r="CN42" s="17">
        <v>0</v>
      </c>
      <c r="CO42" s="15">
        <v>0</v>
      </c>
      <c r="CP42" s="15">
        <v>0</v>
      </c>
      <c r="CQ42" s="17">
        <v>0</v>
      </c>
      <c r="CR42" s="15">
        <v>0</v>
      </c>
      <c r="CS42" s="15">
        <v>0</v>
      </c>
      <c r="CT42" s="17">
        <v>0</v>
      </c>
      <c r="CU42" s="15">
        <v>0</v>
      </c>
      <c r="CV42" s="15">
        <v>0</v>
      </c>
      <c r="CW42" s="17">
        <v>0</v>
      </c>
      <c r="CX42" s="15">
        <v>0</v>
      </c>
      <c r="CY42" s="15">
        <v>0</v>
      </c>
      <c r="CZ42" s="17">
        <v>0</v>
      </c>
      <c r="DA42" s="15">
        <v>0</v>
      </c>
      <c r="DB42" s="15">
        <v>0</v>
      </c>
      <c r="DC42" s="17">
        <v>0</v>
      </c>
      <c r="DD42" s="15">
        <v>0</v>
      </c>
      <c r="DE42" s="15">
        <v>0</v>
      </c>
      <c r="DF42" s="17">
        <v>0</v>
      </c>
      <c r="DG42" s="15">
        <v>0</v>
      </c>
      <c r="DH42" s="15">
        <v>0</v>
      </c>
      <c r="DI42" s="17">
        <v>0</v>
      </c>
      <c r="DJ42" s="15">
        <v>0</v>
      </c>
      <c r="DK42" s="15">
        <v>0</v>
      </c>
      <c r="DL42" s="17">
        <v>0</v>
      </c>
      <c r="DM42" s="15">
        <v>0</v>
      </c>
      <c r="DN42" s="15">
        <v>0</v>
      </c>
      <c r="DO42" s="17">
        <v>0</v>
      </c>
      <c r="DP42" s="15">
        <v>0</v>
      </c>
      <c r="DQ42" s="15">
        <v>0</v>
      </c>
      <c r="DR42" s="17">
        <v>0</v>
      </c>
      <c r="DS42" s="15">
        <v>0</v>
      </c>
      <c r="DT42" s="15">
        <v>0</v>
      </c>
      <c r="DU42" s="17">
        <v>0</v>
      </c>
      <c r="DV42" s="15">
        <v>0</v>
      </c>
      <c r="DW42" s="15">
        <v>0</v>
      </c>
      <c r="DX42" s="17">
        <v>0</v>
      </c>
      <c r="DY42" s="15">
        <v>0</v>
      </c>
      <c r="DZ42" s="15">
        <v>0</v>
      </c>
      <c r="EA42" s="17">
        <v>0</v>
      </c>
      <c r="EB42" s="15">
        <v>0</v>
      </c>
      <c r="EC42" s="15">
        <v>0</v>
      </c>
      <c r="ED42" s="17">
        <v>0</v>
      </c>
      <c r="EE42" s="15">
        <v>0</v>
      </c>
      <c r="EF42" s="15">
        <v>0</v>
      </c>
      <c r="EG42" s="17">
        <v>0</v>
      </c>
      <c r="EH42" s="15">
        <v>0</v>
      </c>
      <c r="EI42" s="15">
        <v>0</v>
      </c>
      <c r="EJ42" s="17">
        <v>0</v>
      </c>
      <c r="EK42" s="15">
        <v>0</v>
      </c>
      <c r="EL42" s="15">
        <v>0</v>
      </c>
      <c r="EM42" s="17">
        <v>0</v>
      </c>
      <c r="EN42" s="640"/>
      <c r="EO42" s="531"/>
      <c r="EP42" s="531"/>
      <c r="EQ42" s="531"/>
      <c r="ER42" s="531"/>
      <c r="ES42" s="531"/>
      <c r="ET42" s="531"/>
      <c r="EU42" s="77" t="s">
        <v>245</v>
      </c>
    </row>
    <row r="43" spans="1:151" ht="12.75">
      <c r="A43" s="40">
        <v>43874</v>
      </c>
      <c r="B43" s="84">
        <f t="shared" ref="B43:D43" si="39">SUM(I43,AA43,AD43,AG43,AJ43,AM43,BB43,BE43,BW43,CL43,CO43,CX43,DA43,DJ43,EE43,)</f>
        <v>22</v>
      </c>
      <c r="C43" s="41">
        <f t="shared" si="39"/>
        <v>0</v>
      </c>
      <c r="D43" s="41">
        <f t="shared" si="39"/>
        <v>0</v>
      </c>
      <c r="E43" s="16">
        <f t="shared" si="2"/>
        <v>22</v>
      </c>
      <c r="F43" s="18">
        <v>0</v>
      </c>
      <c r="G43" s="18">
        <v>0</v>
      </c>
      <c r="H43" s="317">
        <v>0</v>
      </c>
      <c r="I43" s="18">
        <v>0</v>
      </c>
      <c r="J43" s="18">
        <v>0</v>
      </c>
      <c r="K43" s="317">
        <v>0</v>
      </c>
      <c r="L43" s="18">
        <v>0</v>
      </c>
      <c r="M43" s="18">
        <v>0</v>
      </c>
      <c r="N43" s="317">
        <v>0</v>
      </c>
      <c r="O43" s="18">
        <v>0</v>
      </c>
      <c r="P43" s="18">
        <v>0</v>
      </c>
      <c r="Q43" s="317">
        <v>0</v>
      </c>
      <c r="R43" s="18">
        <v>0</v>
      </c>
      <c r="S43" s="18">
        <v>0</v>
      </c>
      <c r="T43" s="317">
        <v>0</v>
      </c>
      <c r="U43" s="18">
        <v>0</v>
      </c>
      <c r="V43" s="18">
        <v>0</v>
      </c>
      <c r="W43" s="317">
        <v>0</v>
      </c>
      <c r="X43" s="18">
        <v>0</v>
      </c>
      <c r="Y43" s="18">
        <v>0</v>
      </c>
      <c r="Z43" s="317">
        <v>0</v>
      </c>
      <c r="AA43" s="18">
        <v>0</v>
      </c>
      <c r="AB43" s="18">
        <v>0</v>
      </c>
      <c r="AC43" s="317">
        <v>0</v>
      </c>
      <c r="AD43" s="105">
        <v>7</v>
      </c>
      <c r="AE43" s="18">
        <v>0</v>
      </c>
      <c r="AF43" s="317">
        <v>0</v>
      </c>
      <c r="AG43" s="18">
        <v>0</v>
      </c>
      <c r="AH43" s="18">
        <v>0</v>
      </c>
      <c r="AI43" s="317">
        <v>0</v>
      </c>
      <c r="AJ43" s="18">
        <v>0</v>
      </c>
      <c r="AK43" s="18">
        <v>0</v>
      </c>
      <c r="AL43" s="317">
        <v>0</v>
      </c>
      <c r="AM43" s="18">
        <v>0</v>
      </c>
      <c r="AN43" s="18">
        <v>0</v>
      </c>
      <c r="AO43" s="317">
        <v>0</v>
      </c>
      <c r="AP43" s="18">
        <v>0</v>
      </c>
      <c r="AQ43" s="18">
        <v>0</v>
      </c>
      <c r="AR43" s="317">
        <v>0</v>
      </c>
      <c r="AS43" s="18">
        <v>0</v>
      </c>
      <c r="AT43" s="18">
        <v>0</v>
      </c>
      <c r="AU43" s="317">
        <v>0</v>
      </c>
      <c r="AV43" s="18">
        <v>0</v>
      </c>
      <c r="AW43" s="18">
        <v>0</v>
      </c>
      <c r="AX43" s="317">
        <v>0</v>
      </c>
      <c r="AY43" s="18">
        <v>0</v>
      </c>
      <c r="AZ43" s="18">
        <v>0</v>
      </c>
      <c r="BA43" s="317">
        <v>0</v>
      </c>
      <c r="BB43" s="18">
        <v>0</v>
      </c>
      <c r="BC43" s="18">
        <v>0</v>
      </c>
      <c r="BD43" s="317">
        <v>0</v>
      </c>
      <c r="BE43" s="105">
        <v>15</v>
      </c>
      <c r="BF43" s="18">
        <v>0</v>
      </c>
      <c r="BG43" s="317">
        <v>0</v>
      </c>
      <c r="BH43" s="18">
        <v>0</v>
      </c>
      <c r="BI43" s="18">
        <v>0</v>
      </c>
      <c r="BJ43" s="317">
        <v>0</v>
      </c>
      <c r="BK43" s="18">
        <v>0</v>
      </c>
      <c r="BL43" s="18">
        <v>0</v>
      </c>
      <c r="BM43" s="317">
        <v>0</v>
      </c>
      <c r="BN43" s="18">
        <v>0</v>
      </c>
      <c r="BO43" s="18">
        <v>0</v>
      </c>
      <c r="BP43" s="317">
        <v>0</v>
      </c>
      <c r="BQ43" s="18">
        <v>0</v>
      </c>
      <c r="BR43" s="18">
        <v>0</v>
      </c>
      <c r="BS43" s="317">
        <v>0</v>
      </c>
      <c r="BT43" s="18">
        <v>0</v>
      </c>
      <c r="BU43" s="18">
        <v>0</v>
      </c>
      <c r="BV43" s="317">
        <v>0</v>
      </c>
      <c r="BW43" s="18">
        <v>0</v>
      </c>
      <c r="BX43" s="18">
        <v>0</v>
      </c>
      <c r="BY43" s="317">
        <v>0</v>
      </c>
      <c r="BZ43" s="18">
        <v>0</v>
      </c>
      <c r="CA43" s="18">
        <v>0</v>
      </c>
      <c r="CB43" s="317">
        <v>0</v>
      </c>
      <c r="CC43" s="18">
        <v>0</v>
      </c>
      <c r="CD43" s="18">
        <v>0</v>
      </c>
      <c r="CE43" s="317">
        <v>0</v>
      </c>
      <c r="CF43" s="18">
        <v>0</v>
      </c>
      <c r="CG43" s="18">
        <v>0</v>
      </c>
      <c r="CH43" s="317">
        <v>0</v>
      </c>
      <c r="CI43" s="18">
        <v>0</v>
      </c>
      <c r="CJ43" s="18">
        <v>0</v>
      </c>
      <c r="CK43" s="317">
        <v>0</v>
      </c>
      <c r="CL43" s="18">
        <v>0</v>
      </c>
      <c r="CM43" s="18">
        <v>0</v>
      </c>
      <c r="CN43" s="317">
        <v>0</v>
      </c>
      <c r="CO43" s="18">
        <v>0</v>
      </c>
      <c r="CP43" s="18">
        <v>0</v>
      </c>
      <c r="CQ43" s="317">
        <v>0</v>
      </c>
      <c r="CR43" s="18">
        <v>0</v>
      </c>
      <c r="CS43" s="18">
        <v>0</v>
      </c>
      <c r="CT43" s="317">
        <v>0</v>
      </c>
      <c r="CU43" s="18">
        <v>0</v>
      </c>
      <c r="CV43" s="18">
        <v>0</v>
      </c>
      <c r="CW43" s="317">
        <v>0</v>
      </c>
      <c r="CX43" s="18">
        <v>0</v>
      </c>
      <c r="CY43" s="18">
        <v>0</v>
      </c>
      <c r="CZ43" s="317">
        <v>0</v>
      </c>
      <c r="DA43" s="18">
        <v>0</v>
      </c>
      <c r="DB43" s="18">
        <v>0</v>
      </c>
      <c r="DC43" s="317">
        <v>0</v>
      </c>
      <c r="DD43" s="18">
        <v>0</v>
      </c>
      <c r="DE43" s="18">
        <v>0</v>
      </c>
      <c r="DF43" s="317">
        <v>0</v>
      </c>
      <c r="DG43" s="18">
        <v>0</v>
      </c>
      <c r="DH43" s="18">
        <v>0</v>
      </c>
      <c r="DI43" s="317">
        <v>0</v>
      </c>
      <c r="DJ43" s="18">
        <v>0</v>
      </c>
      <c r="DK43" s="18">
        <v>0</v>
      </c>
      <c r="DL43" s="317">
        <v>0</v>
      </c>
      <c r="DM43" s="18">
        <v>0</v>
      </c>
      <c r="DN43" s="18">
        <v>0</v>
      </c>
      <c r="DO43" s="317">
        <v>0</v>
      </c>
      <c r="DP43" s="18">
        <v>0</v>
      </c>
      <c r="DQ43" s="18">
        <v>0</v>
      </c>
      <c r="DR43" s="317">
        <v>0</v>
      </c>
      <c r="DS43" s="18">
        <v>0</v>
      </c>
      <c r="DT43" s="18">
        <v>0</v>
      </c>
      <c r="DU43" s="317">
        <v>0</v>
      </c>
      <c r="DV43" s="18">
        <v>0</v>
      </c>
      <c r="DW43" s="18">
        <v>0</v>
      </c>
      <c r="DX43" s="317">
        <v>0</v>
      </c>
      <c r="DY43" s="18">
        <v>0</v>
      </c>
      <c r="DZ43" s="18">
        <v>0</v>
      </c>
      <c r="EA43" s="317">
        <v>0</v>
      </c>
      <c r="EB43" s="18">
        <v>0</v>
      </c>
      <c r="EC43" s="18">
        <v>0</v>
      </c>
      <c r="ED43" s="317">
        <v>0</v>
      </c>
      <c r="EE43" s="18">
        <v>0</v>
      </c>
      <c r="EF43" s="18">
        <v>0</v>
      </c>
      <c r="EG43" s="317">
        <v>0</v>
      </c>
      <c r="EH43" s="18">
        <v>0</v>
      </c>
      <c r="EI43" s="18">
        <v>0</v>
      </c>
      <c r="EJ43" s="317">
        <v>0</v>
      </c>
      <c r="EK43" s="18">
        <v>0</v>
      </c>
      <c r="EL43" s="18">
        <v>0</v>
      </c>
      <c r="EM43" s="317">
        <v>0</v>
      </c>
      <c r="EN43" s="640"/>
      <c r="EO43" s="531"/>
      <c r="EP43" s="531"/>
      <c r="EQ43" s="531"/>
      <c r="ER43" s="531"/>
      <c r="ES43" s="531"/>
      <c r="ET43" s="531"/>
      <c r="EU43" s="77" t="s">
        <v>841</v>
      </c>
    </row>
    <row r="44" spans="1:151" ht="12.75">
      <c r="A44" s="40">
        <v>43875</v>
      </c>
      <c r="B44" s="84">
        <f t="shared" ref="B44:D44" si="40">SUM(I44,AA44,AD44,AG44,AJ44,AM44,BB44,BE44,BW44,CL44,CO44,CX44,DA44,DJ44,EE44,)</f>
        <v>22</v>
      </c>
      <c r="C44" s="41">
        <f t="shared" si="40"/>
        <v>0</v>
      </c>
      <c r="D44" s="41">
        <f t="shared" si="40"/>
        <v>0</v>
      </c>
      <c r="E44" s="16">
        <f t="shared" si="2"/>
        <v>22</v>
      </c>
      <c r="F44" s="15">
        <v>0</v>
      </c>
      <c r="G44" s="15">
        <v>0</v>
      </c>
      <c r="H44" s="17">
        <v>0</v>
      </c>
      <c r="I44" s="15">
        <v>0</v>
      </c>
      <c r="J44" s="15">
        <v>0</v>
      </c>
      <c r="K44" s="17">
        <v>0</v>
      </c>
      <c r="L44" s="15">
        <v>0</v>
      </c>
      <c r="M44" s="15">
        <v>0</v>
      </c>
      <c r="N44" s="17">
        <v>0</v>
      </c>
      <c r="O44" s="15">
        <v>0</v>
      </c>
      <c r="P44" s="15">
        <v>0</v>
      </c>
      <c r="Q44" s="17">
        <v>0</v>
      </c>
      <c r="R44" s="15">
        <v>0</v>
      </c>
      <c r="S44" s="15">
        <v>0</v>
      </c>
      <c r="T44" s="17">
        <v>0</v>
      </c>
      <c r="U44" s="15">
        <v>0</v>
      </c>
      <c r="V44" s="15">
        <v>0</v>
      </c>
      <c r="W44" s="17">
        <v>0</v>
      </c>
      <c r="X44" s="15">
        <v>0</v>
      </c>
      <c r="Y44" s="15">
        <v>0</v>
      </c>
      <c r="Z44" s="17">
        <v>0</v>
      </c>
      <c r="AA44" s="15">
        <v>0</v>
      </c>
      <c r="AB44" s="15">
        <v>0</v>
      </c>
      <c r="AC44" s="17">
        <v>0</v>
      </c>
      <c r="AD44" s="105">
        <v>7</v>
      </c>
      <c r="AE44" s="15">
        <v>0</v>
      </c>
      <c r="AF44" s="17">
        <v>0</v>
      </c>
      <c r="AG44" s="15">
        <v>0</v>
      </c>
      <c r="AH44" s="15">
        <v>0</v>
      </c>
      <c r="AI44" s="17">
        <v>0</v>
      </c>
      <c r="AJ44" s="15">
        <v>0</v>
      </c>
      <c r="AK44" s="15">
        <v>0</v>
      </c>
      <c r="AL44" s="17">
        <v>0</v>
      </c>
      <c r="AM44" s="15">
        <v>0</v>
      </c>
      <c r="AN44" s="15">
        <v>0</v>
      </c>
      <c r="AO44" s="17">
        <v>0</v>
      </c>
      <c r="AP44" s="15">
        <v>0</v>
      </c>
      <c r="AQ44" s="15">
        <v>0</v>
      </c>
      <c r="AR44" s="17">
        <v>0</v>
      </c>
      <c r="AS44" s="15">
        <v>0</v>
      </c>
      <c r="AT44" s="15">
        <v>0</v>
      </c>
      <c r="AU44" s="17">
        <v>0</v>
      </c>
      <c r="AV44" s="15">
        <v>0</v>
      </c>
      <c r="AW44" s="15">
        <v>0</v>
      </c>
      <c r="AX44" s="17">
        <v>0</v>
      </c>
      <c r="AY44" s="15">
        <v>0</v>
      </c>
      <c r="AZ44" s="15">
        <v>0</v>
      </c>
      <c r="BA44" s="17">
        <v>0</v>
      </c>
      <c r="BB44" s="15">
        <v>0</v>
      </c>
      <c r="BC44" s="15">
        <v>0</v>
      </c>
      <c r="BD44" s="17">
        <v>0</v>
      </c>
      <c r="BE44" s="105">
        <v>15</v>
      </c>
      <c r="BF44" s="15">
        <v>0</v>
      </c>
      <c r="BG44" s="17">
        <v>0</v>
      </c>
      <c r="BH44" s="15">
        <v>0</v>
      </c>
      <c r="BI44" s="15">
        <v>0</v>
      </c>
      <c r="BJ44" s="17">
        <v>0</v>
      </c>
      <c r="BK44" s="15">
        <v>0</v>
      </c>
      <c r="BL44" s="15">
        <v>0</v>
      </c>
      <c r="BM44" s="17">
        <v>0</v>
      </c>
      <c r="BN44" s="15">
        <v>0</v>
      </c>
      <c r="BO44" s="15">
        <v>0</v>
      </c>
      <c r="BP44" s="17">
        <v>0</v>
      </c>
      <c r="BQ44" s="15">
        <v>0</v>
      </c>
      <c r="BR44" s="15">
        <v>0</v>
      </c>
      <c r="BS44" s="17">
        <v>0</v>
      </c>
      <c r="BT44" s="15">
        <v>0</v>
      </c>
      <c r="BU44" s="15">
        <v>0</v>
      </c>
      <c r="BV44" s="17">
        <v>0</v>
      </c>
      <c r="BW44" s="15">
        <v>0</v>
      </c>
      <c r="BX44" s="15">
        <v>0</v>
      </c>
      <c r="BY44" s="17">
        <v>0</v>
      </c>
      <c r="BZ44" s="15">
        <v>0</v>
      </c>
      <c r="CA44" s="15">
        <v>0</v>
      </c>
      <c r="CB44" s="17">
        <v>0</v>
      </c>
      <c r="CC44" s="15">
        <v>0</v>
      </c>
      <c r="CD44" s="15">
        <v>0</v>
      </c>
      <c r="CE44" s="17">
        <v>0</v>
      </c>
      <c r="CF44" s="15">
        <v>0</v>
      </c>
      <c r="CG44" s="15">
        <v>0</v>
      </c>
      <c r="CH44" s="17">
        <v>0</v>
      </c>
      <c r="CI44" s="15">
        <v>0</v>
      </c>
      <c r="CJ44" s="15">
        <v>0</v>
      </c>
      <c r="CK44" s="17">
        <v>0</v>
      </c>
      <c r="CL44" s="15">
        <v>0</v>
      </c>
      <c r="CM44" s="15">
        <v>0</v>
      </c>
      <c r="CN44" s="17">
        <v>0</v>
      </c>
      <c r="CO44" s="15">
        <v>0</v>
      </c>
      <c r="CP44" s="15">
        <v>0</v>
      </c>
      <c r="CQ44" s="17">
        <v>0</v>
      </c>
      <c r="CR44" s="15">
        <v>0</v>
      </c>
      <c r="CS44" s="15">
        <v>0</v>
      </c>
      <c r="CT44" s="17">
        <v>0</v>
      </c>
      <c r="CU44" s="15">
        <v>0</v>
      </c>
      <c r="CV44" s="15">
        <v>0</v>
      </c>
      <c r="CW44" s="17">
        <v>0</v>
      </c>
      <c r="CX44" s="15">
        <v>0</v>
      </c>
      <c r="CY44" s="15">
        <v>0</v>
      </c>
      <c r="CZ44" s="17">
        <v>0</v>
      </c>
      <c r="DA44" s="15">
        <v>0</v>
      </c>
      <c r="DB44" s="15">
        <v>0</v>
      </c>
      <c r="DC44" s="17">
        <v>0</v>
      </c>
      <c r="DD44" s="15">
        <v>0</v>
      </c>
      <c r="DE44" s="15">
        <v>0</v>
      </c>
      <c r="DF44" s="17">
        <v>0</v>
      </c>
      <c r="DG44" s="15">
        <v>0</v>
      </c>
      <c r="DH44" s="15">
        <v>0</v>
      </c>
      <c r="DI44" s="17">
        <v>0</v>
      </c>
      <c r="DJ44" s="15">
        <v>0</v>
      </c>
      <c r="DK44" s="15">
        <v>0</v>
      </c>
      <c r="DL44" s="17">
        <v>0</v>
      </c>
      <c r="DM44" s="15">
        <v>0</v>
      </c>
      <c r="DN44" s="15">
        <v>0</v>
      </c>
      <c r="DO44" s="17">
        <v>0</v>
      </c>
      <c r="DP44" s="15">
        <v>0</v>
      </c>
      <c r="DQ44" s="15">
        <v>0</v>
      </c>
      <c r="DR44" s="17">
        <v>0</v>
      </c>
      <c r="DS44" s="15">
        <v>0</v>
      </c>
      <c r="DT44" s="15">
        <v>0</v>
      </c>
      <c r="DU44" s="17">
        <v>0</v>
      </c>
      <c r="DV44" s="15">
        <v>0</v>
      </c>
      <c r="DW44" s="15">
        <v>0</v>
      </c>
      <c r="DX44" s="17">
        <v>0</v>
      </c>
      <c r="DY44" s="15">
        <v>0</v>
      </c>
      <c r="DZ44" s="15">
        <v>0</v>
      </c>
      <c r="EA44" s="17">
        <v>0</v>
      </c>
      <c r="EB44" s="15">
        <v>0</v>
      </c>
      <c r="EC44" s="15">
        <v>0</v>
      </c>
      <c r="ED44" s="17">
        <v>0</v>
      </c>
      <c r="EE44" s="15">
        <v>0</v>
      </c>
      <c r="EF44" s="15">
        <v>0</v>
      </c>
      <c r="EG44" s="17">
        <v>0</v>
      </c>
      <c r="EH44" s="15">
        <v>0</v>
      </c>
      <c r="EI44" s="15">
        <v>0</v>
      </c>
      <c r="EJ44" s="17">
        <v>0</v>
      </c>
      <c r="EK44" s="15">
        <v>0</v>
      </c>
      <c r="EL44" s="15">
        <v>0</v>
      </c>
      <c r="EM44" s="17">
        <v>0</v>
      </c>
      <c r="EN44" s="640"/>
      <c r="EO44" s="531"/>
      <c r="EP44" s="531"/>
      <c r="EQ44" s="531"/>
      <c r="ER44" s="531"/>
      <c r="ES44" s="531"/>
      <c r="ET44" s="531"/>
      <c r="EU44" s="339"/>
    </row>
    <row r="45" spans="1:151" ht="12.75">
      <c r="A45" s="40">
        <v>43876</v>
      </c>
      <c r="B45" s="84">
        <f t="shared" ref="B45:D45" si="41">SUM(I45,AA45,AD45,AG45,AJ45,AM45,BB45,BE45,BW45,CL45,CO45,CX45,DA45,DJ45,EE45,)</f>
        <v>22</v>
      </c>
      <c r="C45" s="41">
        <f t="shared" si="41"/>
        <v>0</v>
      </c>
      <c r="D45" s="41">
        <f t="shared" si="41"/>
        <v>0</v>
      </c>
      <c r="E45" s="16">
        <f t="shared" si="2"/>
        <v>22</v>
      </c>
      <c r="F45" s="18">
        <v>0</v>
      </c>
      <c r="G45" s="18">
        <v>0</v>
      </c>
      <c r="H45" s="317">
        <v>0</v>
      </c>
      <c r="I45" s="18">
        <v>0</v>
      </c>
      <c r="J45" s="18">
        <v>0</v>
      </c>
      <c r="K45" s="317">
        <v>0</v>
      </c>
      <c r="L45" s="18">
        <v>0</v>
      </c>
      <c r="M45" s="18">
        <v>0</v>
      </c>
      <c r="N45" s="317">
        <v>0</v>
      </c>
      <c r="O45" s="18">
        <v>0</v>
      </c>
      <c r="P45" s="18">
        <v>0</v>
      </c>
      <c r="Q45" s="317">
        <v>0</v>
      </c>
      <c r="R45" s="18">
        <v>0</v>
      </c>
      <c r="S45" s="18">
        <v>0</v>
      </c>
      <c r="T45" s="317">
        <v>0</v>
      </c>
      <c r="U45" s="18">
        <v>0</v>
      </c>
      <c r="V45" s="18">
        <v>0</v>
      </c>
      <c r="W45" s="317">
        <v>0</v>
      </c>
      <c r="X45" s="18">
        <v>0</v>
      </c>
      <c r="Y45" s="18">
        <v>0</v>
      </c>
      <c r="Z45" s="317">
        <v>0</v>
      </c>
      <c r="AA45" s="18">
        <v>0</v>
      </c>
      <c r="AB45" s="18">
        <v>0</v>
      </c>
      <c r="AC45" s="317">
        <v>0</v>
      </c>
      <c r="AD45" s="105">
        <v>7</v>
      </c>
      <c r="AE45" s="18">
        <v>0</v>
      </c>
      <c r="AF45" s="317">
        <v>0</v>
      </c>
      <c r="AG45" s="18">
        <v>0</v>
      </c>
      <c r="AH45" s="18">
        <v>0</v>
      </c>
      <c r="AI45" s="317">
        <v>0</v>
      </c>
      <c r="AJ45" s="18">
        <v>0</v>
      </c>
      <c r="AK45" s="18">
        <v>0</v>
      </c>
      <c r="AL45" s="317">
        <v>0</v>
      </c>
      <c r="AM45" s="18">
        <v>0</v>
      </c>
      <c r="AN45" s="18">
        <v>0</v>
      </c>
      <c r="AO45" s="317">
        <v>0</v>
      </c>
      <c r="AP45" s="18">
        <v>0</v>
      </c>
      <c r="AQ45" s="18">
        <v>0</v>
      </c>
      <c r="AR45" s="317">
        <v>0</v>
      </c>
      <c r="AS45" s="18">
        <v>0</v>
      </c>
      <c r="AT45" s="18">
        <v>0</v>
      </c>
      <c r="AU45" s="317">
        <v>0</v>
      </c>
      <c r="AV45" s="18">
        <v>0</v>
      </c>
      <c r="AW45" s="18">
        <v>0</v>
      </c>
      <c r="AX45" s="317">
        <v>0</v>
      </c>
      <c r="AY45" s="18">
        <v>0</v>
      </c>
      <c r="AZ45" s="18">
        <v>0</v>
      </c>
      <c r="BA45" s="317">
        <v>0</v>
      </c>
      <c r="BB45" s="18">
        <v>0</v>
      </c>
      <c r="BC45" s="18">
        <v>0</v>
      </c>
      <c r="BD45" s="317">
        <v>0</v>
      </c>
      <c r="BE45" s="105">
        <v>15</v>
      </c>
      <c r="BF45" s="18">
        <v>0</v>
      </c>
      <c r="BG45" s="317">
        <v>0</v>
      </c>
      <c r="BH45" s="18">
        <v>0</v>
      </c>
      <c r="BI45" s="18">
        <v>0</v>
      </c>
      <c r="BJ45" s="317">
        <v>0</v>
      </c>
      <c r="BK45" s="18">
        <v>0</v>
      </c>
      <c r="BL45" s="18">
        <v>0</v>
      </c>
      <c r="BM45" s="317">
        <v>0</v>
      </c>
      <c r="BN45" s="18">
        <v>0</v>
      </c>
      <c r="BO45" s="18">
        <v>0</v>
      </c>
      <c r="BP45" s="317">
        <v>0</v>
      </c>
      <c r="BQ45" s="18">
        <v>0</v>
      </c>
      <c r="BR45" s="18">
        <v>0</v>
      </c>
      <c r="BS45" s="317">
        <v>0</v>
      </c>
      <c r="BT45" s="18">
        <v>0</v>
      </c>
      <c r="BU45" s="18">
        <v>0</v>
      </c>
      <c r="BV45" s="317">
        <v>0</v>
      </c>
      <c r="BW45" s="18">
        <v>0</v>
      </c>
      <c r="BX45" s="18">
        <v>0</v>
      </c>
      <c r="BY45" s="317">
        <v>0</v>
      </c>
      <c r="BZ45" s="18">
        <v>0</v>
      </c>
      <c r="CA45" s="18">
        <v>0</v>
      </c>
      <c r="CB45" s="317">
        <v>0</v>
      </c>
      <c r="CC45" s="18">
        <v>0</v>
      </c>
      <c r="CD45" s="18">
        <v>0</v>
      </c>
      <c r="CE45" s="317">
        <v>0</v>
      </c>
      <c r="CF45" s="18">
        <v>0</v>
      </c>
      <c r="CG45" s="18">
        <v>0</v>
      </c>
      <c r="CH45" s="317">
        <v>0</v>
      </c>
      <c r="CI45" s="18">
        <v>0</v>
      </c>
      <c r="CJ45" s="18">
        <v>0</v>
      </c>
      <c r="CK45" s="317">
        <v>0</v>
      </c>
      <c r="CL45" s="18">
        <v>0</v>
      </c>
      <c r="CM45" s="18">
        <v>0</v>
      </c>
      <c r="CN45" s="317">
        <v>0</v>
      </c>
      <c r="CO45" s="18">
        <v>0</v>
      </c>
      <c r="CP45" s="18">
        <v>0</v>
      </c>
      <c r="CQ45" s="317">
        <v>0</v>
      </c>
      <c r="CR45" s="18">
        <v>0</v>
      </c>
      <c r="CS45" s="18">
        <v>0</v>
      </c>
      <c r="CT45" s="317">
        <v>0</v>
      </c>
      <c r="CU45" s="18">
        <v>0</v>
      </c>
      <c r="CV45" s="18">
        <v>0</v>
      </c>
      <c r="CW45" s="317">
        <v>0</v>
      </c>
      <c r="CX45" s="18">
        <v>0</v>
      </c>
      <c r="CY45" s="18">
        <v>0</v>
      </c>
      <c r="CZ45" s="317">
        <v>0</v>
      </c>
      <c r="DA45" s="18">
        <v>0</v>
      </c>
      <c r="DB45" s="18">
        <v>0</v>
      </c>
      <c r="DC45" s="317">
        <v>0</v>
      </c>
      <c r="DD45" s="18">
        <v>0</v>
      </c>
      <c r="DE45" s="18">
        <v>0</v>
      </c>
      <c r="DF45" s="317">
        <v>0</v>
      </c>
      <c r="DG45" s="18">
        <v>0</v>
      </c>
      <c r="DH45" s="18">
        <v>0</v>
      </c>
      <c r="DI45" s="317">
        <v>0</v>
      </c>
      <c r="DJ45" s="18">
        <v>0</v>
      </c>
      <c r="DK45" s="18">
        <v>0</v>
      </c>
      <c r="DL45" s="317">
        <v>0</v>
      </c>
      <c r="DM45" s="18">
        <v>0</v>
      </c>
      <c r="DN45" s="18">
        <v>0</v>
      </c>
      <c r="DO45" s="317">
        <v>0</v>
      </c>
      <c r="DP45" s="18">
        <v>0</v>
      </c>
      <c r="DQ45" s="18">
        <v>0</v>
      </c>
      <c r="DR45" s="317">
        <v>0</v>
      </c>
      <c r="DS45" s="18">
        <v>0</v>
      </c>
      <c r="DT45" s="18">
        <v>0</v>
      </c>
      <c r="DU45" s="317">
        <v>0</v>
      </c>
      <c r="DV45" s="18">
        <v>0</v>
      </c>
      <c r="DW45" s="18">
        <v>0</v>
      </c>
      <c r="DX45" s="317">
        <v>0</v>
      </c>
      <c r="DY45" s="18">
        <v>0</v>
      </c>
      <c r="DZ45" s="18">
        <v>0</v>
      </c>
      <c r="EA45" s="317">
        <v>0</v>
      </c>
      <c r="EB45" s="18">
        <v>0</v>
      </c>
      <c r="EC45" s="18">
        <v>0</v>
      </c>
      <c r="ED45" s="317">
        <v>0</v>
      </c>
      <c r="EE45" s="18">
        <v>0</v>
      </c>
      <c r="EF45" s="18">
        <v>0</v>
      </c>
      <c r="EG45" s="317">
        <v>0</v>
      </c>
      <c r="EH45" s="18">
        <v>0</v>
      </c>
      <c r="EI45" s="18">
        <v>0</v>
      </c>
      <c r="EJ45" s="317">
        <v>0</v>
      </c>
      <c r="EK45" s="18">
        <v>0</v>
      </c>
      <c r="EL45" s="18">
        <v>0</v>
      </c>
      <c r="EM45" s="317">
        <v>0</v>
      </c>
      <c r="EN45" s="640"/>
      <c r="EO45" s="531"/>
      <c r="EP45" s="531"/>
      <c r="EQ45" s="531"/>
      <c r="ER45" s="531"/>
      <c r="ES45" s="531"/>
      <c r="ET45" s="531"/>
      <c r="EU45" s="339"/>
    </row>
    <row r="46" spans="1:151" ht="12.75">
      <c r="A46" s="40">
        <v>43877</v>
      </c>
      <c r="B46" s="84">
        <f t="shared" ref="B46:D46" si="42">SUM(I46,AA46,AD46,AG46,AJ46,AM46,BB46,BE46,BW46,CL46,CO46,CX46,DA46,DJ46,EE46,)</f>
        <v>22</v>
      </c>
      <c r="C46" s="41">
        <f t="shared" si="42"/>
        <v>0</v>
      </c>
      <c r="D46" s="41">
        <f t="shared" si="42"/>
        <v>0</v>
      </c>
      <c r="E46" s="16">
        <f t="shared" si="2"/>
        <v>22</v>
      </c>
      <c r="F46" s="15">
        <v>0</v>
      </c>
      <c r="G46" s="15">
        <v>0</v>
      </c>
      <c r="H46" s="17">
        <v>0</v>
      </c>
      <c r="I46" s="15">
        <v>0</v>
      </c>
      <c r="J46" s="15">
        <v>0</v>
      </c>
      <c r="K46" s="17">
        <v>0</v>
      </c>
      <c r="L46" s="15">
        <v>0</v>
      </c>
      <c r="M46" s="15">
        <v>0</v>
      </c>
      <c r="N46" s="17">
        <v>0</v>
      </c>
      <c r="O46" s="15">
        <v>0</v>
      </c>
      <c r="P46" s="15">
        <v>0</v>
      </c>
      <c r="Q46" s="17">
        <v>0</v>
      </c>
      <c r="R46" s="15">
        <v>0</v>
      </c>
      <c r="S46" s="15">
        <v>0</v>
      </c>
      <c r="T46" s="17">
        <v>0</v>
      </c>
      <c r="U46" s="15">
        <v>0</v>
      </c>
      <c r="V46" s="15">
        <v>0</v>
      </c>
      <c r="W46" s="17">
        <v>0</v>
      </c>
      <c r="X46" s="15">
        <v>0</v>
      </c>
      <c r="Y46" s="15">
        <v>0</v>
      </c>
      <c r="Z46" s="17">
        <v>0</v>
      </c>
      <c r="AA46" s="15">
        <v>0</v>
      </c>
      <c r="AB46" s="15">
        <v>0</v>
      </c>
      <c r="AC46" s="17">
        <v>0</v>
      </c>
      <c r="AD46" s="105">
        <v>7</v>
      </c>
      <c r="AE46" s="15">
        <v>0</v>
      </c>
      <c r="AF46" s="17">
        <v>0</v>
      </c>
      <c r="AG46" s="15">
        <v>0</v>
      </c>
      <c r="AH46" s="15">
        <v>0</v>
      </c>
      <c r="AI46" s="17">
        <v>0</v>
      </c>
      <c r="AJ46" s="15">
        <v>0</v>
      </c>
      <c r="AK46" s="15">
        <v>0</v>
      </c>
      <c r="AL46" s="17">
        <v>0</v>
      </c>
      <c r="AM46" s="15">
        <v>0</v>
      </c>
      <c r="AN46" s="15">
        <v>0</v>
      </c>
      <c r="AO46" s="17">
        <v>0</v>
      </c>
      <c r="AP46" s="15">
        <v>0</v>
      </c>
      <c r="AQ46" s="15">
        <v>0</v>
      </c>
      <c r="AR46" s="17">
        <v>0</v>
      </c>
      <c r="AS46" s="15">
        <v>0</v>
      </c>
      <c r="AT46" s="15">
        <v>0</v>
      </c>
      <c r="AU46" s="17">
        <v>0</v>
      </c>
      <c r="AV46" s="15">
        <v>0</v>
      </c>
      <c r="AW46" s="15">
        <v>0</v>
      </c>
      <c r="AX46" s="17">
        <v>0</v>
      </c>
      <c r="AY46" s="15">
        <v>0</v>
      </c>
      <c r="AZ46" s="15">
        <v>0</v>
      </c>
      <c r="BA46" s="17">
        <v>0</v>
      </c>
      <c r="BB46" s="15">
        <v>0</v>
      </c>
      <c r="BC46" s="15">
        <v>0</v>
      </c>
      <c r="BD46" s="17">
        <v>0</v>
      </c>
      <c r="BE46" s="105">
        <v>15</v>
      </c>
      <c r="BF46" s="15">
        <v>0</v>
      </c>
      <c r="BG46" s="17">
        <v>0</v>
      </c>
      <c r="BH46" s="15">
        <v>0</v>
      </c>
      <c r="BI46" s="15">
        <v>0</v>
      </c>
      <c r="BJ46" s="17">
        <v>0</v>
      </c>
      <c r="BK46" s="15">
        <v>0</v>
      </c>
      <c r="BL46" s="15">
        <v>0</v>
      </c>
      <c r="BM46" s="17">
        <v>0</v>
      </c>
      <c r="BN46" s="15">
        <v>0</v>
      </c>
      <c r="BO46" s="15">
        <v>0</v>
      </c>
      <c r="BP46" s="17">
        <v>0</v>
      </c>
      <c r="BQ46" s="15">
        <v>0</v>
      </c>
      <c r="BR46" s="15">
        <v>0</v>
      </c>
      <c r="BS46" s="17">
        <v>0</v>
      </c>
      <c r="BT46" s="15">
        <v>0</v>
      </c>
      <c r="BU46" s="15">
        <v>0</v>
      </c>
      <c r="BV46" s="17">
        <v>0</v>
      </c>
      <c r="BW46" s="15">
        <v>0</v>
      </c>
      <c r="BX46" s="15">
        <v>0</v>
      </c>
      <c r="BY46" s="17">
        <v>0</v>
      </c>
      <c r="BZ46" s="15">
        <v>0</v>
      </c>
      <c r="CA46" s="15">
        <v>0</v>
      </c>
      <c r="CB46" s="17">
        <v>0</v>
      </c>
      <c r="CC46" s="15">
        <v>0</v>
      </c>
      <c r="CD46" s="15">
        <v>0</v>
      </c>
      <c r="CE46" s="17">
        <v>0</v>
      </c>
      <c r="CF46" s="15">
        <v>0</v>
      </c>
      <c r="CG46" s="15">
        <v>0</v>
      </c>
      <c r="CH46" s="17">
        <v>0</v>
      </c>
      <c r="CI46" s="15">
        <v>0</v>
      </c>
      <c r="CJ46" s="15">
        <v>0</v>
      </c>
      <c r="CK46" s="17">
        <v>0</v>
      </c>
      <c r="CL46" s="15">
        <v>0</v>
      </c>
      <c r="CM46" s="15">
        <v>0</v>
      </c>
      <c r="CN46" s="17">
        <v>0</v>
      </c>
      <c r="CO46" s="15">
        <v>0</v>
      </c>
      <c r="CP46" s="15">
        <v>0</v>
      </c>
      <c r="CQ46" s="17">
        <v>0</v>
      </c>
      <c r="CR46" s="15">
        <v>0</v>
      </c>
      <c r="CS46" s="15">
        <v>0</v>
      </c>
      <c r="CT46" s="17">
        <v>0</v>
      </c>
      <c r="CU46" s="15">
        <v>0</v>
      </c>
      <c r="CV46" s="15">
        <v>0</v>
      </c>
      <c r="CW46" s="17">
        <v>0</v>
      </c>
      <c r="CX46" s="15">
        <v>0</v>
      </c>
      <c r="CY46" s="15">
        <v>0</v>
      </c>
      <c r="CZ46" s="17">
        <v>0</v>
      </c>
      <c r="DA46" s="15">
        <v>0</v>
      </c>
      <c r="DB46" s="15">
        <v>0</v>
      </c>
      <c r="DC46" s="17">
        <v>0</v>
      </c>
      <c r="DD46" s="15">
        <v>0</v>
      </c>
      <c r="DE46" s="15">
        <v>0</v>
      </c>
      <c r="DF46" s="17">
        <v>0</v>
      </c>
      <c r="DG46" s="15">
        <v>0</v>
      </c>
      <c r="DH46" s="15">
        <v>0</v>
      </c>
      <c r="DI46" s="17">
        <v>0</v>
      </c>
      <c r="DJ46" s="15">
        <v>0</v>
      </c>
      <c r="DK46" s="15">
        <v>0</v>
      </c>
      <c r="DL46" s="17">
        <v>0</v>
      </c>
      <c r="DM46" s="15">
        <v>0</v>
      </c>
      <c r="DN46" s="15">
        <v>0</v>
      </c>
      <c r="DO46" s="17">
        <v>0</v>
      </c>
      <c r="DP46" s="15">
        <v>0</v>
      </c>
      <c r="DQ46" s="15">
        <v>0</v>
      </c>
      <c r="DR46" s="17">
        <v>0</v>
      </c>
      <c r="DS46" s="15">
        <v>0</v>
      </c>
      <c r="DT46" s="15">
        <v>0</v>
      </c>
      <c r="DU46" s="17">
        <v>0</v>
      </c>
      <c r="DV46" s="15">
        <v>0</v>
      </c>
      <c r="DW46" s="15">
        <v>0</v>
      </c>
      <c r="DX46" s="17">
        <v>0</v>
      </c>
      <c r="DY46" s="15">
        <v>0</v>
      </c>
      <c r="DZ46" s="15">
        <v>0</v>
      </c>
      <c r="EA46" s="17">
        <v>0</v>
      </c>
      <c r="EB46" s="15">
        <v>0</v>
      </c>
      <c r="EC46" s="15">
        <v>0</v>
      </c>
      <c r="ED46" s="17">
        <v>0</v>
      </c>
      <c r="EE46" s="15">
        <v>0</v>
      </c>
      <c r="EF46" s="15">
        <v>0</v>
      </c>
      <c r="EG46" s="17">
        <v>0</v>
      </c>
      <c r="EH46" s="15">
        <v>0</v>
      </c>
      <c r="EI46" s="15">
        <v>0</v>
      </c>
      <c r="EJ46" s="17">
        <v>0</v>
      </c>
      <c r="EK46" s="15">
        <v>0</v>
      </c>
      <c r="EL46" s="15">
        <v>0</v>
      </c>
      <c r="EM46" s="17">
        <v>0</v>
      </c>
      <c r="EN46" s="640"/>
      <c r="EO46" s="531"/>
      <c r="EP46" s="531"/>
      <c r="EQ46" s="531"/>
      <c r="ER46" s="531"/>
      <c r="ES46" s="531"/>
      <c r="ET46" s="531"/>
      <c r="EU46" s="339"/>
    </row>
    <row r="47" spans="1:151" ht="12.75">
      <c r="A47" s="40">
        <v>43878</v>
      </c>
      <c r="B47" s="84">
        <f t="shared" ref="B47:D47" si="43">SUM(I47,AA47,AD47,AG47,AJ47,AM47,BB47,BE47,BW47,CL47,CO47,CX47,DA47,DJ47,EE47,)</f>
        <v>23</v>
      </c>
      <c r="C47" s="41">
        <f t="shared" si="43"/>
        <v>0</v>
      </c>
      <c r="D47" s="41">
        <f t="shared" si="43"/>
        <v>0</v>
      </c>
      <c r="E47" s="16">
        <f t="shared" si="2"/>
        <v>23</v>
      </c>
      <c r="F47" s="18">
        <v>0</v>
      </c>
      <c r="G47" s="18">
        <v>0</v>
      </c>
      <c r="H47" s="317">
        <v>0</v>
      </c>
      <c r="I47" s="18">
        <v>0</v>
      </c>
      <c r="J47" s="18">
        <v>0</v>
      </c>
      <c r="K47" s="317">
        <v>0</v>
      </c>
      <c r="L47" s="18">
        <v>0</v>
      </c>
      <c r="M47" s="18">
        <v>0</v>
      </c>
      <c r="N47" s="317">
        <v>0</v>
      </c>
      <c r="O47" s="18">
        <v>0</v>
      </c>
      <c r="P47" s="18">
        <v>0</v>
      </c>
      <c r="Q47" s="317">
        <v>0</v>
      </c>
      <c r="R47" s="18">
        <v>0</v>
      </c>
      <c r="S47" s="18">
        <v>0</v>
      </c>
      <c r="T47" s="317">
        <v>0</v>
      </c>
      <c r="U47" s="18">
        <v>0</v>
      </c>
      <c r="V47" s="18">
        <v>0</v>
      </c>
      <c r="W47" s="317">
        <v>0</v>
      </c>
      <c r="X47" s="18">
        <v>0</v>
      </c>
      <c r="Y47" s="18">
        <v>0</v>
      </c>
      <c r="Z47" s="317">
        <v>0</v>
      </c>
      <c r="AA47" s="18">
        <v>0</v>
      </c>
      <c r="AB47" s="18">
        <v>0</v>
      </c>
      <c r="AC47" s="317">
        <v>0</v>
      </c>
      <c r="AD47" s="105">
        <v>8</v>
      </c>
      <c r="AE47" s="18">
        <v>0</v>
      </c>
      <c r="AF47" s="317">
        <v>0</v>
      </c>
      <c r="AG47" s="18">
        <v>0</v>
      </c>
      <c r="AH47" s="18">
        <v>0</v>
      </c>
      <c r="AI47" s="317">
        <v>0</v>
      </c>
      <c r="AJ47" s="18">
        <v>0</v>
      </c>
      <c r="AK47" s="18">
        <v>0</v>
      </c>
      <c r="AL47" s="317">
        <v>0</v>
      </c>
      <c r="AM47" s="18">
        <v>0</v>
      </c>
      <c r="AN47" s="18">
        <v>0</v>
      </c>
      <c r="AO47" s="317">
        <v>0</v>
      </c>
      <c r="AP47" s="18">
        <v>0</v>
      </c>
      <c r="AQ47" s="18">
        <v>0</v>
      </c>
      <c r="AR47" s="317">
        <v>0</v>
      </c>
      <c r="AS47" s="18">
        <v>0</v>
      </c>
      <c r="AT47" s="18">
        <v>0</v>
      </c>
      <c r="AU47" s="317">
        <v>0</v>
      </c>
      <c r="AV47" s="18">
        <v>0</v>
      </c>
      <c r="AW47" s="18">
        <v>0</v>
      </c>
      <c r="AX47" s="317">
        <v>0</v>
      </c>
      <c r="AY47" s="18">
        <v>0</v>
      </c>
      <c r="AZ47" s="18">
        <v>0</v>
      </c>
      <c r="BA47" s="317">
        <v>0</v>
      </c>
      <c r="BB47" s="18">
        <v>0</v>
      </c>
      <c r="BC47" s="18">
        <v>0</v>
      </c>
      <c r="BD47" s="317">
        <v>0</v>
      </c>
      <c r="BE47" s="105">
        <v>15</v>
      </c>
      <c r="BF47" s="18">
        <v>0</v>
      </c>
      <c r="BG47" s="317">
        <v>0</v>
      </c>
      <c r="BH47" s="18">
        <v>0</v>
      </c>
      <c r="BI47" s="18">
        <v>0</v>
      </c>
      <c r="BJ47" s="317">
        <v>0</v>
      </c>
      <c r="BK47" s="18">
        <v>0</v>
      </c>
      <c r="BL47" s="18">
        <v>0</v>
      </c>
      <c r="BM47" s="317">
        <v>0</v>
      </c>
      <c r="BN47" s="18">
        <v>0</v>
      </c>
      <c r="BO47" s="18">
        <v>0</v>
      </c>
      <c r="BP47" s="317">
        <v>0</v>
      </c>
      <c r="BQ47" s="18">
        <v>0</v>
      </c>
      <c r="BR47" s="18">
        <v>0</v>
      </c>
      <c r="BS47" s="317">
        <v>0</v>
      </c>
      <c r="BT47" s="18">
        <v>0</v>
      </c>
      <c r="BU47" s="18">
        <v>0</v>
      </c>
      <c r="BV47" s="317">
        <v>0</v>
      </c>
      <c r="BW47" s="18">
        <v>0</v>
      </c>
      <c r="BX47" s="18">
        <v>0</v>
      </c>
      <c r="BY47" s="317">
        <v>0</v>
      </c>
      <c r="BZ47" s="18">
        <v>0</v>
      </c>
      <c r="CA47" s="18">
        <v>0</v>
      </c>
      <c r="CB47" s="317">
        <v>0</v>
      </c>
      <c r="CC47" s="18">
        <v>0</v>
      </c>
      <c r="CD47" s="18">
        <v>0</v>
      </c>
      <c r="CE47" s="317">
        <v>0</v>
      </c>
      <c r="CF47" s="18">
        <v>0</v>
      </c>
      <c r="CG47" s="18">
        <v>0</v>
      </c>
      <c r="CH47" s="317">
        <v>0</v>
      </c>
      <c r="CI47" s="18">
        <v>0</v>
      </c>
      <c r="CJ47" s="18">
        <v>0</v>
      </c>
      <c r="CK47" s="317">
        <v>0</v>
      </c>
      <c r="CL47" s="18">
        <v>0</v>
      </c>
      <c r="CM47" s="18">
        <v>0</v>
      </c>
      <c r="CN47" s="317">
        <v>0</v>
      </c>
      <c r="CO47" s="18">
        <v>0</v>
      </c>
      <c r="CP47" s="18">
        <v>0</v>
      </c>
      <c r="CQ47" s="317">
        <v>0</v>
      </c>
      <c r="CR47" s="18">
        <v>0</v>
      </c>
      <c r="CS47" s="18">
        <v>0</v>
      </c>
      <c r="CT47" s="317">
        <v>0</v>
      </c>
      <c r="CU47" s="18">
        <v>0</v>
      </c>
      <c r="CV47" s="18">
        <v>0</v>
      </c>
      <c r="CW47" s="317">
        <v>0</v>
      </c>
      <c r="CX47" s="18">
        <v>0</v>
      </c>
      <c r="CY47" s="18">
        <v>0</v>
      </c>
      <c r="CZ47" s="317">
        <v>0</v>
      </c>
      <c r="DA47" s="18">
        <v>0</v>
      </c>
      <c r="DB47" s="18">
        <v>0</v>
      </c>
      <c r="DC47" s="317">
        <v>0</v>
      </c>
      <c r="DD47" s="18">
        <v>0</v>
      </c>
      <c r="DE47" s="18">
        <v>0</v>
      </c>
      <c r="DF47" s="317">
        <v>0</v>
      </c>
      <c r="DG47" s="18">
        <v>0</v>
      </c>
      <c r="DH47" s="18">
        <v>0</v>
      </c>
      <c r="DI47" s="317">
        <v>0</v>
      </c>
      <c r="DJ47" s="18">
        <v>0</v>
      </c>
      <c r="DK47" s="18">
        <v>0</v>
      </c>
      <c r="DL47" s="317">
        <v>0</v>
      </c>
      <c r="DM47" s="18">
        <v>0</v>
      </c>
      <c r="DN47" s="18">
        <v>0</v>
      </c>
      <c r="DO47" s="317">
        <v>0</v>
      </c>
      <c r="DP47" s="18">
        <v>0</v>
      </c>
      <c r="DQ47" s="18">
        <v>0</v>
      </c>
      <c r="DR47" s="317">
        <v>0</v>
      </c>
      <c r="DS47" s="18">
        <v>0</v>
      </c>
      <c r="DT47" s="18">
        <v>0</v>
      </c>
      <c r="DU47" s="317">
        <v>0</v>
      </c>
      <c r="DV47" s="18">
        <v>0</v>
      </c>
      <c r="DW47" s="18">
        <v>0</v>
      </c>
      <c r="DX47" s="317">
        <v>0</v>
      </c>
      <c r="DY47" s="18">
        <v>0</v>
      </c>
      <c r="DZ47" s="18">
        <v>0</v>
      </c>
      <c r="EA47" s="317">
        <v>0</v>
      </c>
      <c r="EB47" s="18">
        <v>0</v>
      </c>
      <c r="EC47" s="18">
        <v>0</v>
      </c>
      <c r="ED47" s="317">
        <v>0</v>
      </c>
      <c r="EE47" s="18">
        <v>0</v>
      </c>
      <c r="EF47" s="18">
        <v>0</v>
      </c>
      <c r="EG47" s="317">
        <v>0</v>
      </c>
      <c r="EH47" s="18">
        <v>0</v>
      </c>
      <c r="EI47" s="18">
        <v>0</v>
      </c>
      <c r="EJ47" s="317">
        <v>0</v>
      </c>
      <c r="EK47" s="18">
        <v>0</v>
      </c>
      <c r="EL47" s="18">
        <v>0</v>
      </c>
      <c r="EM47" s="317">
        <v>0</v>
      </c>
      <c r="EN47" s="640"/>
      <c r="EO47" s="531"/>
      <c r="EP47" s="531"/>
      <c r="EQ47" s="531"/>
      <c r="ER47" s="531"/>
      <c r="ES47" s="531"/>
      <c r="ET47" s="531"/>
      <c r="EU47" s="77" t="s">
        <v>207</v>
      </c>
    </row>
    <row r="48" spans="1:151" ht="12.75">
      <c r="A48" s="40">
        <v>43879</v>
      </c>
      <c r="B48" s="84">
        <f t="shared" ref="B48:D48" si="44">SUM(I48,AA48,AD48,AG48,AJ48,AM48,BB48,BE48,BW48,CL48,CO48,CX48,DA48,DJ48,EE48,)</f>
        <v>23</v>
      </c>
      <c r="C48" s="41">
        <f t="shared" si="44"/>
        <v>0</v>
      </c>
      <c r="D48" s="41">
        <f t="shared" si="44"/>
        <v>0</v>
      </c>
      <c r="E48" s="16">
        <f t="shared" si="2"/>
        <v>23</v>
      </c>
      <c r="F48" s="15">
        <v>0</v>
      </c>
      <c r="G48" s="15">
        <v>0</v>
      </c>
      <c r="H48" s="17">
        <v>0</v>
      </c>
      <c r="I48" s="15">
        <v>0</v>
      </c>
      <c r="J48" s="15">
        <v>0</v>
      </c>
      <c r="K48" s="17">
        <v>0</v>
      </c>
      <c r="L48" s="15">
        <v>0</v>
      </c>
      <c r="M48" s="15">
        <v>0</v>
      </c>
      <c r="N48" s="17">
        <v>0</v>
      </c>
      <c r="O48" s="15">
        <v>0</v>
      </c>
      <c r="P48" s="15">
        <v>0</v>
      </c>
      <c r="Q48" s="17">
        <v>0</v>
      </c>
      <c r="R48" s="15">
        <v>0</v>
      </c>
      <c r="S48" s="15">
        <v>0</v>
      </c>
      <c r="T48" s="17">
        <v>0</v>
      </c>
      <c r="U48" s="15">
        <v>0</v>
      </c>
      <c r="V48" s="15">
        <v>0</v>
      </c>
      <c r="W48" s="17">
        <v>0</v>
      </c>
      <c r="X48" s="15">
        <v>0</v>
      </c>
      <c r="Y48" s="15">
        <v>0</v>
      </c>
      <c r="Z48" s="17">
        <v>0</v>
      </c>
      <c r="AA48" s="15">
        <v>0</v>
      </c>
      <c r="AB48" s="15">
        <v>0</v>
      </c>
      <c r="AC48" s="17">
        <v>0</v>
      </c>
      <c r="AD48" s="105">
        <v>8</v>
      </c>
      <c r="AE48" s="15">
        <v>0</v>
      </c>
      <c r="AF48" s="17">
        <v>0</v>
      </c>
      <c r="AG48" s="15">
        <v>0</v>
      </c>
      <c r="AH48" s="15">
        <v>0</v>
      </c>
      <c r="AI48" s="17">
        <v>0</v>
      </c>
      <c r="AJ48" s="15">
        <v>0</v>
      </c>
      <c r="AK48" s="15">
        <v>0</v>
      </c>
      <c r="AL48" s="17">
        <v>0</v>
      </c>
      <c r="AM48" s="15">
        <v>0</v>
      </c>
      <c r="AN48" s="15">
        <v>0</v>
      </c>
      <c r="AO48" s="17">
        <v>0</v>
      </c>
      <c r="AP48" s="15">
        <v>0</v>
      </c>
      <c r="AQ48" s="15">
        <v>0</v>
      </c>
      <c r="AR48" s="17">
        <v>0</v>
      </c>
      <c r="AS48" s="15">
        <v>0</v>
      </c>
      <c r="AT48" s="15">
        <v>0</v>
      </c>
      <c r="AU48" s="17">
        <v>0</v>
      </c>
      <c r="AV48" s="15">
        <v>0</v>
      </c>
      <c r="AW48" s="15">
        <v>0</v>
      </c>
      <c r="AX48" s="17">
        <v>0</v>
      </c>
      <c r="AY48" s="15">
        <v>0</v>
      </c>
      <c r="AZ48" s="15">
        <v>0</v>
      </c>
      <c r="BA48" s="17">
        <v>0</v>
      </c>
      <c r="BB48" s="15">
        <v>0</v>
      </c>
      <c r="BC48" s="15">
        <v>0</v>
      </c>
      <c r="BD48" s="17">
        <v>0</v>
      </c>
      <c r="BE48" s="105">
        <v>15</v>
      </c>
      <c r="BF48" s="15">
        <v>0</v>
      </c>
      <c r="BG48" s="17">
        <v>0</v>
      </c>
      <c r="BH48" s="15">
        <v>0</v>
      </c>
      <c r="BI48" s="15">
        <v>0</v>
      </c>
      <c r="BJ48" s="17">
        <v>0</v>
      </c>
      <c r="BK48" s="15">
        <v>0</v>
      </c>
      <c r="BL48" s="15">
        <v>0</v>
      </c>
      <c r="BM48" s="17">
        <v>0</v>
      </c>
      <c r="BN48" s="15">
        <v>0</v>
      </c>
      <c r="BO48" s="15">
        <v>0</v>
      </c>
      <c r="BP48" s="17">
        <v>0</v>
      </c>
      <c r="BQ48" s="15">
        <v>0</v>
      </c>
      <c r="BR48" s="15">
        <v>0</v>
      </c>
      <c r="BS48" s="17">
        <v>0</v>
      </c>
      <c r="BT48" s="15">
        <v>0</v>
      </c>
      <c r="BU48" s="15">
        <v>0</v>
      </c>
      <c r="BV48" s="17">
        <v>0</v>
      </c>
      <c r="BW48" s="15">
        <v>0</v>
      </c>
      <c r="BX48" s="15">
        <v>0</v>
      </c>
      <c r="BY48" s="17">
        <v>0</v>
      </c>
      <c r="BZ48" s="15">
        <v>0</v>
      </c>
      <c r="CA48" s="15">
        <v>0</v>
      </c>
      <c r="CB48" s="17">
        <v>0</v>
      </c>
      <c r="CC48" s="15">
        <v>0</v>
      </c>
      <c r="CD48" s="15">
        <v>0</v>
      </c>
      <c r="CE48" s="17">
        <v>0</v>
      </c>
      <c r="CF48" s="15">
        <v>0</v>
      </c>
      <c r="CG48" s="15">
        <v>0</v>
      </c>
      <c r="CH48" s="17">
        <v>0</v>
      </c>
      <c r="CI48" s="15">
        <v>0</v>
      </c>
      <c r="CJ48" s="15">
        <v>0</v>
      </c>
      <c r="CK48" s="17">
        <v>0</v>
      </c>
      <c r="CL48" s="15">
        <v>0</v>
      </c>
      <c r="CM48" s="15">
        <v>0</v>
      </c>
      <c r="CN48" s="17">
        <v>0</v>
      </c>
      <c r="CO48" s="15">
        <v>0</v>
      </c>
      <c r="CP48" s="15">
        <v>0</v>
      </c>
      <c r="CQ48" s="17">
        <v>0</v>
      </c>
      <c r="CR48" s="15">
        <v>0</v>
      </c>
      <c r="CS48" s="15">
        <v>0</v>
      </c>
      <c r="CT48" s="17">
        <v>0</v>
      </c>
      <c r="CU48" s="15">
        <v>0</v>
      </c>
      <c r="CV48" s="15">
        <v>0</v>
      </c>
      <c r="CW48" s="17">
        <v>0</v>
      </c>
      <c r="CX48" s="15">
        <v>0</v>
      </c>
      <c r="CY48" s="15">
        <v>0</v>
      </c>
      <c r="CZ48" s="17">
        <v>0</v>
      </c>
      <c r="DA48" s="15">
        <v>0</v>
      </c>
      <c r="DB48" s="15">
        <v>0</v>
      </c>
      <c r="DC48" s="17">
        <v>0</v>
      </c>
      <c r="DD48" s="15">
        <v>0</v>
      </c>
      <c r="DE48" s="15">
        <v>0</v>
      </c>
      <c r="DF48" s="17">
        <v>0</v>
      </c>
      <c r="DG48" s="15">
        <v>0</v>
      </c>
      <c r="DH48" s="15">
        <v>0</v>
      </c>
      <c r="DI48" s="17">
        <v>0</v>
      </c>
      <c r="DJ48" s="15">
        <v>0</v>
      </c>
      <c r="DK48" s="15">
        <v>0</v>
      </c>
      <c r="DL48" s="17">
        <v>0</v>
      </c>
      <c r="DM48" s="15">
        <v>0</v>
      </c>
      <c r="DN48" s="15">
        <v>0</v>
      </c>
      <c r="DO48" s="17">
        <v>0</v>
      </c>
      <c r="DP48" s="15">
        <v>0</v>
      </c>
      <c r="DQ48" s="15">
        <v>0</v>
      </c>
      <c r="DR48" s="17">
        <v>0</v>
      </c>
      <c r="DS48" s="15">
        <v>0</v>
      </c>
      <c r="DT48" s="15">
        <v>0</v>
      </c>
      <c r="DU48" s="17">
        <v>0</v>
      </c>
      <c r="DV48" s="15">
        <v>0</v>
      </c>
      <c r="DW48" s="15">
        <v>0</v>
      </c>
      <c r="DX48" s="17">
        <v>0</v>
      </c>
      <c r="DY48" s="15">
        <v>0</v>
      </c>
      <c r="DZ48" s="15">
        <v>0</v>
      </c>
      <c r="EA48" s="17">
        <v>0</v>
      </c>
      <c r="EB48" s="15">
        <v>0</v>
      </c>
      <c r="EC48" s="15">
        <v>0</v>
      </c>
      <c r="ED48" s="17">
        <v>0</v>
      </c>
      <c r="EE48" s="15">
        <v>0</v>
      </c>
      <c r="EF48" s="15">
        <v>0</v>
      </c>
      <c r="EG48" s="17">
        <v>0</v>
      </c>
      <c r="EH48" s="15">
        <v>0</v>
      </c>
      <c r="EI48" s="15">
        <v>0</v>
      </c>
      <c r="EJ48" s="17">
        <v>0</v>
      </c>
      <c r="EK48" s="15">
        <v>0</v>
      </c>
      <c r="EL48" s="15">
        <v>0</v>
      </c>
      <c r="EM48" s="17">
        <v>0</v>
      </c>
      <c r="EN48" s="640"/>
      <c r="EO48" s="531"/>
      <c r="EP48" s="531"/>
      <c r="EQ48" s="531"/>
      <c r="ER48" s="531"/>
      <c r="ES48" s="531"/>
      <c r="ET48" s="531"/>
      <c r="EU48" s="339"/>
    </row>
    <row r="49" spans="1:151" ht="12.75">
      <c r="A49" s="40">
        <v>43880</v>
      </c>
      <c r="B49" s="84">
        <f t="shared" ref="B49:D49" si="45">SUM(I49,AA49,AD49,AG49,AJ49,AM49,BB49,BE49,BW49,CL49,CO49,CX49,DA49,DJ49,EE49,)</f>
        <v>23</v>
      </c>
      <c r="C49" s="41">
        <f t="shared" si="45"/>
        <v>0</v>
      </c>
      <c r="D49" s="41">
        <f t="shared" si="45"/>
        <v>0</v>
      </c>
      <c r="E49" s="16">
        <f t="shared" si="2"/>
        <v>23</v>
      </c>
      <c r="F49" s="18">
        <v>0</v>
      </c>
      <c r="G49" s="18">
        <v>0</v>
      </c>
      <c r="H49" s="317">
        <v>0</v>
      </c>
      <c r="I49" s="18">
        <v>0</v>
      </c>
      <c r="J49" s="18">
        <v>0</v>
      </c>
      <c r="K49" s="317">
        <v>0</v>
      </c>
      <c r="L49" s="18">
        <v>0</v>
      </c>
      <c r="M49" s="18">
        <v>0</v>
      </c>
      <c r="N49" s="317">
        <v>0</v>
      </c>
      <c r="O49" s="18">
        <v>0</v>
      </c>
      <c r="P49" s="18">
        <v>0</v>
      </c>
      <c r="Q49" s="317">
        <v>0</v>
      </c>
      <c r="R49" s="18">
        <v>0</v>
      </c>
      <c r="S49" s="18">
        <v>0</v>
      </c>
      <c r="T49" s="317">
        <v>0</v>
      </c>
      <c r="U49" s="18">
        <v>0</v>
      </c>
      <c r="V49" s="18">
        <v>0</v>
      </c>
      <c r="W49" s="317">
        <v>0</v>
      </c>
      <c r="X49" s="18">
        <v>0</v>
      </c>
      <c r="Y49" s="18">
        <v>0</v>
      </c>
      <c r="Z49" s="317">
        <v>0</v>
      </c>
      <c r="AA49" s="18">
        <v>0</v>
      </c>
      <c r="AB49" s="18">
        <v>0</v>
      </c>
      <c r="AC49" s="317">
        <v>0</v>
      </c>
      <c r="AD49" s="105">
        <v>8</v>
      </c>
      <c r="AE49" s="18">
        <v>0</v>
      </c>
      <c r="AF49" s="317">
        <v>0</v>
      </c>
      <c r="AG49" s="18">
        <v>0</v>
      </c>
      <c r="AH49" s="18">
        <v>0</v>
      </c>
      <c r="AI49" s="317">
        <v>0</v>
      </c>
      <c r="AJ49" s="18">
        <v>0</v>
      </c>
      <c r="AK49" s="18">
        <v>0</v>
      </c>
      <c r="AL49" s="317">
        <v>0</v>
      </c>
      <c r="AM49" s="18">
        <v>0</v>
      </c>
      <c r="AN49" s="18">
        <v>0</v>
      </c>
      <c r="AO49" s="317">
        <v>0</v>
      </c>
      <c r="AP49" s="18">
        <v>0</v>
      </c>
      <c r="AQ49" s="18">
        <v>0</v>
      </c>
      <c r="AR49" s="317">
        <v>0</v>
      </c>
      <c r="AS49" s="18">
        <v>0</v>
      </c>
      <c r="AT49" s="18">
        <v>0</v>
      </c>
      <c r="AU49" s="317">
        <v>0</v>
      </c>
      <c r="AV49" s="18">
        <v>0</v>
      </c>
      <c r="AW49" s="18">
        <v>0</v>
      </c>
      <c r="AX49" s="317">
        <v>0</v>
      </c>
      <c r="AY49" s="18">
        <v>0</v>
      </c>
      <c r="AZ49" s="18">
        <v>0</v>
      </c>
      <c r="BA49" s="317">
        <v>0</v>
      </c>
      <c r="BB49" s="18">
        <v>0</v>
      </c>
      <c r="BC49" s="18">
        <v>0</v>
      </c>
      <c r="BD49" s="317">
        <v>0</v>
      </c>
      <c r="BE49" s="105">
        <v>15</v>
      </c>
      <c r="BF49" s="18">
        <v>0</v>
      </c>
      <c r="BG49" s="317">
        <v>0</v>
      </c>
      <c r="BH49" s="18">
        <v>0</v>
      </c>
      <c r="BI49" s="18">
        <v>0</v>
      </c>
      <c r="BJ49" s="317">
        <v>0</v>
      </c>
      <c r="BK49" s="18">
        <v>0</v>
      </c>
      <c r="BL49" s="18">
        <v>0</v>
      </c>
      <c r="BM49" s="317">
        <v>0</v>
      </c>
      <c r="BN49" s="18">
        <v>0</v>
      </c>
      <c r="BO49" s="18">
        <v>0</v>
      </c>
      <c r="BP49" s="317">
        <v>0</v>
      </c>
      <c r="BQ49" s="18">
        <v>0</v>
      </c>
      <c r="BR49" s="18">
        <v>0</v>
      </c>
      <c r="BS49" s="317">
        <v>0</v>
      </c>
      <c r="BT49" s="18">
        <v>0</v>
      </c>
      <c r="BU49" s="18">
        <v>0</v>
      </c>
      <c r="BV49" s="317">
        <v>0</v>
      </c>
      <c r="BW49" s="18">
        <v>0</v>
      </c>
      <c r="BX49" s="18">
        <v>0</v>
      </c>
      <c r="BY49" s="317">
        <v>0</v>
      </c>
      <c r="BZ49" s="18">
        <v>0</v>
      </c>
      <c r="CA49" s="18">
        <v>0</v>
      </c>
      <c r="CB49" s="317">
        <v>0</v>
      </c>
      <c r="CC49" s="18">
        <v>0</v>
      </c>
      <c r="CD49" s="18">
        <v>0</v>
      </c>
      <c r="CE49" s="317">
        <v>0</v>
      </c>
      <c r="CF49" s="18">
        <v>0</v>
      </c>
      <c r="CG49" s="18">
        <v>0</v>
      </c>
      <c r="CH49" s="317">
        <v>0</v>
      </c>
      <c r="CI49" s="18">
        <v>0</v>
      </c>
      <c r="CJ49" s="18">
        <v>0</v>
      </c>
      <c r="CK49" s="317">
        <v>0</v>
      </c>
      <c r="CL49" s="18">
        <v>0</v>
      </c>
      <c r="CM49" s="18">
        <v>0</v>
      </c>
      <c r="CN49" s="317">
        <v>0</v>
      </c>
      <c r="CO49" s="18">
        <v>0</v>
      </c>
      <c r="CP49" s="18">
        <v>0</v>
      </c>
      <c r="CQ49" s="317">
        <v>0</v>
      </c>
      <c r="CR49" s="18">
        <v>0</v>
      </c>
      <c r="CS49" s="18">
        <v>0</v>
      </c>
      <c r="CT49" s="317">
        <v>0</v>
      </c>
      <c r="CU49" s="18">
        <v>0</v>
      </c>
      <c r="CV49" s="18">
        <v>0</v>
      </c>
      <c r="CW49" s="317">
        <v>0</v>
      </c>
      <c r="CX49" s="18">
        <v>0</v>
      </c>
      <c r="CY49" s="18">
        <v>0</v>
      </c>
      <c r="CZ49" s="317">
        <v>0</v>
      </c>
      <c r="DA49" s="18">
        <v>0</v>
      </c>
      <c r="DB49" s="18">
        <v>0</v>
      </c>
      <c r="DC49" s="317">
        <v>0</v>
      </c>
      <c r="DD49" s="18">
        <v>0</v>
      </c>
      <c r="DE49" s="18">
        <v>0</v>
      </c>
      <c r="DF49" s="317">
        <v>0</v>
      </c>
      <c r="DG49" s="18">
        <v>0</v>
      </c>
      <c r="DH49" s="18">
        <v>0</v>
      </c>
      <c r="DI49" s="317">
        <v>0</v>
      </c>
      <c r="DJ49" s="18">
        <v>0</v>
      </c>
      <c r="DK49" s="18">
        <v>0</v>
      </c>
      <c r="DL49" s="317">
        <v>0</v>
      </c>
      <c r="DM49" s="18">
        <v>0</v>
      </c>
      <c r="DN49" s="18">
        <v>0</v>
      </c>
      <c r="DO49" s="317">
        <v>0</v>
      </c>
      <c r="DP49" s="18">
        <v>0</v>
      </c>
      <c r="DQ49" s="18">
        <v>0</v>
      </c>
      <c r="DR49" s="317">
        <v>0</v>
      </c>
      <c r="DS49" s="18">
        <v>0</v>
      </c>
      <c r="DT49" s="18">
        <v>0</v>
      </c>
      <c r="DU49" s="317">
        <v>0</v>
      </c>
      <c r="DV49" s="18">
        <v>0</v>
      </c>
      <c r="DW49" s="18">
        <v>0</v>
      </c>
      <c r="DX49" s="317">
        <v>0</v>
      </c>
      <c r="DY49" s="18">
        <v>0</v>
      </c>
      <c r="DZ49" s="18">
        <v>0</v>
      </c>
      <c r="EA49" s="317">
        <v>0</v>
      </c>
      <c r="EB49" s="18">
        <v>0</v>
      </c>
      <c r="EC49" s="18">
        <v>0</v>
      </c>
      <c r="ED49" s="317">
        <v>0</v>
      </c>
      <c r="EE49" s="18">
        <v>0</v>
      </c>
      <c r="EF49" s="18">
        <v>0</v>
      </c>
      <c r="EG49" s="317">
        <v>0</v>
      </c>
      <c r="EH49" s="18">
        <v>0</v>
      </c>
      <c r="EI49" s="18">
        <v>0</v>
      </c>
      <c r="EJ49" s="317">
        <v>0</v>
      </c>
      <c r="EK49" s="18">
        <v>0</v>
      </c>
      <c r="EL49" s="18">
        <v>0</v>
      </c>
      <c r="EM49" s="317">
        <v>0</v>
      </c>
      <c r="EN49" s="640"/>
      <c r="EO49" s="531"/>
      <c r="EP49" s="531"/>
      <c r="EQ49" s="531"/>
      <c r="ER49" s="531"/>
      <c r="ES49" s="531"/>
      <c r="ET49" s="531"/>
      <c r="EU49" s="339"/>
    </row>
    <row r="50" spans="1:151" ht="12.75">
      <c r="A50" s="40">
        <v>43881</v>
      </c>
      <c r="B50" s="84">
        <f t="shared" ref="B50:D50" si="46">SUM(I50,AA50,AD50,AG50,AJ50,AM50,BB50,BE50,BW50,CL50,CO50,CX50,DA50,DJ50,EE50,)</f>
        <v>23</v>
      </c>
      <c r="C50" s="41">
        <f t="shared" si="46"/>
        <v>0</v>
      </c>
      <c r="D50" s="41">
        <f t="shared" si="46"/>
        <v>0</v>
      </c>
      <c r="E50" s="16">
        <f t="shared" si="2"/>
        <v>23</v>
      </c>
      <c r="F50" s="15">
        <v>0</v>
      </c>
      <c r="G50" s="15">
        <v>0</v>
      </c>
      <c r="H50" s="17">
        <v>0</v>
      </c>
      <c r="I50" s="15">
        <v>0</v>
      </c>
      <c r="J50" s="15">
        <v>0</v>
      </c>
      <c r="K50" s="17">
        <v>0</v>
      </c>
      <c r="L50" s="15">
        <v>0</v>
      </c>
      <c r="M50" s="15">
        <v>0</v>
      </c>
      <c r="N50" s="17">
        <v>0</v>
      </c>
      <c r="O50" s="15">
        <v>0</v>
      </c>
      <c r="P50" s="15">
        <v>0</v>
      </c>
      <c r="Q50" s="17">
        <v>0</v>
      </c>
      <c r="R50" s="15">
        <v>0</v>
      </c>
      <c r="S50" s="15">
        <v>0</v>
      </c>
      <c r="T50" s="17">
        <v>0</v>
      </c>
      <c r="U50" s="15">
        <v>0</v>
      </c>
      <c r="V50" s="15">
        <v>0</v>
      </c>
      <c r="W50" s="17">
        <v>0</v>
      </c>
      <c r="X50" s="15">
        <v>0</v>
      </c>
      <c r="Y50" s="15">
        <v>0</v>
      </c>
      <c r="Z50" s="17">
        <v>0</v>
      </c>
      <c r="AA50" s="15">
        <v>0</v>
      </c>
      <c r="AB50" s="15">
        <v>0</v>
      </c>
      <c r="AC50" s="17">
        <v>0</v>
      </c>
      <c r="AD50" s="105">
        <v>8</v>
      </c>
      <c r="AE50" s="15">
        <v>0</v>
      </c>
      <c r="AF50" s="17">
        <v>0</v>
      </c>
      <c r="AG50" s="15">
        <v>0</v>
      </c>
      <c r="AH50" s="15">
        <v>0</v>
      </c>
      <c r="AI50" s="17">
        <v>0</v>
      </c>
      <c r="AJ50" s="15">
        <v>0</v>
      </c>
      <c r="AK50" s="15">
        <v>0</v>
      </c>
      <c r="AL50" s="17">
        <v>0</v>
      </c>
      <c r="AM50" s="15">
        <v>0</v>
      </c>
      <c r="AN50" s="15">
        <v>0</v>
      </c>
      <c r="AO50" s="17">
        <v>0</v>
      </c>
      <c r="AP50" s="15">
        <v>0</v>
      </c>
      <c r="AQ50" s="15">
        <v>0</v>
      </c>
      <c r="AR50" s="17">
        <v>0</v>
      </c>
      <c r="AS50" s="15">
        <v>0</v>
      </c>
      <c r="AT50" s="15">
        <v>0</v>
      </c>
      <c r="AU50" s="17">
        <v>0</v>
      </c>
      <c r="AV50" s="15">
        <v>0</v>
      </c>
      <c r="AW50" s="15">
        <v>0</v>
      </c>
      <c r="AX50" s="17">
        <v>0</v>
      </c>
      <c r="AY50" s="15">
        <v>0</v>
      </c>
      <c r="AZ50" s="15">
        <v>0</v>
      </c>
      <c r="BA50" s="17">
        <v>0</v>
      </c>
      <c r="BB50" s="15">
        <v>0</v>
      </c>
      <c r="BC50" s="15">
        <v>0</v>
      </c>
      <c r="BD50" s="17">
        <v>0</v>
      </c>
      <c r="BE50" s="105">
        <v>15</v>
      </c>
      <c r="BF50" s="15">
        <v>0</v>
      </c>
      <c r="BG50" s="17">
        <v>0</v>
      </c>
      <c r="BH50" s="15">
        <v>0</v>
      </c>
      <c r="BI50" s="15">
        <v>0</v>
      </c>
      <c r="BJ50" s="17">
        <v>0</v>
      </c>
      <c r="BK50" s="15">
        <v>0</v>
      </c>
      <c r="BL50" s="15">
        <v>0</v>
      </c>
      <c r="BM50" s="17">
        <v>0</v>
      </c>
      <c r="BN50" s="15">
        <v>0</v>
      </c>
      <c r="BO50" s="15">
        <v>0</v>
      </c>
      <c r="BP50" s="17">
        <v>0</v>
      </c>
      <c r="BQ50" s="15">
        <v>0</v>
      </c>
      <c r="BR50" s="15">
        <v>0</v>
      </c>
      <c r="BS50" s="17">
        <v>0</v>
      </c>
      <c r="BT50" s="15">
        <v>0</v>
      </c>
      <c r="BU50" s="15">
        <v>0</v>
      </c>
      <c r="BV50" s="17">
        <v>0</v>
      </c>
      <c r="BW50" s="15">
        <v>0</v>
      </c>
      <c r="BX50" s="15">
        <v>0</v>
      </c>
      <c r="BY50" s="17">
        <v>0</v>
      </c>
      <c r="BZ50" s="15">
        <v>0</v>
      </c>
      <c r="CA50" s="15">
        <v>0</v>
      </c>
      <c r="CB50" s="17">
        <v>0</v>
      </c>
      <c r="CC50" s="15">
        <v>0</v>
      </c>
      <c r="CD50" s="15">
        <v>0</v>
      </c>
      <c r="CE50" s="17">
        <v>0</v>
      </c>
      <c r="CF50" s="15">
        <v>0</v>
      </c>
      <c r="CG50" s="15">
        <v>0</v>
      </c>
      <c r="CH50" s="17">
        <v>0</v>
      </c>
      <c r="CI50" s="15">
        <v>0</v>
      </c>
      <c r="CJ50" s="15">
        <v>0</v>
      </c>
      <c r="CK50" s="17">
        <v>0</v>
      </c>
      <c r="CL50" s="15">
        <v>0</v>
      </c>
      <c r="CM50" s="15">
        <v>0</v>
      </c>
      <c r="CN50" s="17">
        <v>0</v>
      </c>
      <c r="CO50" s="15">
        <v>0</v>
      </c>
      <c r="CP50" s="15">
        <v>0</v>
      </c>
      <c r="CQ50" s="17">
        <v>0</v>
      </c>
      <c r="CR50" s="15">
        <v>0</v>
      </c>
      <c r="CS50" s="15">
        <v>0</v>
      </c>
      <c r="CT50" s="17">
        <v>0</v>
      </c>
      <c r="CU50" s="15">
        <v>0</v>
      </c>
      <c r="CV50" s="15">
        <v>0</v>
      </c>
      <c r="CW50" s="17">
        <v>0</v>
      </c>
      <c r="CX50" s="15">
        <v>0</v>
      </c>
      <c r="CY50" s="15">
        <v>0</v>
      </c>
      <c r="CZ50" s="17">
        <v>0</v>
      </c>
      <c r="DA50" s="15">
        <v>0</v>
      </c>
      <c r="DB50" s="15">
        <v>0</v>
      </c>
      <c r="DC50" s="17">
        <v>0</v>
      </c>
      <c r="DD50" s="15">
        <v>0</v>
      </c>
      <c r="DE50" s="15">
        <v>0</v>
      </c>
      <c r="DF50" s="17">
        <v>0</v>
      </c>
      <c r="DG50" s="15">
        <v>0</v>
      </c>
      <c r="DH50" s="15">
        <v>0</v>
      </c>
      <c r="DI50" s="17">
        <v>0</v>
      </c>
      <c r="DJ50" s="15">
        <v>0</v>
      </c>
      <c r="DK50" s="15">
        <v>0</v>
      </c>
      <c r="DL50" s="17">
        <v>0</v>
      </c>
      <c r="DM50" s="15">
        <v>0</v>
      </c>
      <c r="DN50" s="15">
        <v>0</v>
      </c>
      <c r="DO50" s="17">
        <v>0</v>
      </c>
      <c r="DP50" s="15">
        <v>0</v>
      </c>
      <c r="DQ50" s="15">
        <v>0</v>
      </c>
      <c r="DR50" s="17">
        <v>0</v>
      </c>
      <c r="DS50" s="15">
        <v>0</v>
      </c>
      <c r="DT50" s="15">
        <v>0</v>
      </c>
      <c r="DU50" s="17">
        <v>0</v>
      </c>
      <c r="DV50" s="15">
        <v>0</v>
      </c>
      <c r="DW50" s="15">
        <v>0</v>
      </c>
      <c r="DX50" s="17">
        <v>0</v>
      </c>
      <c r="DY50" s="15">
        <v>0</v>
      </c>
      <c r="DZ50" s="15">
        <v>0</v>
      </c>
      <c r="EA50" s="17">
        <v>0</v>
      </c>
      <c r="EB50" s="15">
        <v>0</v>
      </c>
      <c r="EC50" s="15">
        <v>0</v>
      </c>
      <c r="ED50" s="17">
        <v>0</v>
      </c>
      <c r="EE50" s="15">
        <v>0</v>
      </c>
      <c r="EF50" s="15">
        <v>0</v>
      </c>
      <c r="EG50" s="17">
        <v>0</v>
      </c>
      <c r="EH50" s="15">
        <v>0</v>
      </c>
      <c r="EI50" s="15">
        <v>0</v>
      </c>
      <c r="EJ50" s="17">
        <v>0</v>
      </c>
      <c r="EK50" s="15">
        <v>0</v>
      </c>
      <c r="EL50" s="15">
        <v>0</v>
      </c>
      <c r="EM50" s="17">
        <v>0</v>
      </c>
      <c r="EN50" s="640"/>
      <c r="EO50" s="531"/>
      <c r="EP50" s="531"/>
      <c r="EQ50" s="531"/>
      <c r="ER50" s="531"/>
      <c r="ES50" s="531"/>
      <c r="ET50" s="531"/>
      <c r="EU50" s="339"/>
    </row>
    <row r="51" spans="1:151" ht="12.75">
      <c r="A51" s="40">
        <v>43882</v>
      </c>
      <c r="B51" s="84">
        <f t="shared" ref="B51:D51" si="47">SUM(I51,AA51,AD51,AG51,AJ51,AM51,BB51,BE51,BW51,CL51,CO51,CX51,DA51,DJ51,EE51,)</f>
        <v>43</v>
      </c>
      <c r="C51" s="41">
        <f t="shared" si="47"/>
        <v>0</v>
      </c>
      <c r="D51" s="41">
        <f t="shared" si="47"/>
        <v>0</v>
      </c>
      <c r="E51" s="16">
        <f t="shared" si="2"/>
        <v>43</v>
      </c>
      <c r="F51" s="18">
        <v>0</v>
      </c>
      <c r="G51" s="18">
        <v>0</v>
      </c>
      <c r="H51" s="317">
        <v>0</v>
      </c>
      <c r="I51" s="18">
        <v>0</v>
      </c>
      <c r="J51" s="18">
        <v>0</v>
      </c>
      <c r="K51" s="317">
        <v>0</v>
      </c>
      <c r="L51" s="18">
        <v>0</v>
      </c>
      <c r="M51" s="18">
        <v>0</v>
      </c>
      <c r="N51" s="317">
        <v>0</v>
      </c>
      <c r="O51" s="18">
        <v>0</v>
      </c>
      <c r="P51" s="18">
        <v>0</v>
      </c>
      <c r="Q51" s="317">
        <v>0</v>
      </c>
      <c r="R51" s="18">
        <v>0</v>
      </c>
      <c r="S51" s="18">
        <v>0</v>
      </c>
      <c r="T51" s="317">
        <v>0</v>
      </c>
      <c r="U51" s="18">
        <v>0</v>
      </c>
      <c r="V51" s="18">
        <v>0</v>
      </c>
      <c r="W51" s="317">
        <v>0</v>
      </c>
      <c r="X51" s="18">
        <v>0</v>
      </c>
      <c r="Y51" s="18">
        <v>0</v>
      </c>
      <c r="Z51" s="317">
        <v>0</v>
      </c>
      <c r="AA51" s="18">
        <v>0</v>
      </c>
      <c r="AB51" s="18">
        <v>0</v>
      </c>
      <c r="AC51" s="317">
        <v>0</v>
      </c>
      <c r="AD51" s="105">
        <v>8</v>
      </c>
      <c r="AE51" s="18">
        <v>0</v>
      </c>
      <c r="AF51" s="317">
        <v>0</v>
      </c>
      <c r="AG51" s="18">
        <v>0</v>
      </c>
      <c r="AH51" s="18">
        <v>0</v>
      </c>
      <c r="AI51" s="317">
        <v>0</v>
      </c>
      <c r="AJ51" s="18">
        <v>0</v>
      </c>
      <c r="AK51" s="18">
        <v>0</v>
      </c>
      <c r="AL51" s="317">
        <v>0</v>
      </c>
      <c r="AM51" s="18">
        <v>0</v>
      </c>
      <c r="AN51" s="18">
        <v>0</v>
      </c>
      <c r="AO51" s="317">
        <v>0</v>
      </c>
      <c r="AP51" s="18">
        <v>0</v>
      </c>
      <c r="AQ51" s="18">
        <v>0</v>
      </c>
      <c r="AR51" s="317">
        <v>0</v>
      </c>
      <c r="AS51" s="18">
        <v>0</v>
      </c>
      <c r="AT51" s="18">
        <v>0</v>
      </c>
      <c r="AU51" s="317">
        <v>0</v>
      </c>
      <c r="AV51" s="18">
        <v>0</v>
      </c>
      <c r="AW51" s="18">
        <v>0</v>
      </c>
      <c r="AX51" s="317">
        <v>0</v>
      </c>
      <c r="AY51" s="18">
        <v>0</v>
      </c>
      <c r="AZ51" s="18">
        <v>0</v>
      </c>
      <c r="BA51" s="317">
        <v>0</v>
      </c>
      <c r="BB51" s="18">
        <v>0</v>
      </c>
      <c r="BC51" s="18">
        <v>0</v>
      </c>
      <c r="BD51" s="317">
        <v>0</v>
      </c>
      <c r="BE51" s="105">
        <v>35</v>
      </c>
      <c r="BF51" s="18">
        <v>0</v>
      </c>
      <c r="BG51" s="317">
        <v>0</v>
      </c>
      <c r="BH51" s="18">
        <v>0</v>
      </c>
      <c r="BI51" s="18">
        <v>0</v>
      </c>
      <c r="BJ51" s="317">
        <v>0</v>
      </c>
      <c r="BK51" s="18">
        <v>0</v>
      </c>
      <c r="BL51" s="18">
        <v>0</v>
      </c>
      <c r="BM51" s="317">
        <v>0</v>
      </c>
      <c r="BN51" s="18">
        <v>0</v>
      </c>
      <c r="BO51" s="18">
        <v>0</v>
      </c>
      <c r="BP51" s="317">
        <v>0</v>
      </c>
      <c r="BQ51" s="18">
        <v>0</v>
      </c>
      <c r="BR51" s="18">
        <v>0</v>
      </c>
      <c r="BS51" s="317">
        <v>0</v>
      </c>
      <c r="BT51" s="18">
        <v>0</v>
      </c>
      <c r="BU51" s="18">
        <v>0</v>
      </c>
      <c r="BV51" s="317">
        <v>0</v>
      </c>
      <c r="BW51" s="18">
        <v>0</v>
      </c>
      <c r="BX51" s="18">
        <v>0</v>
      </c>
      <c r="BY51" s="317">
        <v>0</v>
      </c>
      <c r="BZ51" s="18">
        <v>0</v>
      </c>
      <c r="CA51" s="18">
        <v>0</v>
      </c>
      <c r="CB51" s="317">
        <v>0</v>
      </c>
      <c r="CC51" s="18">
        <v>0</v>
      </c>
      <c r="CD51" s="18">
        <v>0</v>
      </c>
      <c r="CE51" s="317">
        <v>0</v>
      </c>
      <c r="CF51" s="18">
        <v>0</v>
      </c>
      <c r="CG51" s="18">
        <v>0</v>
      </c>
      <c r="CH51" s="317">
        <v>0</v>
      </c>
      <c r="CI51" s="18">
        <v>0</v>
      </c>
      <c r="CJ51" s="18">
        <v>0</v>
      </c>
      <c r="CK51" s="317">
        <v>0</v>
      </c>
      <c r="CL51" s="18">
        <v>0</v>
      </c>
      <c r="CM51" s="18">
        <v>0</v>
      </c>
      <c r="CN51" s="317">
        <v>0</v>
      </c>
      <c r="CO51" s="18">
        <v>0</v>
      </c>
      <c r="CP51" s="18">
        <v>0</v>
      </c>
      <c r="CQ51" s="317">
        <v>0</v>
      </c>
      <c r="CR51" s="18">
        <v>0</v>
      </c>
      <c r="CS51" s="18">
        <v>0</v>
      </c>
      <c r="CT51" s="317">
        <v>0</v>
      </c>
      <c r="CU51" s="18">
        <v>0</v>
      </c>
      <c r="CV51" s="18">
        <v>0</v>
      </c>
      <c r="CW51" s="317">
        <v>0</v>
      </c>
      <c r="CX51" s="18">
        <v>0</v>
      </c>
      <c r="CY51" s="18">
        <v>0</v>
      </c>
      <c r="CZ51" s="317">
        <v>0</v>
      </c>
      <c r="DA51" s="18">
        <v>0</v>
      </c>
      <c r="DB51" s="18">
        <v>0</v>
      </c>
      <c r="DC51" s="317">
        <v>0</v>
      </c>
      <c r="DD51" s="18">
        <v>0</v>
      </c>
      <c r="DE51" s="18">
        <v>0</v>
      </c>
      <c r="DF51" s="317">
        <v>0</v>
      </c>
      <c r="DG51" s="18">
        <v>0</v>
      </c>
      <c r="DH51" s="18">
        <v>0</v>
      </c>
      <c r="DI51" s="317">
        <v>0</v>
      </c>
      <c r="DJ51" s="18">
        <v>0</v>
      </c>
      <c r="DK51" s="18">
        <v>0</v>
      </c>
      <c r="DL51" s="317">
        <v>0</v>
      </c>
      <c r="DM51" s="18">
        <v>0</v>
      </c>
      <c r="DN51" s="18">
        <v>0</v>
      </c>
      <c r="DO51" s="317">
        <v>0</v>
      </c>
      <c r="DP51" s="18">
        <v>0</v>
      </c>
      <c r="DQ51" s="18">
        <v>0</v>
      </c>
      <c r="DR51" s="317">
        <v>0</v>
      </c>
      <c r="DS51" s="18">
        <v>0</v>
      </c>
      <c r="DT51" s="18">
        <v>0</v>
      </c>
      <c r="DU51" s="317">
        <v>0</v>
      </c>
      <c r="DV51" s="18">
        <v>0</v>
      </c>
      <c r="DW51" s="18">
        <v>0</v>
      </c>
      <c r="DX51" s="317">
        <v>0</v>
      </c>
      <c r="DY51" s="18">
        <v>0</v>
      </c>
      <c r="DZ51" s="18">
        <v>0</v>
      </c>
      <c r="EA51" s="317">
        <v>0</v>
      </c>
      <c r="EB51" s="18">
        <v>0</v>
      </c>
      <c r="EC51" s="18">
        <v>0</v>
      </c>
      <c r="ED51" s="317">
        <v>0</v>
      </c>
      <c r="EE51" s="18">
        <v>0</v>
      </c>
      <c r="EF51" s="18">
        <v>0</v>
      </c>
      <c r="EG51" s="317">
        <v>0</v>
      </c>
      <c r="EH51" s="18">
        <v>0</v>
      </c>
      <c r="EI51" s="18">
        <v>0</v>
      </c>
      <c r="EJ51" s="317">
        <v>0</v>
      </c>
      <c r="EK51" s="18">
        <v>0</v>
      </c>
      <c r="EL51" s="18">
        <v>0</v>
      </c>
      <c r="EM51" s="317">
        <v>0</v>
      </c>
      <c r="EN51" s="640"/>
      <c r="EO51" s="531"/>
      <c r="EP51" s="531"/>
      <c r="EQ51" s="531"/>
      <c r="ER51" s="531"/>
      <c r="ES51" s="531"/>
      <c r="ET51" s="531"/>
      <c r="EU51" s="77" t="s">
        <v>211</v>
      </c>
    </row>
    <row r="52" spans="1:151" ht="12.75">
      <c r="A52" s="40">
        <v>43883</v>
      </c>
      <c r="B52" s="84">
        <f t="shared" ref="B52:D52" si="48">SUM(I52,AA52,AD52,AG52,AJ52,AM52,BB52,BE52,BW52,CL52,CO52,CX52,DA52,DJ52,EE52,)</f>
        <v>44</v>
      </c>
      <c r="C52" s="41">
        <f t="shared" si="48"/>
        <v>0</v>
      </c>
      <c r="D52" s="41">
        <f t="shared" si="48"/>
        <v>0</v>
      </c>
      <c r="E52" s="16">
        <f t="shared" si="2"/>
        <v>44</v>
      </c>
      <c r="F52" s="15">
        <v>0</v>
      </c>
      <c r="G52" s="15">
        <v>0</v>
      </c>
      <c r="H52" s="17">
        <v>0</v>
      </c>
      <c r="I52" s="15">
        <v>0</v>
      </c>
      <c r="J52" s="15">
        <v>0</v>
      </c>
      <c r="K52" s="17">
        <v>0</v>
      </c>
      <c r="L52" s="15">
        <v>0</v>
      </c>
      <c r="M52" s="15">
        <v>0</v>
      </c>
      <c r="N52" s="17">
        <v>0</v>
      </c>
      <c r="O52" s="15">
        <v>0</v>
      </c>
      <c r="P52" s="15">
        <v>0</v>
      </c>
      <c r="Q52" s="17">
        <v>0</v>
      </c>
      <c r="R52" s="15">
        <v>0</v>
      </c>
      <c r="S52" s="15">
        <v>0</v>
      </c>
      <c r="T52" s="17">
        <v>0</v>
      </c>
      <c r="U52" s="15">
        <v>0</v>
      </c>
      <c r="V52" s="15">
        <v>0</v>
      </c>
      <c r="W52" s="17">
        <v>0</v>
      </c>
      <c r="X52" s="15">
        <v>0</v>
      </c>
      <c r="Y52" s="15">
        <v>0</v>
      </c>
      <c r="Z52" s="17">
        <v>0</v>
      </c>
      <c r="AA52" s="15">
        <v>0</v>
      </c>
      <c r="AB52" s="15">
        <v>0</v>
      </c>
      <c r="AC52" s="17">
        <v>0</v>
      </c>
      <c r="AD52" s="105">
        <v>9</v>
      </c>
      <c r="AE52" s="15">
        <v>0</v>
      </c>
      <c r="AF52" s="17">
        <v>0</v>
      </c>
      <c r="AG52" s="15">
        <v>0</v>
      </c>
      <c r="AH52" s="15">
        <v>0</v>
      </c>
      <c r="AI52" s="17">
        <v>0</v>
      </c>
      <c r="AJ52" s="15">
        <v>0</v>
      </c>
      <c r="AK52" s="15">
        <v>0</v>
      </c>
      <c r="AL52" s="17">
        <v>0</v>
      </c>
      <c r="AM52" s="15">
        <v>0</v>
      </c>
      <c r="AN52" s="15">
        <v>0</v>
      </c>
      <c r="AO52" s="17">
        <v>0</v>
      </c>
      <c r="AP52" s="15">
        <v>0</v>
      </c>
      <c r="AQ52" s="15">
        <v>0</v>
      </c>
      <c r="AR52" s="17">
        <v>0</v>
      </c>
      <c r="AS52" s="15">
        <v>0</v>
      </c>
      <c r="AT52" s="15">
        <v>0</v>
      </c>
      <c r="AU52" s="17">
        <v>0</v>
      </c>
      <c r="AV52" s="15">
        <v>0</v>
      </c>
      <c r="AW52" s="15">
        <v>0</v>
      </c>
      <c r="AX52" s="17">
        <v>0</v>
      </c>
      <c r="AY52" s="15">
        <v>0</v>
      </c>
      <c r="AZ52" s="15">
        <v>0</v>
      </c>
      <c r="BA52" s="17">
        <v>0</v>
      </c>
      <c r="BB52" s="15">
        <v>0</v>
      </c>
      <c r="BC52" s="15">
        <v>0</v>
      </c>
      <c r="BD52" s="17">
        <v>0</v>
      </c>
      <c r="BE52" s="105">
        <v>35</v>
      </c>
      <c r="BF52" s="15">
        <v>0</v>
      </c>
      <c r="BG52" s="17">
        <v>0</v>
      </c>
      <c r="BH52" s="15">
        <v>0</v>
      </c>
      <c r="BI52" s="15">
        <v>0</v>
      </c>
      <c r="BJ52" s="17">
        <v>0</v>
      </c>
      <c r="BK52" s="15">
        <v>0</v>
      </c>
      <c r="BL52" s="15">
        <v>0</v>
      </c>
      <c r="BM52" s="17">
        <v>0</v>
      </c>
      <c r="BN52" s="15">
        <v>0</v>
      </c>
      <c r="BO52" s="15">
        <v>0</v>
      </c>
      <c r="BP52" s="17">
        <v>0</v>
      </c>
      <c r="BQ52" s="15">
        <v>0</v>
      </c>
      <c r="BR52" s="15">
        <v>0</v>
      </c>
      <c r="BS52" s="17">
        <v>0</v>
      </c>
      <c r="BT52" s="15">
        <v>0</v>
      </c>
      <c r="BU52" s="15">
        <v>0</v>
      </c>
      <c r="BV52" s="17">
        <v>0</v>
      </c>
      <c r="BW52" s="15">
        <v>0</v>
      </c>
      <c r="BX52" s="15">
        <v>0</v>
      </c>
      <c r="BY52" s="17">
        <v>0</v>
      </c>
      <c r="BZ52" s="15">
        <v>0</v>
      </c>
      <c r="CA52" s="15">
        <v>0</v>
      </c>
      <c r="CB52" s="17">
        <v>0</v>
      </c>
      <c r="CC52" s="15">
        <v>0</v>
      </c>
      <c r="CD52" s="15">
        <v>0</v>
      </c>
      <c r="CE52" s="17">
        <v>0</v>
      </c>
      <c r="CF52" s="15">
        <v>0</v>
      </c>
      <c r="CG52" s="15">
        <v>0</v>
      </c>
      <c r="CH52" s="17">
        <v>0</v>
      </c>
      <c r="CI52" s="15">
        <v>0</v>
      </c>
      <c r="CJ52" s="15">
        <v>0</v>
      </c>
      <c r="CK52" s="17">
        <v>0</v>
      </c>
      <c r="CL52" s="15">
        <v>0</v>
      </c>
      <c r="CM52" s="15">
        <v>0</v>
      </c>
      <c r="CN52" s="17">
        <v>0</v>
      </c>
      <c r="CO52" s="15">
        <v>0</v>
      </c>
      <c r="CP52" s="15">
        <v>0</v>
      </c>
      <c r="CQ52" s="17">
        <v>0</v>
      </c>
      <c r="CR52" s="15">
        <v>0</v>
      </c>
      <c r="CS52" s="15">
        <v>0</v>
      </c>
      <c r="CT52" s="17">
        <v>0</v>
      </c>
      <c r="CU52" s="15">
        <v>0</v>
      </c>
      <c r="CV52" s="15">
        <v>0</v>
      </c>
      <c r="CW52" s="17">
        <v>0</v>
      </c>
      <c r="CX52" s="15">
        <v>0</v>
      </c>
      <c r="CY52" s="15">
        <v>0</v>
      </c>
      <c r="CZ52" s="17">
        <v>0</v>
      </c>
      <c r="DA52" s="15">
        <v>0</v>
      </c>
      <c r="DB52" s="15">
        <v>0</v>
      </c>
      <c r="DC52" s="17">
        <v>0</v>
      </c>
      <c r="DD52" s="15">
        <v>0</v>
      </c>
      <c r="DE52" s="15">
        <v>0</v>
      </c>
      <c r="DF52" s="17">
        <v>0</v>
      </c>
      <c r="DG52" s="15">
        <v>0</v>
      </c>
      <c r="DH52" s="15">
        <v>0</v>
      </c>
      <c r="DI52" s="17">
        <v>0</v>
      </c>
      <c r="DJ52" s="15">
        <v>0</v>
      </c>
      <c r="DK52" s="15">
        <v>0</v>
      </c>
      <c r="DL52" s="17">
        <v>0</v>
      </c>
      <c r="DM52" s="15">
        <v>0</v>
      </c>
      <c r="DN52" s="15">
        <v>0</v>
      </c>
      <c r="DO52" s="17">
        <v>0</v>
      </c>
      <c r="DP52" s="15">
        <v>0</v>
      </c>
      <c r="DQ52" s="15">
        <v>0</v>
      </c>
      <c r="DR52" s="17">
        <v>0</v>
      </c>
      <c r="DS52" s="15">
        <v>0</v>
      </c>
      <c r="DT52" s="15">
        <v>0</v>
      </c>
      <c r="DU52" s="17">
        <v>0</v>
      </c>
      <c r="DV52" s="15">
        <v>0</v>
      </c>
      <c r="DW52" s="15">
        <v>0</v>
      </c>
      <c r="DX52" s="17">
        <v>0</v>
      </c>
      <c r="DY52" s="15">
        <v>0</v>
      </c>
      <c r="DZ52" s="15">
        <v>0</v>
      </c>
      <c r="EA52" s="17">
        <v>0</v>
      </c>
      <c r="EB52" s="15">
        <v>0</v>
      </c>
      <c r="EC52" s="15">
        <v>0</v>
      </c>
      <c r="ED52" s="17">
        <v>0</v>
      </c>
      <c r="EE52" s="15">
        <v>0</v>
      </c>
      <c r="EF52" s="15">
        <v>0</v>
      </c>
      <c r="EG52" s="17">
        <v>0</v>
      </c>
      <c r="EH52" s="15">
        <v>0</v>
      </c>
      <c r="EI52" s="15">
        <v>0</v>
      </c>
      <c r="EJ52" s="17">
        <v>0</v>
      </c>
      <c r="EK52" s="15">
        <v>0</v>
      </c>
      <c r="EL52" s="15">
        <v>0</v>
      </c>
      <c r="EM52" s="17">
        <v>0</v>
      </c>
      <c r="EN52" s="640"/>
      <c r="EO52" s="531"/>
      <c r="EP52" s="531"/>
      <c r="EQ52" s="531"/>
      <c r="ER52" s="531"/>
      <c r="ES52" s="531"/>
      <c r="ET52" s="531"/>
      <c r="EU52" s="77" t="s">
        <v>273</v>
      </c>
    </row>
    <row r="53" spans="1:151" ht="12.75">
      <c r="A53" s="93">
        <v>43884</v>
      </c>
      <c r="B53" s="84">
        <f t="shared" ref="B53:D53" si="49">SUM(I53,AA53,AD53,AG53,AJ53,AM53,BB53,BE53,BW53,CL53,CO53,CX53,DA53,DJ53,EE53,)</f>
        <v>44</v>
      </c>
      <c r="C53" s="41">
        <f t="shared" si="49"/>
        <v>0</v>
      </c>
      <c r="D53" s="41">
        <f t="shared" si="49"/>
        <v>0</v>
      </c>
      <c r="E53" s="16">
        <f t="shared" si="2"/>
        <v>44</v>
      </c>
      <c r="F53" s="18">
        <v>0</v>
      </c>
      <c r="G53" s="18">
        <v>0</v>
      </c>
      <c r="H53" s="317">
        <v>0</v>
      </c>
      <c r="I53" s="18">
        <v>0</v>
      </c>
      <c r="J53" s="18">
        <v>0</v>
      </c>
      <c r="K53" s="317">
        <v>0</v>
      </c>
      <c r="L53" s="18">
        <v>0</v>
      </c>
      <c r="M53" s="18">
        <v>0</v>
      </c>
      <c r="N53" s="317">
        <v>0</v>
      </c>
      <c r="O53" s="18">
        <v>0</v>
      </c>
      <c r="P53" s="18">
        <v>0</v>
      </c>
      <c r="Q53" s="317">
        <v>0</v>
      </c>
      <c r="R53" s="18">
        <v>0</v>
      </c>
      <c r="S53" s="18">
        <v>0</v>
      </c>
      <c r="T53" s="317">
        <v>0</v>
      </c>
      <c r="U53" s="18">
        <v>0</v>
      </c>
      <c r="V53" s="18">
        <v>0</v>
      </c>
      <c r="W53" s="317">
        <v>0</v>
      </c>
      <c r="X53" s="18">
        <v>0</v>
      </c>
      <c r="Y53" s="18">
        <v>0</v>
      </c>
      <c r="Z53" s="317">
        <v>0</v>
      </c>
      <c r="AA53" s="18">
        <v>0</v>
      </c>
      <c r="AB53" s="18">
        <v>0</v>
      </c>
      <c r="AC53" s="317">
        <v>0</v>
      </c>
      <c r="AD53" s="105">
        <v>9</v>
      </c>
      <c r="AE53" s="18">
        <v>0</v>
      </c>
      <c r="AF53" s="317">
        <v>0</v>
      </c>
      <c r="AG53" s="18">
        <v>0</v>
      </c>
      <c r="AH53" s="18">
        <v>0</v>
      </c>
      <c r="AI53" s="317">
        <v>0</v>
      </c>
      <c r="AJ53" s="18">
        <v>0</v>
      </c>
      <c r="AK53" s="18">
        <v>0</v>
      </c>
      <c r="AL53" s="317">
        <v>0</v>
      </c>
      <c r="AM53" s="18">
        <v>0</v>
      </c>
      <c r="AN53" s="18">
        <v>0</v>
      </c>
      <c r="AO53" s="317">
        <v>0</v>
      </c>
      <c r="AP53" s="18">
        <v>0</v>
      </c>
      <c r="AQ53" s="18">
        <v>0</v>
      </c>
      <c r="AR53" s="317">
        <v>0</v>
      </c>
      <c r="AS53" s="18">
        <v>0</v>
      </c>
      <c r="AT53" s="18">
        <v>0</v>
      </c>
      <c r="AU53" s="317">
        <v>0</v>
      </c>
      <c r="AV53" s="18">
        <v>0</v>
      </c>
      <c r="AW53" s="18">
        <v>0</v>
      </c>
      <c r="AX53" s="317">
        <v>0</v>
      </c>
      <c r="AY53" s="18">
        <v>0</v>
      </c>
      <c r="AZ53" s="18">
        <v>0</v>
      </c>
      <c r="BA53" s="317">
        <v>0</v>
      </c>
      <c r="BB53" s="18">
        <v>0</v>
      </c>
      <c r="BC53" s="18">
        <v>0</v>
      </c>
      <c r="BD53" s="317">
        <v>0</v>
      </c>
      <c r="BE53" s="105">
        <v>35</v>
      </c>
      <c r="BF53" s="18">
        <v>0</v>
      </c>
      <c r="BG53" s="317">
        <v>0</v>
      </c>
      <c r="BH53" s="18">
        <v>0</v>
      </c>
      <c r="BI53" s="18">
        <v>0</v>
      </c>
      <c r="BJ53" s="317">
        <v>0</v>
      </c>
      <c r="BK53" s="18">
        <v>0</v>
      </c>
      <c r="BL53" s="18">
        <v>0</v>
      </c>
      <c r="BM53" s="317">
        <v>0</v>
      </c>
      <c r="BN53" s="18">
        <v>0</v>
      </c>
      <c r="BO53" s="18">
        <v>0</v>
      </c>
      <c r="BP53" s="317">
        <v>0</v>
      </c>
      <c r="BQ53" s="18">
        <v>0</v>
      </c>
      <c r="BR53" s="18">
        <v>0</v>
      </c>
      <c r="BS53" s="317">
        <v>0</v>
      </c>
      <c r="BT53" s="18">
        <v>0</v>
      </c>
      <c r="BU53" s="18">
        <v>0</v>
      </c>
      <c r="BV53" s="317">
        <v>0</v>
      </c>
      <c r="BW53" s="18">
        <v>0</v>
      </c>
      <c r="BX53" s="18">
        <v>0</v>
      </c>
      <c r="BY53" s="317">
        <v>0</v>
      </c>
      <c r="BZ53" s="18">
        <v>0</v>
      </c>
      <c r="CA53" s="18">
        <v>0</v>
      </c>
      <c r="CB53" s="317">
        <v>0</v>
      </c>
      <c r="CC53" s="18">
        <v>0</v>
      </c>
      <c r="CD53" s="18">
        <v>0</v>
      </c>
      <c r="CE53" s="317">
        <v>0</v>
      </c>
      <c r="CF53" s="18">
        <v>0</v>
      </c>
      <c r="CG53" s="18">
        <v>0</v>
      </c>
      <c r="CH53" s="317">
        <v>0</v>
      </c>
      <c r="CI53" s="18">
        <v>0</v>
      </c>
      <c r="CJ53" s="18">
        <v>0</v>
      </c>
      <c r="CK53" s="317">
        <v>0</v>
      </c>
      <c r="CL53" s="18">
        <v>0</v>
      </c>
      <c r="CM53" s="18">
        <v>0</v>
      </c>
      <c r="CN53" s="317">
        <v>0</v>
      </c>
      <c r="CO53" s="18">
        <v>0</v>
      </c>
      <c r="CP53" s="18">
        <v>0</v>
      </c>
      <c r="CQ53" s="317">
        <v>0</v>
      </c>
      <c r="CR53" s="18">
        <v>0</v>
      </c>
      <c r="CS53" s="18">
        <v>0</v>
      </c>
      <c r="CT53" s="317">
        <v>0</v>
      </c>
      <c r="CU53" s="18">
        <v>0</v>
      </c>
      <c r="CV53" s="18">
        <v>0</v>
      </c>
      <c r="CW53" s="317">
        <v>0</v>
      </c>
      <c r="CX53" s="18">
        <v>0</v>
      </c>
      <c r="CY53" s="18">
        <v>0</v>
      </c>
      <c r="CZ53" s="317">
        <v>0</v>
      </c>
      <c r="DA53" s="18">
        <v>0</v>
      </c>
      <c r="DB53" s="18">
        <v>0</v>
      </c>
      <c r="DC53" s="317">
        <v>0</v>
      </c>
      <c r="DD53" s="18">
        <v>0</v>
      </c>
      <c r="DE53" s="18">
        <v>0</v>
      </c>
      <c r="DF53" s="317">
        <v>0</v>
      </c>
      <c r="DG53" s="18">
        <v>0</v>
      </c>
      <c r="DH53" s="18">
        <v>0</v>
      </c>
      <c r="DI53" s="317">
        <v>0</v>
      </c>
      <c r="DJ53" s="18">
        <v>0</v>
      </c>
      <c r="DK53" s="18">
        <v>0</v>
      </c>
      <c r="DL53" s="317">
        <v>0</v>
      </c>
      <c r="DM53" s="18">
        <v>0</v>
      </c>
      <c r="DN53" s="18">
        <v>0</v>
      </c>
      <c r="DO53" s="317">
        <v>0</v>
      </c>
      <c r="DP53" s="18">
        <v>0</v>
      </c>
      <c r="DQ53" s="18">
        <v>0</v>
      </c>
      <c r="DR53" s="317">
        <v>0</v>
      </c>
      <c r="DS53" s="18">
        <v>0</v>
      </c>
      <c r="DT53" s="18">
        <v>0</v>
      </c>
      <c r="DU53" s="317">
        <v>0</v>
      </c>
      <c r="DV53" s="18">
        <v>0</v>
      </c>
      <c r="DW53" s="18">
        <v>0</v>
      </c>
      <c r="DX53" s="317">
        <v>0</v>
      </c>
      <c r="DY53" s="18">
        <v>0</v>
      </c>
      <c r="DZ53" s="18">
        <v>0</v>
      </c>
      <c r="EA53" s="317">
        <v>0</v>
      </c>
      <c r="EB53" s="18">
        <v>0</v>
      </c>
      <c r="EC53" s="18">
        <v>0</v>
      </c>
      <c r="ED53" s="317">
        <v>0</v>
      </c>
      <c r="EE53" s="18">
        <v>0</v>
      </c>
      <c r="EF53" s="18">
        <v>0</v>
      </c>
      <c r="EG53" s="317">
        <v>0</v>
      </c>
      <c r="EH53" s="18">
        <v>0</v>
      </c>
      <c r="EI53" s="18">
        <v>0</v>
      </c>
      <c r="EJ53" s="317">
        <v>0</v>
      </c>
      <c r="EK53" s="18">
        <v>0</v>
      </c>
      <c r="EL53" s="18">
        <v>0</v>
      </c>
      <c r="EM53" s="317">
        <v>0</v>
      </c>
      <c r="EN53" s="640"/>
      <c r="EO53" s="531"/>
      <c r="EP53" s="531"/>
      <c r="EQ53" s="531"/>
      <c r="ER53" s="531"/>
      <c r="ES53" s="531"/>
      <c r="ET53" s="531"/>
      <c r="EU53" s="339"/>
    </row>
    <row r="54" spans="1:151" ht="12.75">
      <c r="A54" s="93">
        <v>43885</v>
      </c>
      <c r="B54" s="84">
        <f t="shared" ref="B54:D54" si="50">SUM(I54,AA54,AD54,AG54,AJ54,AM54,BB54,BE54,BW54,CL54,CO54,CX54,DA54,DJ54,EE54,)</f>
        <v>63</v>
      </c>
      <c r="C54" s="41">
        <f t="shared" si="50"/>
        <v>0</v>
      </c>
      <c r="D54" s="41">
        <f t="shared" si="50"/>
        <v>0</v>
      </c>
      <c r="E54" s="16">
        <f t="shared" si="2"/>
        <v>63</v>
      </c>
      <c r="F54" s="15">
        <v>0</v>
      </c>
      <c r="G54" s="15">
        <v>0</v>
      </c>
      <c r="H54" s="17">
        <v>0</v>
      </c>
      <c r="I54" s="15">
        <v>0</v>
      </c>
      <c r="J54" s="15">
        <v>0</v>
      </c>
      <c r="K54" s="17">
        <v>0</v>
      </c>
      <c r="L54" s="15">
        <v>0</v>
      </c>
      <c r="M54" s="15">
        <v>0</v>
      </c>
      <c r="N54" s="17">
        <v>0</v>
      </c>
      <c r="O54" s="15">
        <v>0</v>
      </c>
      <c r="P54" s="15">
        <v>0</v>
      </c>
      <c r="Q54" s="17">
        <v>0</v>
      </c>
      <c r="R54" s="15">
        <v>0</v>
      </c>
      <c r="S54" s="15">
        <v>0</v>
      </c>
      <c r="T54" s="17">
        <v>0</v>
      </c>
      <c r="U54" s="15">
        <v>0</v>
      </c>
      <c r="V54" s="15">
        <v>0</v>
      </c>
      <c r="W54" s="17">
        <v>0</v>
      </c>
      <c r="X54" s="15">
        <v>0</v>
      </c>
      <c r="Y54" s="15">
        <v>0</v>
      </c>
      <c r="Z54" s="17">
        <v>0</v>
      </c>
      <c r="AA54" s="15">
        <v>0</v>
      </c>
      <c r="AB54" s="15">
        <v>0</v>
      </c>
      <c r="AC54" s="17">
        <v>0</v>
      </c>
      <c r="AD54" s="105">
        <v>10</v>
      </c>
      <c r="AE54" s="15">
        <v>0</v>
      </c>
      <c r="AF54" s="17">
        <v>0</v>
      </c>
      <c r="AG54" s="15">
        <v>0</v>
      </c>
      <c r="AH54" s="15">
        <v>0</v>
      </c>
      <c r="AI54" s="17">
        <v>0</v>
      </c>
      <c r="AJ54" s="15">
        <v>0</v>
      </c>
      <c r="AK54" s="15">
        <v>0</v>
      </c>
      <c r="AL54" s="17">
        <v>0</v>
      </c>
      <c r="AM54" s="15">
        <v>0</v>
      </c>
      <c r="AN54" s="15">
        <v>0</v>
      </c>
      <c r="AO54" s="17">
        <v>0</v>
      </c>
      <c r="AP54" s="15">
        <v>0</v>
      </c>
      <c r="AQ54" s="15">
        <v>0</v>
      </c>
      <c r="AR54" s="17">
        <v>0</v>
      </c>
      <c r="AS54" s="15">
        <v>0</v>
      </c>
      <c r="AT54" s="15">
        <v>0</v>
      </c>
      <c r="AU54" s="17">
        <v>0</v>
      </c>
      <c r="AV54" s="15">
        <v>0</v>
      </c>
      <c r="AW54" s="15">
        <v>0</v>
      </c>
      <c r="AX54" s="17">
        <v>0</v>
      </c>
      <c r="AY54" s="15">
        <v>0</v>
      </c>
      <c r="AZ54" s="15">
        <v>0</v>
      </c>
      <c r="BA54" s="17">
        <v>0</v>
      </c>
      <c r="BB54" s="15">
        <v>0</v>
      </c>
      <c r="BC54" s="15">
        <v>0</v>
      </c>
      <c r="BD54" s="17">
        <v>0</v>
      </c>
      <c r="BE54" s="105">
        <v>53</v>
      </c>
      <c r="BF54" s="15">
        <v>0</v>
      </c>
      <c r="BG54" s="17">
        <v>0</v>
      </c>
      <c r="BH54" s="15">
        <v>0</v>
      </c>
      <c r="BI54" s="15">
        <v>0</v>
      </c>
      <c r="BJ54" s="17">
        <v>0</v>
      </c>
      <c r="BK54" s="15">
        <v>0</v>
      </c>
      <c r="BL54" s="15">
        <v>0</v>
      </c>
      <c r="BM54" s="17">
        <v>0</v>
      </c>
      <c r="BN54" s="15">
        <v>0</v>
      </c>
      <c r="BO54" s="15">
        <v>0</v>
      </c>
      <c r="BP54" s="17">
        <v>0</v>
      </c>
      <c r="BQ54" s="15">
        <v>0</v>
      </c>
      <c r="BR54" s="15">
        <v>0</v>
      </c>
      <c r="BS54" s="17">
        <v>0</v>
      </c>
      <c r="BT54" s="15">
        <v>0</v>
      </c>
      <c r="BU54" s="15">
        <v>0</v>
      </c>
      <c r="BV54" s="17">
        <v>0</v>
      </c>
      <c r="BW54" s="15">
        <v>0</v>
      </c>
      <c r="BX54" s="15">
        <v>0</v>
      </c>
      <c r="BY54" s="17">
        <v>0</v>
      </c>
      <c r="BZ54" s="15">
        <v>0</v>
      </c>
      <c r="CA54" s="15">
        <v>0</v>
      </c>
      <c r="CB54" s="17">
        <v>0</v>
      </c>
      <c r="CC54" s="15">
        <v>0</v>
      </c>
      <c r="CD54" s="15">
        <v>0</v>
      </c>
      <c r="CE54" s="17">
        <v>0</v>
      </c>
      <c r="CF54" s="15">
        <v>0</v>
      </c>
      <c r="CG54" s="15">
        <v>0</v>
      </c>
      <c r="CH54" s="17">
        <v>0</v>
      </c>
      <c r="CI54" s="15">
        <v>0</v>
      </c>
      <c r="CJ54" s="15">
        <v>0</v>
      </c>
      <c r="CK54" s="17">
        <v>0</v>
      </c>
      <c r="CL54" s="15">
        <v>0</v>
      </c>
      <c r="CM54" s="15">
        <v>0</v>
      </c>
      <c r="CN54" s="17">
        <v>0</v>
      </c>
      <c r="CO54" s="15">
        <v>0</v>
      </c>
      <c r="CP54" s="15">
        <v>0</v>
      </c>
      <c r="CQ54" s="17">
        <v>0</v>
      </c>
      <c r="CR54" s="15">
        <v>0</v>
      </c>
      <c r="CS54" s="15">
        <v>0</v>
      </c>
      <c r="CT54" s="17">
        <v>0</v>
      </c>
      <c r="CU54" s="15">
        <v>0</v>
      </c>
      <c r="CV54" s="15">
        <v>0</v>
      </c>
      <c r="CW54" s="17">
        <v>0</v>
      </c>
      <c r="CX54" s="15">
        <v>0</v>
      </c>
      <c r="CY54" s="15">
        <v>0</v>
      </c>
      <c r="CZ54" s="17">
        <v>0</v>
      </c>
      <c r="DA54" s="15">
        <v>0</v>
      </c>
      <c r="DB54" s="15">
        <v>0</v>
      </c>
      <c r="DC54" s="17">
        <v>0</v>
      </c>
      <c r="DD54" s="15">
        <v>0</v>
      </c>
      <c r="DE54" s="15">
        <v>0</v>
      </c>
      <c r="DF54" s="17">
        <v>0</v>
      </c>
      <c r="DG54" s="15">
        <v>0</v>
      </c>
      <c r="DH54" s="15">
        <v>0</v>
      </c>
      <c r="DI54" s="17">
        <v>0</v>
      </c>
      <c r="DJ54" s="15">
        <v>0</v>
      </c>
      <c r="DK54" s="15">
        <v>0</v>
      </c>
      <c r="DL54" s="17">
        <v>0</v>
      </c>
      <c r="DM54" s="15">
        <v>0</v>
      </c>
      <c r="DN54" s="15">
        <v>0</v>
      </c>
      <c r="DO54" s="17">
        <v>0</v>
      </c>
      <c r="DP54" s="15">
        <v>0</v>
      </c>
      <c r="DQ54" s="15">
        <v>0</v>
      </c>
      <c r="DR54" s="17">
        <v>0</v>
      </c>
      <c r="DS54" s="15">
        <v>0</v>
      </c>
      <c r="DT54" s="15">
        <v>0</v>
      </c>
      <c r="DU54" s="17">
        <v>0</v>
      </c>
      <c r="DV54" s="15">
        <v>0</v>
      </c>
      <c r="DW54" s="15">
        <v>0</v>
      </c>
      <c r="DX54" s="17">
        <v>0</v>
      </c>
      <c r="DY54" s="15">
        <v>0</v>
      </c>
      <c r="DZ54" s="15">
        <v>0</v>
      </c>
      <c r="EA54" s="17">
        <v>0</v>
      </c>
      <c r="EB54" s="15">
        <v>0</v>
      </c>
      <c r="EC54" s="15">
        <v>0</v>
      </c>
      <c r="ED54" s="17">
        <v>0</v>
      </c>
      <c r="EE54" s="15">
        <v>0</v>
      </c>
      <c r="EF54" s="15">
        <v>0</v>
      </c>
      <c r="EG54" s="17">
        <v>0</v>
      </c>
      <c r="EH54" s="15">
        <v>0</v>
      </c>
      <c r="EI54" s="15">
        <v>0</v>
      </c>
      <c r="EJ54" s="17">
        <v>0</v>
      </c>
      <c r="EK54" s="15">
        <v>0</v>
      </c>
      <c r="EL54" s="15">
        <v>0</v>
      </c>
      <c r="EM54" s="17">
        <v>0</v>
      </c>
      <c r="EN54" s="640"/>
      <c r="EO54" s="531"/>
      <c r="EP54" s="531"/>
      <c r="EQ54" s="531"/>
      <c r="ER54" s="531"/>
      <c r="ES54" s="531"/>
      <c r="ET54" s="531"/>
      <c r="EU54" s="77" t="s">
        <v>217</v>
      </c>
    </row>
    <row r="55" spans="1:151" ht="12.75">
      <c r="A55" s="93">
        <v>43886</v>
      </c>
      <c r="B55" s="84">
        <f t="shared" ref="B55:D55" si="51">SUM(I55,AA55,AD55,AG55,AJ55,AM55,BB55,BE55,BW55,CL55,CO55,CX55,DA55,DJ55,EE55,)</f>
        <v>64</v>
      </c>
      <c r="C55" s="41">
        <f t="shared" si="51"/>
        <v>0</v>
      </c>
      <c r="D55" s="125">
        <f t="shared" si="51"/>
        <v>8</v>
      </c>
      <c r="E55" s="16">
        <f t="shared" si="2"/>
        <v>56</v>
      </c>
      <c r="F55" s="18">
        <v>0</v>
      </c>
      <c r="G55" s="18">
        <v>0</v>
      </c>
      <c r="H55" s="317">
        <v>0</v>
      </c>
      <c r="I55" s="18">
        <v>0</v>
      </c>
      <c r="J55" s="18">
        <v>0</v>
      </c>
      <c r="K55" s="317">
        <v>0</v>
      </c>
      <c r="L55" s="18">
        <v>0</v>
      </c>
      <c r="M55" s="18">
        <v>0</v>
      </c>
      <c r="N55" s="317">
        <v>0</v>
      </c>
      <c r="O55" s="18">
        <v>0</v>
      </c>
      <c r="P55" s="18">
        <v>0</v>
      </c>
      <c r="Q55" s="317">
        <v>0</v>
      </c>
      <c r="R55" s="18">
        <v>0</v>
      </c>
      <c r="S55" s="18">
        <v>0</v>
      </c>
      <c r="T55" s="317">
        <v>0</v>
      </c>
      <c r="U55" s="18">
        <v>0</v>
      </c>
      <c r="V55" s="18">
        <v>0</v>
      </c>
      <c r="W55" s="317">
        <v>0</v>
      </c>
      <c r="X55" s="18">
        <v>0</v>
      </c>
      <c r="Y55" s="18">
        <v>0</v>
      </c>
      <c r="Z55" s="317">
        <v>0</v>
      </c>
      <c r="AA55" s="18">
        <v>0</v>
      </c>
      <c r="AB55" s="18">
        <v>0</v>
      </c>
      <c r="AC55" s="317">
        <v>0</v>
      </c>
      <c r="AD55" s="105">
        <v>11</v>
      </c>
      <c r="AE55" s="18">
        <v>0</v>
      </c>
      <c r="AF55" s="150">
        <v>3</v>
      </c>
      <c r="AG55" s="18">
        <v>0</v>
      </c>
      <c r="AH55" s="18">
        <v>0</v>
      </c>
      <c r="AI55" s="317">
        <v>0</v>
      </c>
      <c r="AJ55" s="18">
        <v>0</v>
      </c>
      <c r="AK55" s="18">
        <v>0</v>
      </c>
      <c r="AL55" s="317">
        <v>0</v>
      </c>
      <c r="AM55" s="18">
        <v>0</v>
      </c>
      <c r="AN55" s="18">
        <v>0</v>
      </c>
      <c r="AO55" s="317">
        <v>0</v>
      </c>
      <c r="AP55" s="18">
        <v>0</v>
      </c>
      <c r="AQ55" s="18">
        <v>0</v>
      </c>
      <c r="AR55" s="317">
        <v>0</v>
      </c>
      <c r="AS55" s="18">
        <v>0</v>
      </c>
      <c r="AT55" s="18">
        <v>0</v>
      </c>
      <c r="AU55" s="317">
        <v>0</v>
      </c>
      <c r="AV55" s="18">
        <v>0</v>
      </c>
      <c r="AW55" s="18">
        <v>0</v>
      </c>
      <c r="AX55" s="317">
        <v>0</v>
      </c>
      <c r="AY55" s="18">
        <v>0</v>
      </c>
      <c r="AZ55" s="18">
        <v>0</v>
      </c>
      <c r="BA55" s="317">
        <v>0</v>
      </c>
      <c r="BB55" s="18">
        <v>0</v>
      </c>
      <c r="BC55" s="18">
        <v>0</v>
      </c>
      <c r="BD55" s="317">
        <v>0</v>
      </c>
      <c r="BE55" s="105">
        <v>53</v>
      </c>
      <c r="BF55" s="18">
        <v>0</v>
      </c>
      <c r="BG55" s="150">
        <v>5</v>
      </c>
      <c r="BH55" s="18">
        <v>0</v>
      </c>
      <c r="BI55" s="18">
        <v>0</v>
      </c>
      <c r="BJ55" s="317">
        <v>0</v>
      </c>
      <c r="BK55" s="18">
        <v>0</v>
      </c>
      <c r="BL55" s="18">
        <v>0</v>
      </c>
      <c r="BM55" s="317">
        <v>0</v>
      </c>
      <c r="BN55" s="18">
        <v>0</v>
      </c>
      <c r="BO55" s="18">
        <v>0</v>
      </c>
      <c r="BP55" s="317">
        <v>0</v>
      </c>
      <c r="BQ55" s="18">
        <v>0</v>
      </c>
      <c r="BR55" s="18">
        <v>0</v>
      </c>
      <c r="BS55" s="317">
        <v>0</v>
      </c>
      <c r="BT55" s="18">
        <v>0</v>
      </c>
      <c r="BU55" s="18">
        <v>0</v>
      </c>
      <c r="BV55" s="317">
        <v>0</v>
      </c>
      <c r="BW55" s="18">
        <v>0</v>
      </c>
      <c r="BX55" s="18">
        <v>0</v>
      </c>
      <c r="BY55" s="317">
        <v>0</v>
      </c>
      <c r="BZ55" s="18">
        <v>0</v>
      </c>
      <c r="CA55" s="18">
        <v>0</v>
      </c>
      <c r="CB55" s="317">
        <v>0</v>
      </c>
      <c r="CC55" s="18">
        <v>0</v>
      </c>
      <c r="CD55" s="18">
        <v>0</v>
      </c>
      <c r="CE55" s="317">
        <v>0</v>
      </c>
      <c r="CF55" s="18">
        <v>0</v>
      </c>
      <c r="CG55" s="18">
        <v>0</v>
      </c>
      <c r="CH55" s="317">
        <v>0</v>
      </c>
      <c r="CI55" s="18">
        <v>0</v>
      </c>
      <c r="CJ55" s="18">
        <v>0</v>
      </c>
      <c r="CK55" s="317">
        <v>0</v>
      </c>
      <c r="CL55" s="18">
        <v>0</v>
      </c>
      <c r="CM55" s="18">
        <v>0</v>
      </c>
      <c r="CN55" s="317">
        <v>0</v>
      </c>
      <c r="CO55" s="18">
        <v>0</v>
      </c>
      <c r="CP55" s="18">
        <v>0</v>
      </c>
      <c r="CQ55" s="317">
        <v>0</v>
      </c>
      <c r="CR55" s="18">
        <v>0</v>
      </c>
      <c r="CS55" s="18">
        <v>0</v>
      </c>
      <c r="CT55" s="317">
        <v>0</v>
      </c>
      <c r="CU55" s="18">
        <v>0</v>
      </c>
      <c r="CV55" s="18">
        <v>0</v>
      </c>
      <c r="CW55" s="317">
        <v>0</v>
      </c>
      <c r="CX55" s="18">
        <v>0</v>
      </c>
      <c r="CY55" s="18">
        <v>0</v>
      </c>
      <c r="CZ55" s="317">
        <v>0</v>
      </c>
      <c r="DA55" s="18">
        <v>0</v>
      </c>
      <c r="DB55" s="18">
        <v>0</v>
      </c>
      <c r="DC55" s="317">
        <v>0</v>
      </c>
      <c r="DD55" s="18">
        <v>0</v>
      </c>
      <c r="DE55" s="18">
        <v>0</v>
      </c>
      <c r="DF55" s="317">
        <v>0</v>
      </c>
      <c r="DG55" s="18">
        <v>0</v>
      </c>
      <c r="DH55" s="18">
        <v>0</v>
      </c>
      <c r="DI55" s="317">
        <v>0</v>
      </c>
      <c r="DJ55" s="18">
        <v>0</v>
      </c>
      <c r="DK55" s="18">
        <v>0</v>
      </c>
      <c r="DL55" s="317">
        <v>0</v>
      </c>
      <c r="DM55" s="18">
        <v>0</v>
      </c>
      <c r="DN55" s="18">
        <v>0</v>
      </c>
      <c r="DO55" s="317">
        <v>0</v>
      </c>
      <c r="DP55" s="18">
        <v>0</v>
      </c>
      <c r="DQ55" s="18">
        <v>0</v>
      </c>
      <c r="DR55" s="317">
        <v>0</v>
      </c>
      <c r="DS55" s="18">
        <v>0</v>
      </c>
      <c r="DT55" s="18">
        <v>0</v>
      </c>
      <c r="DU55" s="317">
        <v>0</v>
      </c>
      <c r="DV55" s="18">
        <v>0</v>
      </c>
      <c r="DW55" s="18">
        <v>0</v>
      </c>
      <c r="DX55" s="317">
        <v>0</v>
      </c>
      <c r="DY55" s="18">
        <v>0</v>
      </c>
      <c r="DZ55" s="18">
        <v>0</v>
      </c>
      <c r="EA55" s="317">
        <v>0</v>
      </c>
      <c r="EB55" s="18">
        <v>0</v>
      </c>
      <c r="EC55" s="18">
        <v>0</v>
      </c>
      <c r="ED55" s="317">
        <v>0</v>
      </c>
      <c r="EE55" s="18">
        <v>0</v>
      </c>
      <c r="EF55" s="18">
        <v>0</v>
      </c>
      <c r="EG55" s="317">
        <v>0</v>
      </c>
      <c r="EH55" s="18">
        <v>0</v>
      </c>
      <c r="EI55" s="18">
        <v>0</v>
      </c>
      <c r="EJ55" s="317">
        <v>0</v>
      </c>
      <c r="EK55" s="18">
        <v>0</v>
      </c>
      <c r="EL55" s="18">
        <v>0</v>
      </c>
      <c r="EM55" s="317">
        <v>0</v>
      </c>
      <c r="EN55" s="640"/>
      <c r="EO55" s="531"/>
      <c r="EP55" s="531"/>
      <c r="EQ55" s="531"/>
      <c r="ER55" s="531"/>
      <c r="ES55" s="531"/>
      <c r="ET55" s="531"/>
      <c r="EU55" s="339"/>
    </row>
    <row r="56" spans="1:151" ht="12.75">
      <c r="A56" s="93">
        <v>43887</v>
      </c>
      <c r="B56" s="84">
        <f t="shared" ref="B56:D56" si="52">SUM(I56,AA56,AD56,AG56,AJ56,AM56,BB56,BE56,BW56,CL56,CO56,CX56,DA56,DJ56,EE56,)</f>
        <v>71</v>
      </c>
      <c r="C56" s="41">
        <f t="shared" si="52"/>
        <v>0</v>
      </c>
      <c r="D56" s="125">
        <f t="shared" si="52"/>
        <v>9</v>
      </c>
      <c r="E56" s="16">
        <f t="shared" si="2"/>
        <v>62</v>
      </c>
      <c r="F56" s="15">
        <v>0</v>
      </c>
      <c r="G56" s="15">
        <v>0</v>
      </c>
      <c r="H56" s="17">
        <v>0</v>
      </c>
      <c r="I56" s="15">
        <v>0</v>
      </c>
      <c r="J56" s="15">
        <v>0</v>
      </c>
      <c r="K56" s="17">
        <v>0</v>
      </c>
      <c r="L56" s="15">
        <v>0</v>
      </c>
      <c r="M56" s="15">
        <v>0</v>
      </c>
      <c r="N56" s="17">
        <v>0</v>
      </c>
      <c r="O56" s="15">
        <v>0</v>
      </c>
      <c r="P56" s="15">
        <v>0</v>
      </c>
      <c r="Q56" s="17">
        <v>0</v>
      </c>
      <c r="R56" s="15">
        <v>0</v>
      </c>
      <c r="S56" s="15">
        <v>0</v>
      </c>
      <c r="T56" s="17">
        <v>0</v>
      </c>
      <c r="U56" s="15">
        <v>0</v>
      </c>
      <c r="V56" s="15">
        <v>0</v>
      </c>
      <c r="W56" s="17">
        <v>0</v>
      </c>
      <c r="X56" s="15">
        <v>0</v>
      </c>
      <c r="Y56" s="15">
        <v>0</v>
      </c>
      <c r="Z56" s="17">
        <v>0</v>
      </c>
      <c r="AA56" s="105">
        <v>1</v>
      </c>
      <c r="AB56" s="15">
        <v>0</v>
      </c>
      <c r="AC56" s="17">
        <v>0</v>
      </c>
      <c r="AD56" s="105">
        <v>11</v>
      </c>
      <c r="AE56" s="15">
        <v>0</v>
      </c>
      <c r="AF56" s="150">
        <v>3</v>
      </c>
      <c r="AG56" s="15">
        <v>0</v>
      </c>
      <c r="AH56" s="15">
        <v>0</v>
      </c>
      <c r="AI56" s="17">
        <v>0</v>
      </c>
      <c r="AJ56" s="15">
        <v>0</v>
      </c>
      <c r="AK56" s="15">
        <v>0</v>
      </c>
      <c r="AL56" s="17">
        <v>0</v>
      </c>
      <c r="AM56" s="15">
        <v>0</v>
      </c>
      <c r="AN56" s="15">
        <v>0</v>
      </c>
      <c r="AO56" s="17">
        <v>0</v>
      </c>
      <c r="AP56" s="15">
        <v>0</v>
      </c>
      <c r="AQ56" s="15">
        <v>0</v>
      </c>
      <c r="AR56" s="17">
        <v>0</v>
      </c>
      <c r="AS56" s="15">
        <v>0</v>
      </c>
      <c r="AT56" s="15">
        <v>0</v>
      </c>
      <c r="AU56" s="17">
        <v>0</v>
      </c>
      <c r="AV56" s="15">
        <v>0</v>
      </c>
      <c r="AW56" s="15">
        <v>0</v>
      </c>
      <c r="AX56" s="17">
        <v>0</v>
      </c>
      <c r="AY56" s="15">
        <v>0</v>
      </c>
      <c r="AZ56" s="15">
        <v>0</v>
      </c>
      <c r="BA56" s="17">
        <v>0</v>
      </c>
      <c r="BB56" s="15">
        <v>0</v>
      </c>
      <c r="BC56" s="15">
        <v>0</v>
      </c>
      <c r="BD56" s="17">
        <v>0</v>
      </c>
      <c r="BE56" s="105">
        <v>59</v>
      </c>
      <c r="BF56" s="15">
        <v>0</v>
      </c>
      <c r="BG56" s="150">
        <v>6</v>
      </c>
      <c r="BH56" s="15">
        <v>0</v>
      </c>
      <c r="BI56" s="15">
        <v>0</v>
      </c>
      <c r="BJ56" s="17">
        <v>0</v>
      </c>
      <c r="BK56" s="15">
        <v>0</v>
      </c>
      <c r="BL56" s="15">
        <v>0</v>
      </c>
      <c r="BM56" s="17">
        <v>0</v>
      </c>
      <c r="BN56" s="15">
        <v>0</v>
      </c>
      <c r="BO56" s="15">
        <v>0</v>
      </c>
      <c r="BP56" s="17">
        <v>0</v>
      </c>
      <c r="BQ56" s="15">
        <v>0</v>
      </c>
      <c r="BR56" s="15">
        <v>0</v>
      </c>
      <c r="BS56" s="17">
        <v>0</v>
      </c>
      <c r="BT56" s="15">
        <v>0</v>
      </c>
      <c r="BU56" s="15">
        <v>0</v>
      </c>
      <c r="BV56" s="17">
        <v>0</v>
      </c>
      <c r="BW56" s="15">
        <v>0</v>
      </c>
      <c r="BX56" s="15">
        <v>0</v>
      </c>
      <c r="BY56" s="17">
        <v>0</v>
      </c>
      <c r="BZ56" s="15">
        <v>0</v>
      </c>
      <c r="CA56" s="15">
        <v>0</v>
      </c>
      <c r="CB56" s="17">
        <v>0</v>
      </c>
      <c r="CC56" s="15">
        <v>0</v>
      </c>
      <c r="CD56" s="15">
        <v>0</v>
      </c>
      <c r="CE56" s="17">
        <v>0</v>
      </c>
      <c r="CF56" s="15">
        <v>0</v>
      </c>
      <c r="CG56" s="15">
        <v>0</v>
      </c>
      <c r="CH56" s="17">
        <v>0</v>
      </c>
      <c r="CI56" s="15">
        <v>0</v>
      </c>
      <c r="CJ56" s="15">
        <v>0</v>
      </c>
      <c r="CK56" s="17">
        <v>0</v>
      </c>
      <c r="CL56" s="15">
        <v>0</v>
      </c>
      <c r="CM56" s="15">
        <v>0</v>
      </c>
      <c r="CN56" s="17">
        <v>0</v>
      </c>
      <c r="CO56" s="15">
        <v>0</v>
      </c>
      <c r="CP56" s="15">
        <v>0</v>
      </c>
      <c r="CQ56" s="17">
        <v>0</v>
      </c>
      <c r="CR56" s="15">
        <v>0</v>
      </c>
      <c r="CS56" s="15">
        <v>0</v>
      </c>
      <c r="CT56" s="17">
        <v>0</v>
      </c>
      <c r="CU56" s="15">
        <v>0</v>
      </c>
      <c r="CV56" s="15">
        <v>0</v>
      </c>
      <c r="CW56" s="17">
        <v>0</v>
      </c>
      <c r="CX56" s="15">
        <v>0</v>
      </c>
      <c r="CY56" s="15">
        <v>0</v>
      </c>
      <c r="CZ56" s="17">
        <v>0</v>
      </c>
      <c r="DA56" s="15">
        <v>0</v>
      </c>
      <c r="DB56" s="15">
        <v>0</v>
      </c>
      <c r="DC56" s="17">
        <v>0</v>
      </c>
      <c r="DD56" s="15">
        <v>0</v>
      </c>
      <c r="DE56" s="15">
        <v>0</v>
      </c>
      <c r="DF56" s="17">
        <v>0</v>
      </c>
      <c r="DG56" s="15">
        <v>0</v>
      </c>
      <c r="DH56" s="15">
        <v>0</v>
      </c>
      <c r="DI56" s="17">
        <v>0</v>
      </c>
      <c r="DJ56" s="15">
        <v>0</v>
      </c>
      <c r="DK56" s="15">
        <v>0</v>
      </c>
      <c r="DL56" s="17">
        <v>0</v>
      </c>
      <c r="DM56" s="15">
        <v>0</v>
      </c>
      <c r="DN56" s="15">
        <v>0</v>
      </c>
      <c r="DO56" s="17">
        <v>0</v>
      </c>
      <c r="DP56" s="15">
        <v>0</v>
      </c>
      <c r="DQ56" s="15">
        <v>0</v>
      </c>
      <c r="DR56" s="17">
        <v>0</v>
      </c>
      <c r="DS56" s="15">
        <v>0</v>
      </c>
      <c r="DT56" s="15">
        <v>0</v>
      </c>
      <c r="DU56" s="17">
        <v>0</v>
      </c>
      <c r="DV56" s="15">
        <v>0</v>
      </c>
      <c r="DW56" s="15">
        <v>0</v>
      </c>
      <c r="DX56" s="17">
        <v>0</v>
      </c>
      <c r="DY56" s="15">
        <v>0</v>
      </c>
      <c r="DZ56" s="15">
        <v>0</v>
      </c>
      <c r="EA56" s="17">
        <v>0</v>
      </c>
      <c r="EB56" s="15">
        <v>0</v>
      </c>
      <c r="EC56" s="15">
        <v>0</v>
      </c>
      <c r="ED56" s="17">
        <v>0</v>
      </c>
      <c r="EE56" s="15">
        <v>0</v>
      </c>
      <c r="EF56" s="15">
        <v>0</v>
      </c>
      <c r="EG56" s="17">
        <v>0</v>
      </c>
      <c r="EH56" s="15">
        <v>0</v>
      </c>
      <c r="EI56" s="15">
        <v>0</v>
      </c>
      <c r="EJ56" s="17">
        <v>0</v>
      </c>
      <c r="EK56" s="15">
        <v>0</v>
      </c>
      <c r="EL56" s="15">
        <v>0</v>
      </c>
      <c r="EM56" s="17">
        <v>0</v>
      </c>
      <c r="EN56" s="654" t="s">
        <v>953</v>
      </c>
      <c r="EO56" s="531"/>
      <c r="EP56" s="531"/>
      <c r="EQ56" s="531"/>
      <c r="ER56" s="531"/>
      <c r="ES56" s="531"/>
      <c r="ET56" s="531"/>
      <c r="EU56" s="390" t="s">
        <v>954</v>
      </c>
    </row>
    <row r="57" spans="1:151" ht="12.75">
      <c r="A57" s="93">
        <v>43888</v>
      </c>
      <c r="B57" s="84">
        <f t="shared" ref="B57:D57" si="53">SUM(I57,AA57,AD57,AG57,AJ57,AM57,BB57,BE57,BW57,CL57,CO57,CX57,DA57,DJ57,EE57,)</f>
        <v>71</v>
      </c>
      <c r="C57" s="41">
        <f t="shared" si="53"/>
        <v>0</v>
      </c>
      <c r="D57" s="125">
        <f t="shared" si="53"/>
        <v>12</v>
      </c>
      <c r="E57" s="16">
        <f t="shared" si="2"/>
        <v>59</v>
      </c>
      <c r="F57" s="18">
        <v>0</v>
      </c>
      <c r="G57" s="18">
        <v>0</v>
      </c>
      <c r="H57" s="317">
        <v>0</v>
      </c>
      <c r="I57" s="18">
        <v>0</v>
      </c>
      <c r="J57" s="18">
        <v>0</v>
      </c>
      <c r="K57" s="317">
        <v>0</v>
      </c>
      <c r="L57" s="18">
        <v>0</v>
      </c>
      <c r="M57" s="18">
        <v>0</v>
      </c>
      <c r="N57" s="317">
        <v>0</v>
      </c>
      <c r="O57" s="18">
        <v>0</v>
      </c>
      <c r="P57" s="18">
        <v>0</v>
      </c>
      <c r="Q57" s="317">
        <v>0</v>
      </c>
      <c r="R57" s="18">
        <v>0</v>
      </c>
      <c r="S57" s="18">
        <v>0</v>
      </c>
      <c r="T57" s="317">
        <v>0</v>
      </c>
      <c r="U57" s="18">
        <v>0</v>
      </c>
      <c r="V57" s="18">
        <v>0</v>
      </c>
      <c r="W57" s="317">
        <v>0</v>
      </c>
      <c r="X57" s="18">
        <v>0</v>
      </c>
      <c r="Y57" s="18">
        <v>0</v>
      </c>
      <c r="Z57" s="317">
        <v>0</v>
      </c>
      <c r="AA57" s="105">
        <v>1</v>
      </c>
      <c r="AB57" s="18">
        <v>0</v>
      </c>
      <c r="AC57" s="317">
        <v>0</v>
      </c>
      <c r="AD57" s="105">
        <v>11</v>
      </c>
      <c r="AE57" s="18">
        <v>0</v>
      </c>
      <c r="AF57" s="150">
        <v>6</v>
      </c>
      <c r="AG57" s="18">
        <v>0</v>
      </c>
      <c r="AH57" s="18">
        <v>0</v>
      </c>
      <c r="AI57" s="317">
        <v>0</v>
      </c>
      <c r="AJ57" s="18">
        <v>0</v>
      </c>
      <c r="AK57" s="18">
        <v>0</v>
      </c>
      <c r="AL57" s="317">
        <v>0</v>
      </c>
      <c r="AM57" s="18">
        <v>0</v>
      </c>
      <c r="AN57" s="18">
        <v>0</v>
      </c>
      <c r="AO57" s="317">
        <v>0</v>
      </c>
      <c r="AP57" s="18">
        <v>0</v>
      </c>
      <c r="AQ57" s="18">
        <v>0</v>
      </c>
      <c r="AR57" s="317">
        <v>0</v>
      </c>
      <c r="AS57" s="18">
        <v>0</v>
      </c>
      <c r="AT57" s="18">
        <v>0</v>
      </c>
      <c r="AU57" s="317">
        <v>0</v>
      </c>
      <c r="AV57" s="18">
        <v>0</v>
      </c>
      <c r="AW57" s="18">
        <v>0</v>
      </c>
      <c r="AX57" s="317">
        <v>0</v>
      </c>
      <c r="AY57" s="18">
        <v>0</v>
      </c>
      <c r="AZ57" s="18">
        <v>0</v>
      </c>
      <c r="BA57" s="317">
        <v>0</v>
      </c>
      <c r="BB57" s="18">
        <v>0</v>
      </c>
      <c r="BC57" s="18">
        <v>0</v>
      </c>
      <c r="BD57" s="317">
        <v>0</v>
      </c>
      <c r="BE57" s="105">
        <v>59</v>
      </c>
      <c r="BF57" s="18">
        <v>0</v>
      </c>
      <c r="BG57" s="150">
        <v>6</v>
      </c>
      <c r="BH57" s="18">
        <v>0</v>
      </c>
      <c r="BI57" s="18">
        <v>0</v>
      </c>
      <c r="BJ57" s="317">
        <v>0</v>
      </c>
      <c r="BK57" s="18">
        <v>0</v>
      </c>
      <c r="BL57" s="18">
        <v>0</v>
      </c>
      <c r="BM57" s="317">
        <v>0</v>
      </c>
      <c r="BN57" s="18">
        <v>0</v>
      </c>
      <c r="BO57" s="18">
        <v>0</v>
      </c>
      <c r="BP57" s="317">
        <v>0</v>
      </c>
      <c r="BQ57" s="18">
        <v>0</v>
      </c>
      <c r="BR57" s="18">
        <v>0</v>
      </c>
      <c r="BS57" s="317">
        <v>0</v>
      </c>
      <c r="BT57" s="18">
        <v>0</v>
      </c>
      <c r="BU57" s="18">
        <v>0</v>
      </c>
      <c r="BV57" s="317">
        <v>0</v>
      </c>
      <c r="BW57" s="18">
        <v>0</v>
      </c>
      <c r="BX57" s="18">
        <v>0</v>
      </c>
      <c r="BY57" s="317">
        <v>0</v>
      </c>
      <c r="BZ57" s="18">
        <v>0</v>
      </c>
      <c r="CA57" s="18">
        <v>0</v>
      </c>
      <c r="CB57" s="317">
        <v>0</v>
      </c>
      <c r="CC57" s="18">
        <v>0</v>
      </c>
      <c r="CD57" s="18">
        <v>0</v>
      </c>
      <c r="CE57" s="317">
        <v>0</v>
      </c>
      <c r="CF57" s="18">
        <v>0</v>
      </c>
      <c r="CG57" s="18">
        <v>0</v>
      </c>
      <c r="CH57" s="317">
        <v>0</v>
      </c>
      <c r="CI57" s="18">
        <v>0</v>
      </c>
      <c r="CJ57" s="18">
        <v>0</v>
      </c>
      <c r="CK57" s="317">
        <v>0</v>
      </c>
      <c r="CL57" s="18">
        <v>0</v>
      </c>
      <c r="CM57" s="18">
        <v>0</v>
      </c>
      <c r="CN57" s="317">
        <v>0</v>
      </c>
      <c r="CO57" s="18">
        <v>0</v>
      </c>
      <c r="CP57" s="18">
        <v>0</v>
      </c>
      <c r="CQ57" s="317">
        <v>0</v>
      </c>
      <c r="CR57" s="18">
        <v>0</v>
      </c>
      <c r="CS57" s="18">
        <v>0</v>
      </c>
      <c r="CT57" s="317">
        <v>0</v>
      </c>
      <c r="CU57" s="18">
        <v>0</v>
      </c>
      <c r="CV57" s="18">
        <v>0</v>
      </c>
      <c r="CW57" s="317">
        <v>0</v>
      </c>
      <c r="CX57" s="18">
        <v>0</v>
      </c>
      <c r="CY57" s="18">
        <v>0</v>
      </c>
      <c r="CZ57" s="317">
        <v>0</v>
      </c>
      <c r="DA57" s="18">
        <v>0</v>
      </c>
      <c r="DB57" s="18">
        <v>0</v>
      </c>
      <c r="DC57" s="317">
        <v>0</v>
      </c>
      <c r="DD57" s="18">
        <v>0</v>
      </c>
      <c r="DE57" s="18">
        <v>0</v>
      </c>
      <c r="DF57" s="317">
        <v>0</v>
      </c>
      <c r="DG57" s="18">
        <v>0</v>
      </c>
      <c r="DH57" s="18">
        <v>0</v>
      </c>
      <c r="DI57" s="317">
        <v>0</v>
      </c>
      <c r="DJ57" s="18">
        <v>0</v>
      </c>
      <c r="DK57" s="18">
        <v>0</v>
      </c>
      <c r="DL57" s="317">
        <v>0</v>
      </c>
      <c r="DM57" s="18">
        <v>0</v>
      </c>
      <c r="DN57" s="18">
        <v>0</v>
      </c>
      <c r="DO57" s="317">
        <v>0</v>
      </c>
      <c r="DP57" s="18">
        <v>0</v>
      </c>
      <c r="DQ57" s="18">
        <v>0</v>
      </c>
      <c r="DR57" s="317">
        <v>0</v>
      </c>
      <c r="DS57" s="18">
        <v>0</v>
      </c>
      <c r="DT57" s="18">
        <v>0</v>
      </c>
      <c r="DU57" s="317">
        <v>0</v>
      </c>
      <c r="DV57" s="18">
        <v>0</v>
      </c>
      <c r="DW57" s="18">
        <v>0</v>
      </c>
      <c r="DX57" s="317">
        <v>0</v>
      </c>
      <c r="DY57" s="18">
        <v>0</v>
      </c>
      <c r="DZ57" s="18">
        <v>0</v>
      </c>
      <c r="EA57" s="317">
        <v>0</v>
      </c>
      <c r="EB57" s="18">
        <v>0</v>
      </c>
      <c r="EC57" s="18">
        <v>0</v>
      </c>
      <c r="ED57" s="317">
        <v>0</v>
      </c>
      <c r="EE57" s="18">
        <v>0</v>
      </c>
      <c r="EF57" s="18">
        <v>0</v>
      </c>
      <c r="EG57" s="317">
        <v>0</v>
      </c>
      <c r="EH57" s="18">
        <v>0</v>
      </c>
      <c r="EI57" s="18">
        <v>0</v>
      </c>
      <c r="EJ57" s="317">
        <v>0</v>
      </c>
      <c r="EK57" s="18">
        <v>0</v>
      </c>
      <c r="EL57" s="18">
        <v>0</v>
      </c>
      <c r="EM57" s="317">
        <v>0</v>
      </c>
      <c r="EN57" s="640"/>
      <c r="EO57" s="531"/>
      <c r="EP57" s="531"/>
      <c r="EQ57" s="531"/>
      <c r="ER57" s="531"/>
      <c r="ES57" s="531"/>
      <c r="ET57" s="531"/>
      <c r="EU57" s="339"/>
    </row>
    <row r="58" spans="1:151" ht="12.75">
      <c r="A58" s="93">
        <v>43889</v>
      </c>
      <c r="B58" s="84">
        <f t="shared" ref="B58:D58" si="54">SUM(I58,AA58,AD58,AG58,AJ58,AM58,BB58,BE58,BW58,CL58,CO58,CX58,DA58,DJ58,EE58,)</f>
        <v>79</v>
      </c>
      <c r="C58" s="41">
        <f t="shared" si="54"/>
        <v>0</v>
      </c>
      <c r="D58" s="125">
        <f t="shared" si="54"/>
        <v>12</v>
      </c>
      <c r="E58" s="16">
        <f t="shared" si="2"/>
        <v>67</v>
      </c>
      <c r="F58" s="15">
        <v>0</v>
      </c>
      <c r="G58" s="18">
        <v>0</v>
      </c>
      <c r="H58" s="317">
        <v>0</v>
      </c>
      <c r="I58" s="15">
        <v>0</v>
      </c>
      <c r="J58" s="18">
        <v>0</v>
      </c>
      <c r="K58" s="317">
        <v>0</v>
      </c>
      <c r="L58" s="15">
        <v>0</v>
      </c>
      <c r="M58" s="18">
        <v>0</v>
      </c>
      <c r="N58" s="317">
        <v>0</v>
      </c>
      <c r="O58" s="15">
        <v>0</v>
      </c>
      <c r="P58" s="18">
        <v>0</v>
      </c>
      <c r="Q58" s="317">
        <v>0</v>
      </c>
      <c r="R58" s="15">
        <v>0</v>
      </c>
      <c r="S58" s="18">
        <v>0</v>
      </c>
      <c r="T58" s="317">
        <v>0</v>
      </c>
      <c r="U58" s="15">
        <v>0</v>
      </c>
      <c r="V58" s="18">
        <v>0</v>
      </c>
      <c r="W58" s="317">
        <v>0</v>
      </c>
      <c r="X58" s="15">
        <v>0</v>
      </c>
      <c r="Y58" s="18">
        <v>0</v>
      </c>
      <c r="Z58" s="317">
        <v>0</v>
      </c>
      <c r="AA58" s="105">
        <v>1</v>
      </c>
      <c r="AB58" s="18">
        <v>0</v>
      </c>
      <c r="AC58" s="317">
        <v>0</v>
      </c>
      <c r="AD58" s="105">
        <v>14</v>
      </c>
      <c r="AE58" s="18">
        <v>0</v>
      </c>
      <c r="AF58" s="150">
        <v>6</v>
      </c>
      <c r="AG58" s="15">
        <v>0</v>
      </c>
      <c r="AH58" s="18">
        <v>0</v>
      </c>
      <c r="AI58" s="317">
        <v>0</v>
      </c>
      <c r="AJ58" s="15">
        <v>0</v>
      </c>
      <c r="AK58" s="18">
        <v>0</v>
      </c>
      <c r="AL58" s="317">
        <v>0</v>
      </c>
      <c r="AM58" s="15">
        <v>0</v>
      </c>
      <c r="AN58" s="18">
        <v>0</v>
      </c>
      <c r="AO58" s="317">
        <v>0</v>
      </c>
      <c r="AP58" s="15">
        <v>0</v>
      </c>
      <c r="AQ58" s="18">
        <v>0</v>
      </c>
      <c r="AR58" s="317">
        <v>0</v>
      </c>
      <c r="AS58" s="15">
        <v>0</v>
      </c>
      <c r="AT58" s="18">
        <v>0</v>
      </c>
      <c r="AU58" s="317">
        <v>0</v>
      </c>
      <c r="AV58" s="15">
        <v>0</v>
      </c>
      <c r="AW58" s="18">
        <v>0</v>
      </c>
      <c r="AX58" s="317">
        <v>0</v>
      </c>
      <c r="AY58" s="15">
        <v>0</v>
      </c>
      <c r="AZ58" s="18">
        <v>0</v>
      </c>
      <c r="BA58" s="317">
        <v>0</v>
      </c>
      <c r="BB58" s="15">
        <v>0</v>
      </c>
      <c r="BC58" s="15">
        <v>0</v>
      </c>
      <c r="BD58" s="17">
        <v>0</v>
      </c>
      <c r="BE58" s="105">
        <v>62</v>
      </c>
      <c r="BF58" s="18">
        <v>0</v>
      </c>
      <c r="BG58" s="150">
        <v>6</v>
      </c>
      <c r="BH58" s="15">
        <v>0</v>
      </c>
      <c r="BI58" s="18">
        <v>0</v>
      </c>
      <c r="BJ58" s="317">
        <v>0</v>
      </c>
      <c r="BK58" s="15">
        <v>0</v>
      </c>
      <c r="BL58" s="18">
        <v>0</v>
      </c>
      <c r="BM58" s="317">
        <v>0</v>
      </c>
      <c r="BN58" s="15">
        <v>0</v>
      </c>
      <c r="BO58" s="18">
        <v>0</v>
      </c>
      <c r="BP58" s="317">
        <v>0</v>
      </c>
      <c r="BQ58" s="15">
        <v>0</v>
      </c>
      <c r="BR58" s="18">
        <v>0</v>
      </c>
      <c r="BS58" s="317">
        <v>0</v>
      </c>
      <c r="BT58" s="15">
        <v>0</v>
      </c>
      <c r="BU58" s="18">
        <v>0</v>
      </c>
      <c r="BV58" s="317">
        <v>0</v>
      </c>
      <c r="BW58" s="15">
        <v>0</v>
      </c>
      <c r="BX58" s="18">
        <v>0</v>
      </c>
      <c r="BY58" s="317">
        <v>0</v>
      </c>
      <c r="BZ58" s="15">
        <v>0</v>
      </c>
      <c r="CA58" s="18">
        <v>0</v>
      </c>
      <c r="CB58" s="317">
        <v>0</v>
      </c>
      <c r="CC58" s="15">
        <v>0</v>
      </c>
      <c r="CD58" s="18">
        <v>0</v>
      </c>
      <c r="CE58" s="317">
        <v>0</v>
      </c>
      <c r="CF58" s="15">
        <v>0</v>
      </c>
      <c r="CG58" s="18">
        <v>0</v>
      </c>
      <c r="CH58" s="317">
        <v>0</v>
      </c>
      <c r="CI58" s="15">
        <v>0</v>
      </c>
      <c r="CJ58" s="18">
        <v>0</v>
      </c>
      <c r="CK58" s="317">
        <v>0</v>
      </c>
      <c r="CL58" s="15">
        <v>0</v>
      </c>
      <c r="CM58" s="18">
        <v>0</v>
      </c>
      <c r="CN58" s="317">
        <v>0</v>
      </c>
      <c r="CO58" s="105">
        <v>2</v>
      </c>
      <c r="CP58" s="18">
        <v>0</v>
      </c>
      <c r="CQ58" s="317">
        <v>0</v>
      </c>
      <c r="CR58" s="15">
        <v>0</v>
      </c>
      <c r="CS58" s="18">
        <v>0</v>
      </c>
      <c r="CT58" s="317">
        <v>0</v>
      </c>
      <c r="CU58" s="15">
        <v>0</v>
      </c>
      <c r="CV58" s="18">
        <v>0</v>
      </c>
      <c r="CW58" s="317">
        <v>0</v>
      </c>
      <c r="CX58" s="15">
        <v>0</v>
      </c>
      <c r="CY58" s="18">
        <v>0</v>
      </c>
      <c r="CZ58" s="317">
        <v>0</v>
      </c>
      <c r="DA58" s="15">
        <v>0</v>
      </c>
      <c r="DB58" s="18">
        <v>0</v>
      </c>
      <c r="DC58" s="317">
        <v>0</v>
      </c>
      <c r="DD58" s="18">
        <v>0</v>
      </c>
      <c r="DE58" s="18">
        <v>0</v>
      </c>
      <c r="DF58" s="317">
        <v>0</v>
      </c>
      <c r="DG58" s="18">
        <v>0</v>
      </c>
      <c r="DH58" s="18">
        <v>0</v>
      </c>
      <c r="DI58" s="317">
        <v>0</v>
      </c>
      <c r="DJ58" s="18">
        <v>0</v>
      </c>
      <c r="DK58" s="18">
        <v>0</v>
      </c>
      <c r="DL58" s="317">
        <v>0</v>
      </c>
      <c r="DM58" s="18">
        <v>0</v>
      </c>
      <c r="DN58" s="18">
        <v>0</v>
      </c>
      <c r="DO58" s="317">
        <v>0</v>
      </c>
      <c r="DP58" s="18">
        <v>0</v>
      </c>
      <c r="DQ58" s="18">
        <v>0</v>
      </c>
      <c r="DR58" s="317">
        <v>0</v>
      </c>
      <c r="DS58" s="18">
        <v>0</v>
      </c>
      <c r="DT58" s="18">
        <v>0</v>
      </c>
      <c r="DU58" s="317">
        <v>0</v>
      </c>
      <c r="DV58" s="18">
        <v>0</v>
      </c>
      <c r="DW58" s="18">
        <v>0</v>
      </c>
      <c r="DX58" s="317">
        <v>0</v>
      </c>
      <c r="DY58" s="18">
        <v>0</v>
      </c>
      <c r="DZ58" s="18">
        <v>0</v>
      </c>
      <c r="EA58" s="317">
        <v>0</v>
      </c>
      <c r="EB58" s="15">
        <v>0</v>
      </c>
      <c r="EC58" s="18">
        <v>0</v>
      </c>
      <c r="ED58" s="317">
        <v>0</v>
      </c>
      <c r="EE58" s="18">
        <v>0</v>
      </c>
      <c r="EF58" s="18">
        <v>0</v>
      </c>
      <c r="EG58" s="317">
        <v>0</v>
      </c>
      <c r="EH58" s="18">
        <v>0</v>
      </c>
      <c r="EI58" s="18">
        <v>0</v>
      </c>
      <c r="EJ58" s="317">
        <v>0</v>
      </c>
      <c r="EK58" s="18">
        <v>0</v>
      </c>
      <c r="EL58" s="18">
        <v>0</v>
      </c>
      <c r="EM58" s="317">
        <v>0</v>
      </c>
      <c r="EN58" s="646" t="s">
        <v>958</v>
      </c>
      <c r="EO58" s="531"/>
      <c r="EP58" s="531"/>
      <c r="EQ58" s="531"/>
      <c r="ER58" s="531"/>
      <c r="ES58" s="531"/>
      <c r="ET58" s="531"/>
      <c r="EU58" s="77" t="s">
        <v>224</v>
      </c>
    </row>
    <row r="59" spans="1:151" ht="12.75">
      <c r="A59" s="81">
        <v>43890</v>
      </c>
      <c r="B59" s="89">
        <f t="shared" ref="B59:D59" si="55">SUM(I59,AA59,AD59,AG59,AJ59,AM59,BB59,BE59,BW59,CL59,CO59,CX59,DA59,DJ59,EE59,)</f>
        <v>93</v>
      </c>
      <c r="C59" s="156">
        <f t="shared" si="55"/>
        <v>1</v>
      </c>
      <c r="D59" s="157">
        <f t="shared" si="55"/>
        <v>13</v>
      </c>
      <c r="E59" s="23">
        <f t="shared" si="2"/>
        <v>79</v>
      </c>
      <c r="F59" s="27">
        <v>0</v>
      </c>
      <c r="G59" s="27">
        <v>0</v>
      </c>
      <c r="H59" s="354">
        <v>0</v>
      </c>
      <c r="I59" s="27">
        <v>0</v>
      </c>
      <c r="J59" s="27">
        <v>0</v>
      </c>
      <c r="K59" s="354">
        <v>0</v>
      </c>
      <c r="L59" s="27">
        <v>0</v>
      </c>
      <c r="M59" s="27">
        <v>0</v>
      </c>
      <c r="N59" s="354">
        <v>0</v>
      </c>
      <c r="O59" s="27">
        <v>0</v>
      </c>
      <c r="P59" s="27">
        <v>0</v>
      </c>
      <c r="Q59" s="354">
        <v>0</v>
      </c>
      <c r="R59" s="27">
        <v>0</v>
      </c>
      <c r="S59" s="27">
        <v>0</v>
      </c>
      <c r="T59" s="354">
        <v>0</v>
      </c>
      <c r="U59" s="27">
        <v>0</v>
      </c>
      <c r="V59" s="27">
        <v>0</v>
      </c>
      <c r="W59" s="354">
        <v>0</v>
      </c>
      <c r="X59" s="27">
        <v>0</v>
      </c>
      <c r="Y59" s="27">
        <v>0</v>
      </c>
      <c r="Z59" s="354">
        <v>0</v>
      </c>
      <c r="AA59" s="116">
        <v>2</v>
      </c>
      <c r="AB59" s="27">
        <v>0</v>
      </c>
      <c r="AC59" s="354">
        <v>0</v>
      </c>
      <c r="AD59" s="116">
        <v>19</v>
      </c>
      <c r="AE59" s="27">
        <v>0</v>
      </c>
      <c r="AF59" s="162">
        <v>6</v>
      </c>
      <c r="AG59" s="27">
        <v>0</v>
      </c>
      <c r="AH59" s="27">
        <v>0</v>
      </c>
      <c r="AI59" s="354">
        <v>0</v>
      </c>
      <c r="AJ59" s="27">
        <v>0</v>
      </c>
      <c r="AK59" s="27">
        <v>0</v>
      </c>
      <c r="AL59" s="354">
        <v>0</v>
      </c>
      <c r="AM59" s="27">
        <v>0</v>
      </c>
      <c r="AN59" s="27">
        <v>0</v>
      </c>
      <c r="AO59" s="354">
        <v>0</v>
      </c>
      <c r="AP59" s="27">
        <v>0</v>
      </c>
      <c r="AQ59" s="27">
        <v>0</v>
      </c>
      <c r="AR59" s="354">
        <v>0</v>
      </c>
      <c r="AS59" s="27">
        <v>0</v>
      </c>
      <c r="AT59" s="27">
        <v>0</v>
      </c>
      <c r="AU59" s="354">
        <v>0</v>
      </c>
      <c r="AV59" s="27">
        <v>0</v>
      </c>
      <c r="AW59" s="27">
        <v>0</v>
      </c>
      <c r="AX59" s="354">
        <v>0</v>
      </c>
      <c r="AY59" s="27">
        <v>0</v>
      </c>
      <c r="AZ59" s="27">
        <v>0</v>
      </c>
      <c r="BA59" s="354">
        <v>0</v>
      </c>
      <c r="BB59" s="116">
        <v>1</v>
      </c>
      <c r="BC59" s="27">
        <v>0</v>
      </c>
      <c r="BD59" s="354">
        <v>0</v>
      </c>
      <c r="BE59" s="116">
        <v>68</v>
      </c>
      <c r="BF59" s="163">
        <v>1</v>
      </c>
      <c r="BG59" s="162">
        <v>7</v>
      </c>
      <c r="BH59" s="27">
        <v>0</v>
      </c>
      <c r="BI59" s="27">
        <v>0</v>
      </c>
      <c r="BJ59" s="354">
        <v>0</v>
      </c>
      <c r="BK59" s="27">
        <v>0</v>
      </c>
      <c r="BL59" s="27">
        <v>0</v>
      </c>
      <c r="BM59" s="354">
        <v>0</v>
      </c>
      <c r="BN59" s="27">
        <v>0</v>
      </c>
      <c r="BO59" s="27">
        <v>0</v>
      </c>
      <c r="BP59" s="354">
        <v>0</v>
      </c>
      <c r="BQ59" s="27">
        <v>0</v>
      </c>
      <c r="BR59" s="27">
        <v>0</v>
      </c>
      <c r="BS59" s="354">
        <v>0</v>
      </c>
      <c r="BT59" s="27">
        <v>0</v>
      </c>
      <c r="BU59" s="27">
        <v>0</v>
      </c>
      <c r="BV59" s="354">
        <v>0</v>
      </c>
      <c r="BW59" s="27">
        <v>0</v>
      </c>
      <c r="BX59" s="27">
        <v>0</v>
      </c>
      <c r="BY59" s="354">
        <v>0</v>
      </c>
      <c r="BZ59" s="27">
        <v>0</v>
      </c>
      <c r="CA59" s="27">
        <v>0</v>
      </c>
      <c r="CB59" s="354">
        <v>0</v>
      </c>
      <c r="CC59" s="27">
        <v>0</v>
      </c>
      <c r="CD59" s="27">
        <v>0</v>
      </c>
      <c r="CE59" s="354">
        <v>0</v>
      </c>
      <c r="CF59" s="27">
        <v>0</v>
      </c>
      <c r="CG59" s="27">
        <v>0</v>
      </c>
      <c r="CH59" s="354">
        <v>0</v>
      </c>
      <c r="CI59" s="27">
        <v>0</v>
      </c>
      <c r="CJ59" s="27">
        <v>0</v>
      </c>
      <c r="CK59" s="354">
        <v>0</v>
      </c>
      <c r="CL59" s="27">
        <v>0</v>
      </c>
      <c r="CM59" s="27">
        <v>0</v>
      </c>
      <c r="CN59" s="354">
        <v>0</v>
      </c>
      <c r="CO59" s="116">
        <v>3</v>
      </c>
      <c r="CP59" s="27">
        <v>0</v>
      </c>
      <c r="CQ59" s="354">
        <v>0</v>
      </c>
      <c r="CR59" s="27">
        <v>0</v>
      </c>
      <c r="CS59" s="27">
        <v>0</v>
      </c>
      <c r="CT59" s="354">
        <v>0</v>
      </c>
      <c r="CU59" s="27">
        <v>0</v>
      </c>
      <c r="CV59" s="27">
        <v>0</v>
      </c>
      <c r="CW59" s="354">
        <v>0</v>
      </c>
      <c r="CX59" s="27">
        <v>0</v>
      </c>
      <c r="CY59" s="27">
        <v>0</v>
      </c>
      <c r="CZ59" s="354">
        <v>0</v>
      </c>
      <c r="DA59" s="27">
        <v>0</v>
      </c>
      <c r="DB59" s="27">
        <v>0</v>
      </c>
      <c r="DC59" s="354">
        <v>0</v>
      </c>
      <c r="DD59" s="27">
        <v>0</v>
      </c>
      <c r="DE59" s="27">
        <v>0</v>
      </c>
      <c r="DF59" s="354">
        <v>0</v>
      </c>
      <c r="DG59" s="27">
        <v>0</v>
      </c>
      <c r="DH59" s="27">
        <v>0</v>
      </c>
      <c r="DI59" s="354">
        <v>0</v>
      </c>
      <c r="DJ59" s="27">
        <v>0</v>
      </c>
      <c r="DK59" s="27">
        <v>0</v>
      </c>
      <c r="DL59" s="354">
        <v>0</v>
      </c>
      <c r="DM59" s="27">
        <v>0</v>
      </c>
      <c r="DN59" s="27">
        <v>0</v>
      </c>
      <c r="DO59" s="354">
        <v>0</v>
      </c>
      <c r="DP59" s="27">
        <v>0</v>
      </c>
      <c r="DQ59" s="27">
        <v>0</v>
      </c>
      <c r="DR59" s="354">
        <v>0</v>
      </c>
      <c r="DS59" s="27">
        <v>0</v>
      </c>
      <c r="DT59" s="27">
        <v>0</v>
      </c>
      <c r="DU59" s="354">
        <v>0</v>
      </c>
      <c r="DV59" s="27">
        <v>0</v>
      </c>
      <c r="DW59" s="27">
        <v>0</v>
      </c>
      <c r="DX59" s="354">
        <v>0</v>
      </c>
      <c r="DY59" s="27">
        <v>0</v>
      </c>
      <c r="DZ59" s="27">
        <v>0</v>
      </c>
      <c r="EA59" s="354">
        <v>0</v>
      </c>
      <c r="EB59" s="27">
        <v>0</v>
      </c>
      <c r="EC59" s="27">
        <v>0</v>
      </c>
      <c r="ED59" s="354">
        <v>0</v>
      </c>
      <c r="EE59" s="27">
        <v>0</v>
      </c>
      <c r="EF59" s="27">
        <v>0</v>
      </c>
      <c r="EG59" s="354">
        <v>0</v>
      </c>
      <c r="EH59" s="27">
        <v>0</v>
      </c>
      <c r="EI59" s="27">
        <v>0</v>
      </c>
      <c r="EJ59" s="354">
        <v>0</v>
      </c>
      <c r="EK59" s="27">
        <v>0</v>
      </c>
      <c r="EL59" s="27">
        <v>0</v>
      </c>
      <c r="EM59" s="354">
        <v>0</v>
      </c>
      <c r="EN59" s="648" t="s">
        <v>961</v>
      </c>
      <c r="EO59" s="639"/>
      <c r="EP59" s="639"/>
      <c r="EQ59" s="639"/>
      <c r="ER59" s="639"/>
      <c r="ES59" s="639"/>
      <c r="ET59" s="639"/>
      <c r="EU59" s="67" t="s">
        <v>962</v>
      </c>
    </row>
    <row r="60" spans="1:151" ht="12.75">
      <c r="A60" s="93">
        <v>43891</v>
      </c>
      <c r="B60" s="84">
        <f t="shared" ref="B60:D60" si="56">SUM(I60,AA60,AD60,AG60,AJ60,AM60,BB60,BE60,BW60,CL60,CO60,CX60,DA60,DJ60,EE60,)</f>
        <v>103</v>
      </c>
      <c r="C60" s="124">
        <f t="shared" si="56"/>
        <v>1</v>
      </c>
      <c r="D60" s="125">
        <f t="shared" si="56"/>
        <v>13</v>
      </c>
      <c r="E60" s="16">
        <f t="shared" si="2"/>
        <v>89</v>
      </c>
      <c r="F60" s="18">
        <v>0</v>
      </c>
      <c r="G60" s="18">
        <v>0</v>
      </c>
      <c r="H60" s="317">
        <v>0</v>
      </c>
      <c r="I60" s="18">
        <v>0</v>
      </c>
      <c r="J60" s="18">
        <v>0</v>
      </c>
      <c r="K60" s="317">
        <v>0</v>
      </c>
      <c r="L60" s="18">
        <v>0</v>
      </c>
      <c r="M60" s="18">
        <v>0</v>
      </c>
      <c r="N60" s="317">
        <v>0</v>
      </c>
      <c r="O60" s="18">
        <v>0</v>
      </c>
      <c r="P60" s="18">
        <v>0</v>
      </c>
      <c r="Q60" s="317">
        <v>0</v>
      </c>
      <c r="R60" s="18">
        <v>0</v>
      </c>
      <c r="S60" s="18">
        <v>0</v>
      </c>
      <c r="T60" s="317">
        <v>0</v>
      </c>
      <c r="U60" s="18">
        <v>0</v>
      </c>
      <c r="V60" s="18">
        <v>0</v>
      </c>
      <c r="W60" s="317">
        <v>0</v>
      </c>
      <c r="X60" s="18">
        <v>0</v>
      </c>
      <c r="Y60" s="18">
        <v>0</v>
      </c>
      <c r="Z60" s="317">
        <v>0</v>
      </c>
      <c r="AA60" s="105">
        <v>2</v>
      </c>
      <c r="AB60" s="18">
        <v>0</v>
      </c>
      <c r="AC60" s="317">
        <v>0</v>
      </c>
      <c r="AD60" s="105">
        <v>20</v>
      </c>
      <c r="AE60" s="18">
        <v>0</v>
      </c>
      <c r="AF60" s="150">
        <v>6</v>
      </c>
      <c r="AG60" s="18">
        <v>0</v>
      </c>
      <c r="AH60" s="18">
        <v>0</v>
      </c>
      <c r="AI60" s="317">
        <v>0</v>
      </c>
      <c r="AJ60" s="18">
        <v>0</v>
      </c>
      <c r="AK60" s="18">
        <v>0</v>
      </c>
      <c r="AL60" s="317">
        <v>0</v>
      </c>
      <c r="AM60" s="18">
        <v>0</v>
      </c>
      <c r="AN60" s="18">
        <v>0</v>
      </c>
      <c r="AO60" s="317">
        <v>0</v>
      </c>
      <c r="AP60" s="18">
        <v>0</v>
      </c>
      <c r="AQ60" s="18">
        <v>0</v>
      </c>
      <c r="AR60" s="317">
        <v>0</v>
      </c>
      <c r="AS60" s="18">
        <v>0</v>
      </c>
      <c r="AT60" s="18">
        <v>0</v>
      </c>
      <c r="AU60" s="317">
        <v>0</v>
      </c>
      <c r="AV60" s="18">
        <v>0</v>
      </c>
      <c r="AW60" s="18">
        <v>0</v>
      </c>
      <c r="AX60" s="317">
        <v>0</v>
      </c>
      <c r="AY60" s="18">
        <v>0</v>
      </c>
      <c r="AZ60" s="18">
        <v>0</v>
      </c>
      <c r="BA60" s="317">
        <v>0</v>
      </c>
      <c r="BB60" s="105">
        <v>1</v>
      </c>
      <c r="BC60" s="18">
        <v>0</v>
      </c>
      <c r="BD60" s="317">
        <v>0</v>
      </c>
      <c r="BE60" s="105">
        <v>76</v>
      </c>
      <c r="BF60" s="139">
        <v>1</v>
      </c>
      <c r="BG60" s="150">
        <v>7</v>
      </c>
      <c r="BH60" s="18">
        <v>0</v>
      </c>
      <c r="BI60" s="18">
        <v>0</v>
      </c>
      <c r="BJ60" s="317">
        <v>0</v>
      </c>
      <c r="BK60" s="18">
        <v>0</v>
      </c>
      <c r="BL60" s="18">
        <v>0</v>
      </c>
      <c r="BM60" s="317">
        <v>0</v>
      </c>
      <c r="BN60" s="18">
        <v>0</v>
      </c>
      <c r="BO60" s="18">
        <v>0</v>
      </c>
      <c r="BP60" s="317">
        <v>0</v>
      </c>
      <c r="BQ60" s="18">
        <v>0</v>
      </c>
      <c r="BR60" s="18">
        <v>0</v>
      </c>
      <c r="BS60" s="317">
        <v>0</v>
      </c>
      <c r="BT60" s="18">
        <v>0</v>
      </c>
      <c r="BU60" s="18">
        <v>0</v>
      </c>
      <c r="BV60" s="317">
        <v>0</v>
      </c>
      <c r="BW60" s="18">
        <v>0</v>
      </c>
      <c r="BX60" s="18">
        <v>0</v>
      </c>
      <c r="BY60" s="317">
        <v>0</v>
      </c>
      <c r="BZ60" s="18">
        <v>0</v>
      </c>
      <c r="CA60" s="18">
        <v>0</v>
      </c>
      <c r="CB60" s="317">
        <v>0</v>
      </c>
      <c r="CC60" s="18">
        <v>0</v>
      </c>
      <c r="CD60" s="18">
        <v>0</v>
      </c>
      <c r="CE60" s="317">
        <v>0</v>
      </c>
      <c r="CF60" s="18">
        <v>0</v>
      </c>
      <c r="CG60" s="18">
        <v>0</v>
      </c>
      <c r="CH60" s="317">
        <v>0</v>
      </c>
      <c r="CI60" s="18">
        <v>0</v>
      </c>
      <c r="CJ60" s="18">
        <v>0</v>
      </c>
      <c r="CK60" s="317">
        <v>0</v>
      </c>
      <c r="CL60" s="18">
        <v>0</v>
      </c>
      <c r="CM60" s="18">
        <v>0</v>
      </c>
      <c r="CN60" s="317">
        <v>0</v>
      </c>
      <c r="CO60" s="105">
        <v>4</v>
      </c>
      <c r="CP60" s="18">
        <v>0</v>
      </c>
      <c r="CQ60" s="317">
        <v>0</v>
      </c>
      <c r="CR60" s="18">
        <v>0</v>
      </c>
      <c r="CS60" s="18">
        <v>0</v>
      </c>
      <c r="CT60" s="317">
        <v>0</v>
      </c>
      <c r="CU60" s="18">
        <v>0</v>
      </c>
      <c r="CV60" s="18">
        <v>0</v>
      </c>
      <c r="CW60" s="317">
        <v>0</v>
      </c>
      <c r="CX60" s="18">
        <v>0</v>
      </c>
      <c r="CY60" s="18">
        <v>0</v>
      </c>
      <c r="CZ60" s="317">
        <v>0</v>
      </c>
      <c r="DA60" s="18">
        <v>0</v>
      </c>
      <c r="DB60" s="18">
        <v>0</v>
      </c>
      <c r="DC60" s="317">
        <v>0</v>
      </c>
      <c r="DD60" s="18">
        <v>0</v>
      </c>
      <c r="DE60" s="18">
        <v>0</v>
      </c>
      <c r="DF60" s="317">
        <v>0</v>
      </c>
      <c r="DG60" s="105">
        <v>1</v>
      </c>
      <c r="DH60" s="18">
        <v>0</v>
      </c>
      <c r="DI60" s="317">
        <v>0</v>
      </c>
      <c r="DJ60" s="18">
        <v>0</v>
      </c>
      <c r="DK60" s="18">
        <v>0</v>
      </c>
      <c r="DL60" s="317">
        <v>0</v>
      </c>
      <c r="DM60" s="18">
        <v>0</v>
      </c>
      <c r="DN60" s="18">
        <v>0</v>
      </c>
      <c r="DO60" s="317">
        <v>0</v>
      </c>
      <c r="DP60" s="18">
        <v>0</v>
      </c>
      <c r="DQ60" s="18">
        <v>0</v>
      </c>
      <c r="DR60" s="317">
        <v>0</v>
      </c>
      <c r="DS60" s="18">
        <v>0</v>
      </c>
      <c r="DT60" s="18">
        <v>0</v>
      </c>
      <c r="DU60" s="317">
        <v>0</v>
      </c>
      <c r="DV60" s="18">
        <v>0</v>
      </c>
      <c r="DW60" s="18">
        <v>0</v>
      </c>
      <c r="DX60" s="317">
        <v>0</v>
      </c>
      <c r="DY60" s="18">
        <v>0</v>
      </c>
      <c r="DZ60" s="18">
        <v>0</v>
      </c>
      <c r="EA60" s="317">
        <v>0</v>
      </c>
      <c r="EB60" s="18">
        <v>0</v>
      </c>
      <c r="EC60" s="18">
        <v>0</v>
      </c>
      <c r="ED60" s="317">
        <v>0</v>
      </c>
      <c r="EE60" s="18">
        <v>0</v>
      </c>
      <c r="EF60" s="18">
        <v>0</v>
      </c>
      <c r="EG60" s="317">
        <v>0</v>
      </c>
      <c r="EH60" s="18">
        <v>0</v>
      </c>
      <c r="EI60" s="18">
        <v>0</v>
      </c>
      <c r="EJ60" s="317">
        <v>0</v>
      </c>
      <c r="EK60" s="18">
        <v>0</v>
      </c>
      <c r="EL60" s="18">
        <v>0</v>
      </c>
      <c r="EM60" s="317">
        <v>0</v>
      </c>
      <c r="EN60" s="646" t="s">
        <v>965</v>
      </c>
      <c r="EO60" s="531"/>
      <c r="EP60" s="531"/>
      <c r="EQ60" s="531"/>
      <c r="ER60" s="531"/>
      <c r="ES60" s="531"/>
      <c r="ET60" s="531"/>
      <c r="EU60" s="57" t="s">
        <v>966</v>
      </c>
    </row>
    <row r="61" spans="1:151" ht="12.75">
      <c r="A61" s="93">
        <v>43892</v>
      </c>
      <c r="B61" s="84">
        <f t="shared" ref="B61:D61" si="57">SUM(I61,AA61,AD61,AG61,AJ61,AM61,BB61,BE61,BW61,CL61,CO61,CX61,DA61,DJ61,EE61,)</f>
        <v>140</v>
      </c>
      <c r="C61" s="124">
        <f t="shared" si="57"/>
        <v>6</v>
      </c>
      <c r="D61" s="125">
        <f t="shared" si="57"/>
        <v>13</v>
      </c>
      <c r="E61" s="16">
        <f t="shared" si="2"/>
        <v>121</v>
      </c>
      <c r="F61" s="18">
        <v>0</v>
      </c>
      <c r="G61" s="18">
        <v>0</v>
      </c>
      <c r="H61" s="317">
        <v>0</v>
      </c>
      <c r="I61" s="18">
        <v>0</v>
      </c>
      <c r="J61" s="18">
        <v>0</v>
      </c>
      <c r="K61" s="317">
        <v>0</v>
      </c>
      <c r="L61" s="18">
        <v>0</v>
      </c>
      <c r="M61" s="18">
        <v>0</v>
      </c>
      <c r="N61" s="317">
        <v>0</v>
      </c>
      <c r="O61" s="18">
        <v>0</v>
      </c>
      <c r="P61" s="18">
        <v>0</v>
      </c>
      <c r="Q61" s="317">
        <v>0</v>
      </c>
      <c r="R61" s="18">
        <v>0</v>
      </c>
      <c r="S61" s="18">
        <v>0</v>
      </c>
      <c r="T61" s="317">
        <v>0</v>
      </c>
      <c r="U61" s="18">
        <v>0</v>
      </c>
      <c r="V61" s="18">
        <v>0</v>
      </c>
      <c r="W61" s="317">
        <v>0</v>
      </c>
      <c r="X61" s="18">
        <v>0</v>
      </c>
      <c r="Y61" s="18">
        <v>0</v>
      </c>
      <c r="Z61" s="317">
        <v>0</v>
      </c>
      <c r="AA61" s="105">
        <v>2</v>
      </c>
      <c r="AB61" s="18">
        <v>0</v>
      </c>
      <c r="AC61" s="317">
        <v>0</v>
      </c>
      <c r="AD61" s="105">
        <v>27</v>
      </c>
      <c r="AE61" s="18">
        <v>0</v>
      </c>
      <c r="AF61" s="150">
        <v>6</v>
      </c>
      <c r="AG61" s="18">
        <v>0</v>
      </c>
      <c r="AH61" s="18">
        <v>0</v>
      </c>
      <c r="AI61" s="317">
        <v>0</v>
      </c>
      <c r="AJ61" s="18">
        <v>0</v>
      </c>
      <c r="AK61" s="18">
        <v>0</v>
      </c>
      <c r="AL61" s="317">
        <v>0</v>
      </c>
      <c r="AM61" s="18">
        <v>0</v>
      </c>
      <c r="AN61" s="18">
        <v>0</v>
      </c>
      <c r="AO61" s="317">
        <v>0</v>
      </c>
      <c r="AP61" s="18">
        <v>0</v>
      </c>
      <c r="AQ61" s="18">
        <v>0</v>
      </c>
      <c r="AR61" s="317">
        <v>0</v>
      </c>
      <c r="AS61" s="18">
        <v>0</v>
      </c>
      <c r="AT61" s="18">
        <v>0</v>
      </c>
      <c r="AU61" s="317">
        <v>0</v>
      </c>
      <c r="AV61" s="18">
        <v>0</v>
      </c>
      <c r="AW61" s="18">
        <v>0</v>
      </c>
      <c r="AX61" s="317">
        <v>0</v>
      </c>
      <c r="AY61" s="18">
        <v>0</v>
      </c>
      <c r="AZ61" s="18">
        <v>0</v>
      </c>
      <c r="BA61" s="317">
        <v>0</v>
      </c>
      <c r="BB61" s="105">
        <v>6</v>
      </c>
      <c r="BC61" s="18">
        <v>0</v>
      </c>
      <c r="BD61" s="317">
        <v>0</v>
      </c>
      <c r="BE61" s="105">
        <v>100</v>
      </c>
      <c r="BF61" s="139">
        <v>6</v>
      </c>
      <c r="BG61" s="150">
        <v>7</v>
      </c>
      <c r="BH61" s="18">
        <v>0</v>
      </c>
      <c r="BI61" s="18">
        <v>0</v>
      </c>
      <c r="BJ61" s="317">
        <v>0</v>
      </c>
      <c r="BK61" s="18">
        <v>0</v>
      </c>
      <c r="BL61" s="18">
        <v>0</v>
      </c>
      <c r="BM61" s="317">
        <v>0</v>
      </c>
      <c r="BN61" s="18">
        <v>0</v>
      </c>
      <c r="BO61" s="18">
        <v>0</v>
      </c>
      <c r="BP61" s="317">
        <v>0</v>
      </c>
      <c r="BQ61" s="18">
        <v>0</v>
      </c>
      <c r="BR61" s="18">
        <v>0</v>
      </c>
      <c r="BS61" s="317">
        <v>0</v>
      </c>
      <c r="BT61" s="18">
        <v>0</v>
      </c>
      <c r="BU61" s="18">
        <v>0</v>
      </c>
      <c r="BV61" s="317">
        <v>0</v>
      </c>
      <c r="BW61" s="18">
        <v>0</v>
      </c>
      <c r="BX61" s="18">
        <v>0</v>
      </c>
      <c r="BY61" s="317">
        <v>0</v>
      </c>
      <c r="BZ61" s="18">
        <v>0</v>
      </c>
      <c r="CA61" s="18">
        <v>0</v>
      </c>
      <c r="CB61" s="317">
        <v>0</v>
      </c>
      <c r="CC61" s="18">
        <v>0</v>
      </c>
      <c r="CD61" s="18">
        <v>0</v>
      </c>
      <c r="CE61" s="317">
        <v>0</v>
      </c>
      <c r="CF61" s="18">
        <v>0</v>
      </c>
      <c r="CG61" s="18">
        <v>0</v>
      </c>
      <c r="CH61" s="317">
        <v>0</v>
      </c>
      <c r="CI61" s="18">
        <v>0</v>
      </c>
      <c r="CJ61" s="18">
        <v>0</v>
      </c>
      <c r="CK61" s="317">
        <v>0</v>
      </c>
      <c r="CL61" s="18">
        <v>0</v>
      </c>
      <c r="CM61" s="18">
        <v>0</v>
      </c>
      <c r="CN61" s="317">
        <v>0</v>
      </c>
      <c r="CO61" s="105">
        <v>5</v>
      </c>
      <c r="CP61" s="18">
        <v>0</v>
      </c>
      <c r="CQ61" s="317">
        <v>0</v>
      </c>
      <c r="CR61" s="18">
        <v>0</v>
      </c>
      <c r="CS61" s="18">
        <v>0</v>
      </c>
      <c r="CT61" s="317">
        <v>0</v>
      </c>
      <c r="CU61" s="18">
        <v>0</v>
      </c>
      <c r="CV61" s="18">
        <v>0</v>
      </c>
      <c r="CW61" s="317">
        <v>0</v>
      </c>
      <c r="CX61" s="18">
        <v>0</v>
      </c>
      <c r="CY61" s="18">
        <v>0</v>
      </c>
      <c r="CZ61" s="317">
        <v>0</v>
      </c>
      <c r="DA61" s="18">
        <v>0</v>
      </c>
      <c r="DB61" s="18">
        <v>0</v>
      </c>
      <c r="DC61" s="317">
        <v>0</v>
      </c>
      <c r="DD61" s="18">
        <v>0</v>
      </c>
      <c r="DE61" s="18">
        <v>0</v>
      </c>
      <c r="DF61" s="317">
        <v>0</v>
      </c>
      <c r="DG61" s="105">
        <v>1</v>
      </c>
      <c r="DH61" s="18">
        <v>0</v>
      </c>
      <c r="DI61" s="317">
        <v>0</v>
      </c>
      <c r="DJ61" s="18">
        <v>0</v>
      </c>
      <c r="DK61" s="18">
        <v>0</v>
      </c>
      <c r="DL61" s="317">
        <v>0</v>
      </c>
      <c r="DM61" s="18">
        <v>0</v>
      </c>
      <c r="DN61" s="18">
        <v>0</v>
      </c>
      <c r="DO61" s="317">
        <v>0</v>
      </c>
      <c r="DP61" s="18">
        <v>0</v>
      </c>
      <c r="DQ61" s="18">
        <v>0</v>
      </c>
      <c r="DR61" s="317">
        <v>0</v>
      </c>
      <c r="DS61" s="18">
        <v>0</v>
      </c>
      <c r="DT61" s="18">
        <v>0</v>
      </c>
      <c r="DU61" s="317">
        <v>0</v>
      </c>
      <c r="DV61" s="18">
        <v>0</v>
      </c>
      <c r="DW61" s="18">
        <v>0</v>
      </c>
      <c r="DX61" s="317">
        <v>0</v>
      </c>
      <c r="DY61" s="18">
        <v>0</v>
      </c>
      <c r="DZ61" s="18">
        <v>0</v>
      </c>
      <c r="EA61" s="317">
        <v>0</v>
      </c>
      <c r="EB61" s="18">
        <v>0</v>
      </c>
      <c r="EC61" s="18">
        <v>0</v>
      </c>
      <c r="ED61" s="317">
        <v>0</v>
      </c>
      <c r="EE61" s="18">
        <v>0</v>
      </c>
      <c r="EF61" s="18">
        <v>0</v>
      </c>
      <c r="EG61" s="317">
        <v>0</v>
      </c>
      <c r="EH61" s="18">
        <v>0</v>
      </c>
      <c r="EI61" s="18">
        <v>0</v>
      </c>
      <c r="EJ61" s="317">
        <v>0</v>
      </c>
      <c r="EK61" s="18">
        <v>0</v>
      </c>
      <c r="EL61" s="18">
        <v>0</v>
      </c>
      <c r="EM61" s="317">
        <v>0</v>
      </c>
      <c r="EN61" s="646"/>
      <c r="EO61" s="531"/>
      <c r="EP61" s="531"/>
      <c r="EQ61" s="531"/>
      <c r="ER61" s="531"/>
      <c r="ES61" s="531"/>
      <c r="ET61" s="531"/>
      <c r="EU61" s="64"/>
    </row>
    <row r="62" spans="1:151" ht="12.75">
      <c r="A62" s="93">
        <v>43893</v>
      </c>
      <c r="B62" s="84">
        <f t="shared" ref="B62:D62" si="58">SUM(I62,AA62,AD62,AG62,AJ62,AM62,BB62,BE62,BW62,CL62,CO62,CX62,DA62,DJ62,EE62,)</f>
        <v>163</v>
      </c>
      <c r="C62" s="124">
        <f t="shared" si="58"/>
        <v>7</v>
      </c>
      <c r="D62" s="125">
        <f t="shared" si="58"/>
        <v>15</v>
      </c>
      <c r="E62" s="16">
        <f t="shared" si="2"/>
        <v>141</v>
      </c>
      <c r="F62" s="18">
        <v>0</v>
      </c>
      <c r="G62" s="18">
        <v>0</v>
      </c>
      <c r="H62" s="317">
        <v>0</v>
      </c>
      <c r="I62" s="105">
        <v>1</v>
      </c>
      <c r="J62" s="18">
        <v>0</v>
      </c>
      <c r="K62" s="317">
        <v>0</v>
      </c>
      <c r="L62" s="18">
        <v>0</v>
      </c>
      <c r="M62" s="18">
        <v>0</v>
      </c>
      <c r="N62" s="317">
        <v>0</v>
      </c>
      <c r="O62" s="18">
        <v>0</v>
      </c>
      <c r="P62" s="18">
        <v>0</v>
      </c>
      <c r="Q62" s="317">
        <v>0</v>
      </c>
      <c r="R62" s="18">
        <v>0</v>
      </c>
      <c r="S62" s="18">
        <v>0</v>
      </c>
      <c r="T62" s="317">
        <v>0</v>
      </c>
      <c r="U62" s="18">
        <v>0</v>
      </c>
      <c r="V62" s="18">
        <v>0</v>
      </c>
      <c r="W62" s="317">
        <v>0</v>
      </c>
      <c r="X62" s="18">
        <v>0</v>
      </c>
      <c r="Y62" s="18">
        <v>0</v>
      </c>
      <c r="Z62" s="317">
        <v>0</v>
      </c>
      <c r="AA62" s="105">
        <v>2</v>
      </c>
      <c r="AB62" s="18">
        <v>0</v>
      </c>
      <c r="AC62" s="317">
        <v>0</v>
      </c>
      <c r="AD62" s="105">
        <v>29</v>
      </c>
      <c r="AE62" s="18">
        <v>0</v>
      </c>
      <c r="AF62" s="150">
        <v>6</v>
      </c>
      <c r="AG62" s="105">
        <v>1</v>
      </c>
      <c r="AH62" s="18">
        <v>0</v>
      </c>
      <c r="AI62" s="317">
        <v>0</v>
      </c>
      <c r="AJ62" s="18">
        <v>0</v>
      </c>
      <c r="AK62" s="18">
        <v>0</v>
      </c>
      <c r="AL62" s="317">
        <v>0</v>
      </c>
      <c r="AM62" s="18">
        <v>0</v>
      </c>
      <c r="AN62" s="18">
        <v>0</v>
      </c>
      <c r="AO62" s="317">
        <v>0</v>
      </c>
      <c r="AP62" s="18">
        <v>0</v>
      </c>
      <c r="AQ62" s="18">
        <v>0</v>
      </c>
      <c r="AR62" s="317">
        <v>0</v>
      </c>
      <c r="AS62" s="18">
        <v>0</v>
      </c>
      <c r="AT62" s="18">
        <v>0</v>
      </c>
      <c r="AU62" s="317">
        <v>0</v>
      </c>
      <c r="AV62" s="18">
        <v>0</v>
      </c>
      <c r="AW62" s="18">
        <v>0</v>
      </c>
      <c r="AX62" s="317">
        <v>0</v>
      </c>
      <c r="AY62" s="18">
        <v>0</v>
      </c>
      <c r="AZ62" s="18">
        <v>0</v>
      </c>
      <c r="BA62" s="317">
        <v>0</v>
      </c>
      <c r="BB62" s="105">
        <v>7</v>
      </c>
      <c r="BC62" s="18">
        <v>0</v>
      </c>
      <c r="BD62" s="317">
        <v>0</v>
      </c>
      <c r="BE62" s="105">
        <v>118</v>
      </c>
      <c r="BF62" s="139">
        <v>7</v>
      </c>
      <c r="BG62" s="150">
        <v>8</v>
      </c>
      <c r="BH62" s="18">
        <v>0</v>
      </c>
      <c r="BI62" s="18">
        <v>0</v>
      </c>
      <c r="BJ62" s="317">
        <v>0</v>
      </c>
      <c r="BK62" s="18">
        <v>0</v>
      </c>
      <c r="BL62" s="18">
        <v>0</v>
      </c>
      <c r="BM62" s="317">
        <v>0</v>
      </c>
      <c r="BN62" s="18">
        <v>0</v>
      </c>
      <c r="BO62" s="18">
        <v>0</v>
      </c>
      <c r="BP62" s="317">
        <v>0</v>
      </c>
      <c r="BQ62" s="18">
        <v>0</v>
      </c>
      <c r="BR62" s="18">
        <v>0</v>
      </c>
      <c r="BS62" s="317">
        <v>0</v>
      </c>
      <c r="BT62" s="18">
        <v>0</v>
      </c>
      <c r="BU62" s="18">
        <v>0</v>
      </c>
      <c r="BV62" s="317">
        <v>0</v>
      </c>
      <c r="BW62" s="18">
        <v>0</v>
      </c>
      <c r="BX62" s="18">
        <v>0</v>
      </c>
      <c r="BY62" s="317">
        <v>0</v>
      </c>
      <c r="BZ62" s="18">
        <v>0</v>
      </c>
      <c r="CA62" s="18">
        <v>0</v>
      </c>
      <c r="CB62" s="317">
        <v>0</v>
      </c>
      <c r="CC62" s="18">
        <v>0</v>
      </c>
      <c r="CD62" s="18">
        <v>0</v>
      </c>
      <c r="CE62" s="317">
        <v>0</v>
      </c>
      <c r="CF62" s="18">
        <v>0</v>
      </c>
      <c r="CG62" s="18">
        <v>0</v>
      </c>
      <c r="CH62" s="317">
        <v>0</v>
      </c>
      <c r="CI62" s="18">
        <v>0</v>
      </c>
      <c r="CJ62" s="18">
        <v>0</v>
      </c>
      <c r="CK62" s="317">
        <v>0</v>
      </c>
      <c r="CL62" s="18">
        <v>0</v>
      </c>
      <c r="CM62" s="18">
        <v>0</v>
      </c>
      <c r="CN62" s="317">
        <v>0</v>
      </c>
      <c r="CO62" s="105">
        <v>5</v>
      </c>
      <c r="CP62" s="18">
        <v>0</v>
      </c>
      <c r="CQ62" s="150">
        <v>1</v>
      </c>
      <c r="CR62" s="18">
        <v>0</v>
      </c>
      <c r="CS62" s="18">
        <v>0</v>
      </c>
      <c r="CT62" s="317">
        <v>0</v>
      </c>
      <c r="CU62" s="18">
        <v>0</v>
      </c>
      <c r="CV62" s="18">
        <v>0</v>
      </c>
      <c r="CW62" s="317">
        <v>0</v>
      </c>
      <c r="CX62" s="18">
        <v>0</v>
      </c>
      <c r="CY62" s="18">
        <v>0</v>
      </c>
      <c r="CZ62" s="317">
        <v>0</v>
      </c>
      <c r="DA62" s="18">
        <v>0</v>
      </c>
      <c r="DB62" s="18">
        <v>0</v>
      </c>
      <c r="DC62" s="317">
        <v>0</v>
      </c>
      <c r="DD62" s="18">
        <v>0</v>
      </c>
      <c r="DE62" s="18">
        <v>0</v>
      </c>
      <c r="DF62" s="317">
        <v>0</v>
      </c>
      <c r="DG62" s="105">
        <v>1</v>
      </c>
      <c r="DH62" s="18">
        <v>0</v>
      </c>
      <c r="DI62" s="317">
        <v>0</v>
      </c>
      <c r="DJ62" s="18">
        <v>0</v>
      </c>
      <c r="DK62" s="18">
        <v>0</v>
      </c>
      <c r="DL62" s="317">
        <v>0</v>
      </c>
      <c r="DM62" s="18">
        <v>0</v>
      </c>
      <c r="DN62" s="18">
        <v>0</v>
      </c>
      <c r="DO62" s="317">
        <v>0</v>
      </c>
      <c r="DP62" s="18">
        <v>0</v>
      </c>
      <c r="DQ62" s="18">
        <v>0</v>
      </c>
      <c r="DR62" s="317">
        <v>0</v>
      </c>
      <c r="DS62" s="18">
        <v>0</v>
      </c>
      <c r="DT62" s="18">
        <v>0</v>
      </c>
      <c r="DU62" s="317">
        <v>0</v>
      </c>
      <c r="DV62" s="18">
        <v>0</v>
      </c>
      <c r="DW62" s="18">
        <v>0</v>
      </c>
      <c r="DX62" s="317">
        <v>0</v>
      </c>
      <c r="DY62" s="18">
        <v>0</v>
      </c>
      <c r="DZ62" s="18">
        <v>0</v>
      </c>
      <c r="EA62" s="317">
        <v>0</v>
      </c>
      <c r="EB62" s="18">
        <v>0</v>
      </c>
      <c r="EC62" s="18">
        <v>0</v>
      </c>
      <c r="ED62" s="317">
        <v>0</v>
      </c>
      <c r="EE62" s="18">
        <v>0</v>
      </c>
      <c r="EF62" s="18">
        <v>0</v>
      </c>
      <c r="EG62" s="317">
        <v>0</v>
      </c>
      <c r="EH62" s="18">
        <v>0</v>
      </c>
      <c r="EI62" s="18">
        <v>0</v>
      </c>
      <c r="EJ62" s="317">
        <v>0</v>
      </c>
      <c r="EK62" s="18">
        <v>0</v>
      </c>
      <c r="EL62" s="18">
        <v>0</v>
      </c>
      <c r="EM62" s="317">
        <v>0</v>
      </c>
      <c r="EN62" s="646" t="s">
        <v>971</v>
      </c>
      <c r="EO62" s="531"/>
      <c r="EP62" s="531"/>
      <c r="EQ62" s="531"/>
      <c r="ER62" s="531"/>
      <c r="ES62" s="531"/>
      <c r="ET62" s="531"/>
      <c r="EU62" s="64"/>
    </row>
    <row r="63" spans="1:151" ht="12.75">
      <c r="A63" s="93">
        <v>43894</v>
      </c>
      <c r="B63" s="84">
        <f t="shared" ref="B63:D63" si="59">SUM(I63,AA63,AD63,AG63,AJ63,AM63,BB63,BE63,BW63,CL63,CO63,CX63,DA63,DJ63,EE63,)</f>
        <v>208</v>
      </c>
      <c r="C63" s="124">
        <f t="shared" si="59"/>
        <v>11</v>
      </c>
      <c r="D63" s="125">
        <f t="shared" si="59"/>
        <v>15</v>
      </c>
      <c r="E63" s="16">
        <f t="shared" si="2"/>
        <v>182</v>
      </c>
      <c r="F63" s="18">
        <v>0</v>
      </c>
      <c r="G63" s="18">
        <v>0</v>
      </c>
      <c r="H63" s="317">
        <v>0</v>
      </c>
      <c r="I63" s="105">
        <v>1</v>
      </c>
      <c r="J63" s="18">
        <v>0</v>
      </c>
      <c r="K63" s="317">
        <v>0</v>
      </c>
      <c r="L63" s="18">
        <v>0</v>
      </c>
      <c r="M63" s="18">
        <v>0</v>
      </c>
      <c r="N63" s="317">
        <v>0</v>
      </c>
      <c r="O63" s="18">
        <v>0</v>
      </c>
      <c r="P63" s="18">
        <v>0</v>
      </c>
      <c r="Q63" s="317">
        <v>0</v>
      </c>
      <c r="R63" s="18">
        <v>0</v>
      </c>
      <c r="S63" s="18">
        <v>0</v>
      </c>
      <c r="T63" s="317">
        <v>0</v>
      </c>
      <c r="U63" s="18">
        <v>0</v>
      </c>
      <c r="V63" s="18">
        <v>0</v>
      </c>
      <c r="W63" s="317">
        <v>0</v>
      </c>
      <c r="X63" s="18">
        <v>0</v>
      </c>
      <c r="Y63" s="18">
        <v>0</v>
      </c>
      <c r="Z63" s="317">
        <v>0</v>
      </c>
      <c r="AA63" s="105">
        <v>4</v>
      </c>
      <c r="AB63" s="18">
        <v>0</v>
      </c>
      <c r="AC63" s="317">
        <v>0</v>
      </c>
      <c r="AD63" s="105">
        <v>33</v>
      </c>
      <c r="AE63" s="18">
        <v>0</v>
      </c>
      <c r="AF63" s="150">
        <v>6</v>
      </c>
      <c r="AG63" s="105">
        <v>1</v>
      </c>
      <c r="AH63" s="18">
        <v>0</v>
      </c>
      <c r="AI63" s="317">
        <v>0</v>
      </c>
      <c r="AJ63" s="18">
        <v>0</v>
      </c>
      <c r="AK63" s="18">
        <v>0</v>
      </c>
      <c r="AL63" s="317">
        <v>0</v>
      </c>
      <c r="AM63" s="18">
        <v>0</v>
      </c>
      <c r="AN63" s="18">
        <v>0</v>
      </c>
      <c r="AO63" s="317">
        <v>0</v>
      </c>
      <c r="AP63" s="18">
        <v>0</v>
      </c>
      <c r="AQ63" s="18">
        <v>0</v>
      </c>
      <c r="AR63" s="317">
        <v>0</v>
      </c>
      <c r="AS63" s="18">
        <v>0</v>
      </c>
      <c r="AT63" s="18">
        <v>0</v>
      </c>
      <c r="AU63" s="317">
        <v>0</v>
      </c>
      <c r="AV63" s="18">
        <v>0</v>
      </c>
      <c r="AW63" s="18">
        <v>0</v>
      </c>
      <c r="AX63" s="317">
        <v>0</v>
      </c>
      <c r="AY63" s="18">
        <v>0</v>
      </c>
      <c r="AZ63" s="18">
        <v>0</v>
      </c>
      <c r="BA63" s="317">
        <v>0</v>
      </c>
      <c r="BB63" s="105">
        <v>10</v>
      </c>
      <c r="BC63" s="18">
        <v>0</v>
      </c>
      <c r="BD63" s="317">
        <v>0</v>
      </c>
      <c r="BE63" s="105">
        <v>153</v>
      </c>
      <c r="BF63" s="139">
        <v>11</v>
      </c>
      <c r="BG63" s="150">
        <v>8</v>
      </c>
      <c r="BH63" s="18">
        <v>0</v>
      </c>
      <c r="BI63" s="18">
        <v>0</v>
      </c>
      <c r="BJ63" s="317">
        <v>0</v>
      </c>
      <c r="BK63" s="18">
        <v>0</v>
      </c>
      <c r="BL63" s="18">
        <v>0</v>
      </c>
      <c r="BM63" s="317">
        <v>0</v>
      </c>
      <c r="BN63" s="18">
        <v>0</v>
      </c>
      <c r="BO63" s="18">
        <v>0</v>
      </c>
      <c r="BP63" s="317">
        <v>0</v>
      </c>
      <c r="BQ63" s="18">
        <v>0</v>
      </c>
      <c r="BR63" s="18">
        <v>0</v>
      </c>
      <c r="BS63" s="317">
        <v>0</v>
      </c>
      <c r="BT63" s="18">
        <v>0</v>
      </c>
      <c r="BU63" s="18">
        <v>0</v>
      </c>
      <c r="BV63" s="317">
        <v>0</v>
      </c>
      <c r="BW63" s="18">
        <v>0</v>
      </c>
      <c r="BX63" s="18">
        <v>0</v>
      </c>
      <c r="BY63" s="317">
        <v>0</v>
      </c>
      <c r="BZ63" s="18">
        <v>0</v>
      </c>
      <c r="CA63" s="18">
        <v>0</v>
      </c>
      <c r="CB63" s="317">
        <v>0</v>
      </c>
      <c r="CC63" s="18">
        <v>0</v>
      </c>
      <c r="CD63" s="18">
        <v>0</v>
      </c>
      <c r="CE63" s="317">
        <v>0</v>
      </c>
      <c r="CF63" s="18">
        <v>0</v>
      </c>
      <c r="CG63" s="18">
        <v>0</v>
      </c>
      <c r="CH63" s="317">
        <v>0</v>
      </c>
      <c r="CI63" s="18">
        <v>0</v>
      </c>
      <c r="CJ63" s="18">
        <v>0</v>
      </c>
      <c r="CK63" s="317">
        <v>0</v>
      </c>
      <c r="CL63" s="18">
        <v>0</v>
      </c>
      <c r="CM63" s="18">
        <v>0</v>
      </c>
      <c r="CN63" s="317">
        <v>0</v>
      </c>
      <c r="CO63" s="105">
        <v>5</v>
      </c>
      <c r="CP63" s="18">
        <v>0</v>
      </c>
      <c r="CQ63" s="150">
        <v>1</v>
      </c>
      <c r="CR63" s="18">
        <v>0</v>
      </c>
      <c r="CS63" s="18">
        <v>0</v>
      </c>
      <c r="CT63" s="317">
        <v>0</v>
      </c>
      <c r="CU63" s="18">
        <v>0</v>
      </c>
      <c r="CV63" s="18">
        <v>0</v>
      </c>
      <c r="CW63" s="317">
        <v>0</v>
      </c>
      <c r="CX63" s="18">
        <v>0</v>
      </c>
      <c r="CY63" s="18">
        <v>0</v>
      </c>
      <c r="CZ63" s="317">
        <v>0</v>
      </c>
      <c r="DA63" s="18">
        <v>0</v>
      </c>
      <c r="DB63" s="18">
        <v>0</v>
      </c>
      <c r="DC63" s="317">
        <v>0</v>
      </c>
      <c r="DD63" s="18">
        <v>0</v>
      </c>
      <c r="DE63" s="18">
        <v>0</v>
      </c>
      <c r="DF63" s="317">
        <v>0</v>
      </c>
      <c r="DG63" s="105">
        <v>1</v>
      </c>
      <c r="DH63" s="18">
        <v>0</v>
      </c>
      <c r="DI63" s="317">
        <v>0</v>
      </c>
      <c r="DJ63" s="105">
        <v>1</v>
      </c>
      <c r="DK63" s="18">
        <v>0</v>
      </c>
      <c r="DL63" s="317">
        <v>0</v>
      </c>
      <c r="DM63" s="18">
        <v>0</v>
      </c>
      <c r="DN63" s="18">
        <v>0</v>
      </c>
      <c r="DO63" s="317">
        <v>0</v>
      </c>
      <c r="DP63" s="18">
        <v>0</v>
      </c>
      <c r="DQ63" s="18">
        <v>0</v>
      </c>
      <c r="DR63" s="317">
        <v>0</v>
      </c>
      <c r="DS63" s="18">
        <v>0</v>
      </c>
      <c r="DT63" s="18">
        <v>0</v>
      </c>
      <c r="DU63" s="317">
        <v>0</v>
      </c>
      <c r="DV63" s="18">
        <v>0</v>
      </c>
      <c r="DW63" s="18">
        <v>0</v>
      </c>
      <c r="DX63" s="317">
        <v>0</v>
      </c>
      <c r="DY63" s="18">
        <v>0</v>
      </c>
      <c r="DZ63" s="18">
        <v>0</v>
      </c>
      <c r="EA63" s="317">
        <v>0</v>
      </c>
      <c r="EB63" s="18">
        <v>0</v>
      </c>
      <c r="EC63" s="18">
        <v>0</v>
      </c>
      <c r="ED63" s="317">
        <v>0</v>
      </c>
      <c r="EE63" s="18">
        <v>0</v>
      </c>
      <c r="EF63" s="18">
        <v>0</v>
      </c>
      <c r="EG63" s="317">
        <v>0</v>
      </c>
      <c r="EH63" s="18">
        <v>0</v>
      </c>
      <c r="EI63" s="18">
        <v>0</v>
      </c>
      <c r="EJ63" s="317">
        <v>0</v>
      </c>
      <c r="EK63" s="18">
        <v>0</v>
      </c>
      <c r="EL63" s="18">
        <v>0</v>
      </c>
      <c r="EM63" s="317">
        <v>0</v>
      </c>
      <c r="EN63" s="646" t="s">
        <v>973</v>
      </c>
      <c r="EO63" s="531"/>
      <c r="EP63" s="531"/>
      <c r="EQ63" s="531"/>
      <c r="ER63" s="531"/>
      <c r="ES63" s="531"/>
      <c r="ET63" s="531"/>
      <c r="EU63" s="64"/>
    </row>
    <row r="64" spans="1:151" ht="12.75">
      <c r="A64" s="93">
        <v>43895</v>
      </c>
      <c r="B64" s="84">
        <f t="shared" ref="B64:D64" si="60">SUM(I64,AA64,AD64,AG64,AJ64,AM64,BB64,BE64,BW64,CL64,CO64,CX64,DA64,DJ64,EE64,)</f>
        <v>286</v>
      </c>
      <c r="C64" s="124">
        <f t="shared" si="60"/>
        <v>12</v>
      </c>
      <c r="D64" s="125">
        <f t="shared" si="60"/>
        <v>15</v>
      </c>
      <c r="E64" s="16">
        <f t="shared" si="2"/>
        <v>259</v>
      </c>
      <c r="F64" s="18">
        <v>0</v>
      </c>
      <c r="G64" s="18">
        <v>0</v>
      </c>
      <c r="H64" s="317">
        <v>0</v>
      </c>
      <c r="I64" s="105">
        <v>1</v>
      </c>
      <c r="J64" s="18">
        <v>0</v>
      </c>
      <c r="K64" s="317">
        <v>0</v>
      </c>
      <c r="L64" s="18">
        <v>0</v>
      </c>
      <c r="M64" s="18">
        <v>0</v>
      </c>
      <c r="N64" s="317">
        <v>0</v>
      </c>
      <c r="O64" s="18">
        <v>0</v>
      </c>
      <c r="P64" s="18">
        <v>0</v>
      </c>
      <c r="Q64" s="317">
        <v>0</v>
      </c>
      <c r="R64" s="18">
        <v>0</v>
      </c>
      <c r="S64" s="18">
        <v>0</v>
      </c>
      <c r="T64" s="317">
        <v>0</v>
      </c>
      <c r="U64" s="18">
        <v>0</v>
      </c>
      <c r="V64" s="18">
        <v>0</v>
      </c>
      <c r="W64" s="317">
        <v>0</v>
      </c>
      <c r="X64" s="18">
        <v>0</v>
      </c>
      <c r="Y64" s="18">
        <v>0</v>
      </c>
      <c r="Z64" s="317">
        <v>0</v>
      </c>
      <c r="AA64" s="105">
        <v>4</v>
      </c>
      <c r="AB64" s="18">
        <v>0</v>
      </c>
      <c r="AC64" s="317">
        <v>0</v>
      </c>
      <c r="AD64" s="105">
        <v>37</v>
      </c>
      <c r="AE64" s="18">
        <v>0</v>
      </c>
      <c r="AF64" s="150">
        <v>6</v>
      </c>
      <c r="AG64" s="105">
        <v>4</v>
      </c>
      <c r="AH64" s="18">
        <v>0</v>
      </c>
      <c r="AI64" s="317">
        <v>0</v>
      </c>
      <c r="AJ64" s="18">
        <v>0</v>
      </c>
      <c r="AK64" s="18">
        <v>0</v>
      </c>
      <c r="AL64" s="317">
        <v>0</v>
      </c>
      <c r="AM64" s="18">
        <v>0</v>
      </c>
      <c r="AN64" s="18">
        <v>0</v>
      </c>
      <c r="AO64" s="317">
        <v>0</v>
      </c>
      <c r="AP64" s="18">
        <v>0</v>
      </c>
      <c r="AQ64" s="18">
        <v>0</v>
      </c>
      <c r="AR64" s="317">
        <v>0</v>
      </c>
      <c r="AS64" s="18">
        <v>0</v>
      </c>
      <c r="AT64" s="18">
        <v>0</v>
      </c>
      <c r="AU64" s="317">
        <v>0</v>
      </c>
      <c r="AV64" s="18">
        <v>0</v>
      </c>
      <c r="AW64" s="18">
        <v>0</v>
      </c>
      <c r="AX64" s="317">
        <v>0</v>
      </c>
      <c r="AY64" s="18">
        <v>0</v>
      </c>
      <c r="AZ64" s="18">
        <v>0</v>
      </c>
      <c r="BA64" s="317">
        <v>0</v>
      </c>
      <c r="BB64" s="105">
        <v>13</v>
      </c>
      <c r="BC64" s="18">
        <v>0</v>
      </c>
      <c r="BD64" s="317">
        <v>0</v>
      </c>
      <c r="BE64" s="105">
        <v>221</v>
      </c>
      <c r="BF64" s="139">
        <v>12</v>
      </c>
      <c r="BG64" s="150">
        <v>8</v>
      </c>
      <c r="BH64" s="18">
        <v>0</v>
      </c>
      <c r="BI64" s="18">
        <v>0</v>
      </c>
      <c r="BJ64" s="317">
        <v>0</v>
      </c>
      <c r="BK64" s="18">
        <v>0</v>
      </c>
      <c r="BL64" s="18">
        <v>0</v>
      </c>
      <c r="BM64" s="317">
        <v>0</v>
      </c>
      <c r="BN64" s="18">
        <v>0</v>
      </c>
      <c r="BO64" s="18">
        <v>0</v>
      </c>
      <c r="BP64" s="317">
        <v>0</v>
      </c>
      <c r="BQ64" s="18">
        <v>0</v>
      </c>
      <c r="BR64" s="18">
        <v>0</v>
      </c>
      <c r="BS64" s="317">
        <v>0</v>
      </c>
      <c r="BT64" s="18">
        <v>0</v>
      </c>
      <c r="BU64" s="18">
        <v>0</v>
      </c>
      <c r="BV64" s="317">
        <v>0</v>
      </c>
      <c r="BW64" s="18">
        <v>0</v>
      </c>
      <c r="BX64" s="18">
        <v>0</v>
      </c>
      <c r="BY64" s="317">
        <v>0</v>
      </c>
      <c r="BZ64" s="18">
        <v>0</v>
      </c>
      <c r="CA64" s="18">
        <v>0</v>
      </c>
      <c r="CB64" s="317">
        <v>0</v>
      </c>
      <c r="CC64" s="18">
        <v>0</v>
      </c>
      <c r="CD64" s="18">
        <v>0</v>
      </c>
      <c r="CE64" s="317">
        <v>0</v>
      </c>
      <c r="CF64" s="18">
        <v>0</v>
      </c>
      <c r="CG64" s="18">
        <v>0</v>
      </c>
      <c r="CH64" s="317">
        <v>0</v>
      </c>
      <c r="CI64" s="18">
        <v>0</v>
      </c>
      <c r="CJ64" s="18">
        <v>0</v>
      </c>
      <c r="CK64" s="317">
        <v>0</v>
      </c>
      <c r="CL64" s="18">
        <v>0</v>
      </c>
      <c r="CM64" s="18">
        <v>0</v>
      </c>
      <c r="CN64" s="317">
        <v>0</v>
      </c>
      <c r="CO64" s="105">
        <v>5</v>
      </c>
      <c r="CP64" s="18">
        <v>0</v>
      </c>
      <c r="CQ64" s="150">
        <v>1</v>
      </c>
      <c r="CR64" s="18">
        <v>0</v>
      </c>
      <c r="CS64" s="18">
        <v>0</v>
      </c>
      <c r="CT64" s="317">
        <v>0</v>
      </c>
      <c r="CU64" s="18">
        <v>0</v>
      </c>
      <c r="CV64" s="18">
        <v>0</v>
      </c>
      <c r="CW64" s="317">
        <v>0</v>
      </c>
      <c r="CX64" s="18">
        <v>0</v>
      </c>
      <c r="CY64" s="18">
        <v>0</v>
      </c>
      <c r="CZ64" s="317">
        <v>0</v>
      </c>
      <c r="DA64" s="18">
        <v>0</v>
      </c>
      <c r="DB64" s="18">
        <v>0</v>
      </c>
      <c r="DC64" s="317">
        <v>0</v>
      </c>
      <c r="DD64" s="18">
        <v>0</v>
      </c>
      <c r="DE64" s="18">
        <v>0</v>
      </c>
      <c r="DF64" s="317">
        <v>0</v>
      </c>
      <c r="DG64" s="105">
        <v>1</v>
      </c>
      <c r="DH64" s="18">
        <v>0</v>
      </c>
      <c r="DI64" s="317">
        <v>0</v>
      </c>
      <c r="DJ64" s="105">
        <v>1</v>
      </c>
      <c r="DK64" s="18">
        <v>0</v>
      </c>
      <c r="DL64" s="317">
        <v>0</v>
      </c>
      <c r="DM64" s="18">
        <v>0</v>
      </c>
      <c r="DN64" s="18">
        <v>0</v>
      </c>
      <c r="DO64" s="317">
        <v>0</v>
      </c>
      <c r="DP64" s="18">
        <v>0</v>
      </c>
      <c r="DQ64" s="18">
        <v>0</v>
      </c>
      <c r="DR64" s="317">
        <v>0</v>
      </c>
      <c r="DS64" s="18">
        <v>0</v>
      </c>
      <c r="DT64" s="18">
        <v>0</v>
      </c>
      <c r="DU64" s="317">
        <v>0</v>
      </c>
      <c r="DV64" s="18">
        <v>0</v>
      </c>
      <c r="DW64" s="18">
        <v>0</v>
      </c>
      <c r="DX64" s="317">
        <v>0</v>
      </c>
      <c r="DY64" s="18">
        <v>0</v>
      </c>
      <c r="DZ64" s="18">
        <v>0</v>
      </c>
      <c r="EA64" s="317">
        <v>0</v>
      </c>
      <c r="EB64" s="18">
        <v>0</v>
      </c>
      <c r="EC64" s="18">
        <v>0</v>
      </c>
      <c r="ED64" s="317">
        <v>0</v>
      </c>
      <c r="EE64" s="18">
        <v>0</v>
      </c>
      <c r="EF64" s="18">
        <v>0</v>
      </c>
      <c r="EG64" s="317">
        <v>0</v>
      </c>
      <c r="EH64" s="18">
        <v>0</v>
      </c>
      <c r="EI64" s="18">
        <v>0</v>
      </c>
      <c r="EJ64" s="317">
        <v>0</v>
      </c>
      <c r="EK64" s="18">
        <v>0</v>
      </c>
      <c r="EL64" s="18">
        <v>0</v>
      </c>
      <c r="EM64" s="317">
        <v>0</v>
      </c>
      <c r="EN64" s="646"/>
      <c r="EO64" s="531"/>
      <c r="EP64" s="531"/>
      <c r="EQ64" s="531"/>
      <c r="ER64" s="531"/>
      <c r="ES64" s="531"/>
      <c r="ET64" s="531"/>
      <c r="EU64" s="64"/>
    </row>
    <row r="65" spans="1:151" ht="12.75">
      <c r="A65" s="93">
        <v>43896</v>
      </c>
      <c r="B65" s="84">
        <f t="shared" ref="B65:D65" si="61">SUM(I65,AA65,AD65,AG65,AJ65,AM65,BB65,BE65,BW65,CL65,CO65,CX65,DA65,DJ65,EE65,)</f>
        <v>364</v>
      </c>
      <c r="C65" s="124">
        <f t="shared" si="61"/>
        <v>14</v>
      </c>
      <c r="D65" s="125">
        <f t="shared" si="61"/>
        <v>15</v>
      </c>
      <c r="E65" s="16">
        <f t="shared" si="2"/>
        <v>335</v>
      </c>
      <c r="F65" s="18">
        <v>0</v>
      </c>
      <c r="G65" s="18">
        <v>0</v>
      </c>
      <c r="H65" s="317">
        <v>0</v>
      </c>
      <c r="I65" s="105">
        <v>2</v>
      </c>
      <c r="J65" s="18">
        <v>0</v>
      </c>
      <c r="K65" s="317">
        <v>0</v>
      </c>
      <c r="L65" s="18">
        <v>0</v>
      </c>
      <c r="M65" s="18">
        <v>0</v>
      </c>
      <c r="N65" s="317">
        <v>0</v>
      </c>
      <c r="O65" s="18">
        <v>0</v>
      </c>
      <c r="P65" s="18">
        <v>0</v>
      </c>
      <c r="Q65" s="317">
        <v>0</v>
      </c>
      <c r="R65" s="18">
        <v>0</v>
      </c>
      <c r="S65" s="18">
        <v>0</v>
      </c>
      <c r="T65" s="317">
        <v>0</v>
      </c>
      <c r="U65" s="18">
        <v>0</v>
      </c>
      <c r="V65" s="18">
        <v>0</v>
      </c>
      <c r="W65" s="317">
        <v>0</v>
      </c>
      <c r="X65" s="18">
        <v>0</v>
      </c>
      <c r="Y65" s="18">
        <v>0</v>
      </c>
      <c r="Z65" s="317">
        <v>0</v>
      </c>
      <c r="AA65" s="105">
        <v>13</v>
      </c>
      <c r="AB65" s="18">
        <v>0</v>
      </c>
      <c r="AC65" s="317">
        <v>0</v>
      </c>
      <c r="AD65" s="105">
        <v>49</v>
      </c>
      <c r="AE65" s="18">
        <v>0</v>
      </c>
      <c r="AF65" s="150">
        <v>6</v>
      </c>
      <c r="AG65" s="105">
        <v>4</v>
      </c>
      <c r="AH65" s="18">
        <v>0</v>
      </c>
      <c r="AI65" s="317">
        <v>0</v>
      </c>
      <c r="AJ65" s="105">
        <v>1</v>
      </c>
      <c r="AK65" s="18">
        <v>0</v>
      </c>
      <c r="AL65" s="317">
        <v>0</v>
      </c>
      <c r="AM65" s="105">
        <v>1</v>
      </c>
      <c r="AN65" s="18">
        <v>0</v>
      </c>
      <c r="AO65" s="317">
        <v>0</v>
      </c>
      <c r="AP65" s="18">
        <v>0</v>
      </c>
      <c r="AQ65" s="18">
        <v>0</v>
      </c>
      <c r="AR65" s="317">
        <v>0</v>
      </c>
      <c r="AS65" s="18">
        <v>0</v>
      </c>
      <c r="AT65" s="18">
        <v>0</v>
      </c>
      <c r="AU65" s="317">
        <v>0</v>
      </c>
      <c r="AV65" s="18">
        <v>0</v>
      </c>
      <c r="AW65" s="18">
        <v>0</v>
      </c>
      <c r="AX65" s="317">
        <v>0</v>
      </c>
      <c r="AY65" s="18">
        <v>0</v>
      </c>
      <c r="AZ65" s="18">
        <v>0</v>
      </c>
      <c r="BA65" s="317">
        <v>0</v>
      </c>
      <c r="BB65" s="105">
        <v>13</v>
      </c>
      <c r="BC65" s="18">
        <v>0</v>
      </c>
      <c r="BD65" s="317">
        <v>0</v>
      </c>
      <c r="BE65" s="105">
        <v>273</v>
      </c>
      <c r="BF65" s="139">
        <v>14</v>
      </c>
      <c r="BG65" s="150">
        <v>8</v>
      </c>
      <c r="BH65" s="18">
        <v>0</v>
      </c>
      <c r="BI65" s="18">
        <v>0</v>
      </c>
      <c r="BJ65" s="317">
        <v>0</v>
      </c>
      <c r="BK65" s="18">
        <v>0</v>
      </c>
      <c r="BL65" s="18">
        <v>0</v>
      </c>
      <c r="BM65" s="317">
        <v>0</v>
      </c>
      <c r="BN65" s="18">
        <v>0</v>
      </c>
      <c r="BO65" s="18">
        <v>0</v>
      </c>
      <c r="BP65" s="317">
        <v>0</v>
      </c>
      <c r="BQ65" s="18">
        <v>0</v>
      </c>
      <c r="BR65" s="18">
        <v>0</v>
      </c>
      <c r="BS65" s="317">
        <v>0</v>
      </c>
      <c r="BT65" s="18">
        <v>0</v>
      </c>
      <c r="BU65" s="18">
        <v>0</v>
      </c>
      <c r="BV65" s="317">
        <v>0</v>
      </c>
      <c r="BW65" s="18">
        <v>0</v>
      </c>
      <c r="BX65" s="18">
        <v>0</v>
      </c>
      <c r="BY65" s="317">
        <v>0</v>
      </c>
      <c r="BZ65" s="18">
        <v>0</v>
      </c>
      <c r="CA65" s="18">
        <v>0</v>
      </c>
      <c r="CB65" s="317">
        <v>0</v>
      </c>
      <c r="CC65" s="18">
        <v>0</v>
      </c>
      <c r="CD65" s="18">
        <v>0</v>
      </c>
      <c r="CE65" s="317">
        <v>0</v>
      </c>
      <c r="CF65" s="18">
        <v>0</v>
      </c>
      <c r="CG65" s="18">
        <v>0</v>
      </c>
      <c r="CH65" s="317">
        <v>0</v>
      </c>
      <c r="CI65" s="18">
        <v>0</v>
      </c>
      <c r="CJ65" s="18">
        <v>0</v>
      </c>
      <c r="CK65" s="317">
        <v>0</v>
      </c>
      <c r="CL65" s="18">
        <v>0</v>
      </c>
      <c r="CM65" s="18">
        <v>0</v>
      </c>
      <c r="CN65" s="317">
        <v>0</v>
      </c>
      <c r="CO65" s="105">
        <v>6</v>
      </c>
      <c r="CP65" s="18">
        <v>0</v>
      </c>
      <c r="CQ65" s="150">
        <v>1</v>
      </c>
      <c r="CR65" s="18">
        <v>0</v>
      </c>
      <c r="CS65" s="18">
        <v>0</v>
      </c>
      <c r="CT65" s="317">
        <v>0</v>
      </c>
      <c r="CU65" s="18">
        <v>0</v>
      </c>
      <c r="CV65" s="18">
        <v>0</v>
      </c>
      <c r="CW65" s="317">
        <v>0</v>
      </c>
      <c r="CX65" s="18">
        <v>0</v>
      </c>
      <c r="CY65" s="18">
        <v>0</v>
      </c>
      <c r="CZ65" s="317">
        <v>0</v>
      </c>
      <c r="DA65" s="105">
        <v>1</v>
      </c>
      <c r="DB65" s="18">
        <v>0</v>
      </c>
      <c r="DC65" s="317">
        <v>0</v>
      </c>
      <c r="DD65" s="18">
        <v>0</v>
      </c>
      <c r="DE65" s="18">
        <v>0</v>
      </c>
      <c r="DF65" s="317">
        <v>0</v>
      </c>
      <c r="DG65" s="105">
        <v>2</v>
      </c>
      <c r="DH65" s="18">
        <v>0</v>
      </c>
      <c r="DI65" s="317">
        <v>0</v>
      </c>
      <c r="DJ65" s="105">
        <v>1</v>
      </c>
      <c r="DK65" s="18">
        <v>0</v>
      </c>
      <c r="DL65" s="317">
        <v>0</v>
      </c>
      <c r="DM65" s="18">
        <v>0</v>
      </c>
      <c r="DN65" s="18">
        <v>0</v>
      </c>
      <c r="DO65" s="317">
        <v>0</v>
      </c>
      <c r="DP65" s="18">
        <v>0</v>
      </c>
      <c r="DQ65" s="18">
        <v>0</v>
      </c>
      <c r="DR65" s="317">
        <v>0</v>
      </c>
      <c r="DS65" s="18">
        <v>0</v>
      </c>
      <c r="DT65" s="18">
        <v>0</v>
      </c>
      <c r="DU65" s="317">
        <v>0</v>
      </c>
      <c r="DV65" s="18">
        <v>0</v>
      </c>
      <c r="DW65" s="18">
        <v>0</v>
      </c>
      <c r="DX65" s="317">
        <v>0</v>
      </c>
      <c r="DY65" s="18">
        <v>0</v>
      </c>
      <c r="DZ65" s="18">
        <v>0</v>
      </c>
      <c r="EA65" s="317">
        <v>0</v>
      </c>
      <c r="EB65" s="18">
        <v>0</v>
      </c>
      <c r="EC65" s="18">
        <v>0</v>
      </c>
      <c r="ED65" s="317">
        <v>0</v>
      </c>
      <c r="EE65" s="18">
        <v>0</v>
      </c>
      <c r="EF65" s="18">
        <v>0</v>
      </c>
      <c r="EG65" s="317">
        <v>0</v>
      </c>
      <c r="EH65" s="18">
        <v>0</v>
      </c>
      <c r="EI65" s="18">
        <v>0</v>
      </c>
      <c r="EJ65" s="317">
        <v>0</v>
      </c>
      <c r="EK65" s="18">
        <v>0</v>
      </c>
      <c r="EL65" s="18">
        <v>0</v>
      </c>
      <c r="EM65" s="317">
        <v>0</v>
      </c>
      <c r="EN65" s="646" t="s">
        <v>978</v>
      </c>
      <c r="EO65" s="531"/>
      <c r="EP65" s="531"/>
      <c r="EQ65" s="531"/>
      <c r="ER65" s="531"/>
      <c r="ES65" s="531"/>
      <c r="ET65" s="531"/>
      <c r="EU65" s="64"/>
    </row>
    <row r="66" spans="1:151" ht="12.75">
      <c r="A66" s="93">
        <v>43897</v>
      </c>
      <c r="B66" s="14">
        <f t="shared" ref="B66:D66" si="62">SUM(I66,AA66,AD66,AG66,AJ66,AM66,BB66,BE66,BW66,CL66,CO66,CX66,DA66,DJ66,EE66,)</f>
        <v>526</v>
      </c>
      <c r="C66" s="34">
        <f t="shared" si="62"/>
        <v>17</v>
      </c>
      <c r="D66" s="73">
        <f t="shared" si="62"/>
        <v>17</v>
      </c>
      <c r="E66" s="350">
        <f t="shared" si="2"/>
        <v>492</v>
      </c>
      <c r="F66" s="18">
        <v>0</v>
      </c>
      <c r="G66" s="18">
        <v>0</v>
      </c>
      <c r="H66" s="317">
        <v>0</v>
      </c>
      <c r="I66" s="105">
        <v>8</v>
      </c>
      <c r="J66" s="18">
        <v>0</v>
      </c>
      <c r="K66" s="317">
        <v>0</v>
      </c>
      <c r="L66" s="18">
        <v>0</v>
      </c>
      <c r="M66" s="18">
        <v>0</v>
      </c>
      <c r="N66" s="317">
        <v>0</v>
      </c>
      <c r="O66" s="18">
        <v>0</v>
      </c>
      <c r="P66" s="18">
        <v>0</v>
      </c>
      <c r="Q66" s="317">
        <v>0</v>
      </c>
      <c r="R66" s="18">
        <v>0</v>
      </c>
      <c r="S66" s="18">
        <v>0</v>
      </c>
      <c r="T66" s="317">
        <v>0</v>
      </c>
      <c r="U66" s="18">
        <v>0</v>
      </c>
      <c r="V66" s="18">
        <v>0</v>
      </c>
      <c r="W66" s="317">
        <v>0</v>
      </c>
      <c r="X66" s="18">
        <v>0</v>
      </c>
      <c r="Y66" s="18">
        <v>0</v>
      </c>
      <c r="Z66" s="317">
        <v>0</v>
      </c>
      <c r="AA66" s="105">
        <v>13</v>
      </c>
      <c r="AB66" s="18">
        <v>0</v>
      </c>
      <c r="AC66" s="317">
        <v>0</v>
      </c>
      <c r="AD66" s="105">
        <v>54</v>
      </c>
      <c r="AE66" s="18">
        <v>0</v>
      </c>
      <c r="AF66" s="150">
        <v>8</v>
      </c>
      <c r="AG66" s="105">
        <v>4</v>
      </c>
      <c r="AH66" s="18">
        <v>0</v>
      </c>
      <c r="AI66" s="317">
        <v>0</v>
      </c>
      <c r="AJ66" s="105">
        <v>1</v>
      </c>
      <c r="AK66" s="18">
        <v>0</v>
      </c>
      <c r="AL66" s="317">
        <v>0</v>
      </c>
      <c r="AM66" s="105">
        <v>1</v>
      </c>
      <c r="AN66" s="18">
        <v>0</v>
      </c>
      <c r="AO66" s="317">
        <v>0</v>
      </c>
      <c r="AP66" s="18">
        <v>0</v>
      </c>
      <c r="AQ66" s="18">
        <v>0</v>
      </c>
      <c r="AR66" s="317">
        <v>0</v>
      </c>
      <c r="AS66" s="18">
        <v>0</v>
      </c>
      <c r="AT66" s="18">
        <v>0</v>
      </c>
      <c r="AU66" s="317">
        <v>0</v>
      </c>
      <c r="AV66" s="18">
        <v>0</v>
      </c>
      <c r="AW66" s="18">
        <v>0</v>
      </c>
      <c r="AX66" s="317">
        <v>0</v>
      </c>
      <c r="AY66" s="18">
        <v>0</v>
      </c>
      <c r="AZ66" s="18">
        <v>0</v>
      </c>
      <c r="BA66" s="317">
        <v>0</v>
      </c>
      <c r="BB66" s="105">
        <v>13</v>
      </c>
      <c r="BC66" s="18">
        <v>0</v>
      </c>
      <c r="BD66" s="317">
        <v>0</v>
      </c>
      <c r="BE66" s="105">
        <v>417</v>
      </c>
      <c r="BF66" s="139">
        <v>17</v>
      </c>
      <c r="BG66" s="150">
        <v>8</v>
      </c>
      <c r="BH66" s="18">
        <v>0</v>
      </c>
      <c r="BI66" s="18">
        <v>0</v>
      </c>
      <c r="BJ66" s="317">
        <v>0</v>
      </c>
      <c r="BK66" s="18">
        <v>0</v>
      </c>
      <c r="BL66" s="18">
        <v>0</v>
      </c>
      <c r="BM66" s="317">
        <v>0</v>
      </c>
      <c r="BN66" s="18">
        <v>0</v>
      </c>
      <c r="BO66" s="18">
        <v>0</v>
      </c>
      <c r="BP66" s="317">
        <v>0</v>
      </c>
      <c r="BQ66" s="18">
        <v>0</v>
      </c>
      <c r="BR66" s="18">
        <v>0</v>
      </c>
      <c r="BS66" s="317">
        <v>0</v>
      </c>
      <c r="BT66" s="18">
        <v>0</v>
      </c>
      <c r="BU66" s="18">
        <v>0</v>
      </c>
      <c r="BV66" s="317">
        <v>0</v>
      </c>
      <c r="BW66" s="105">
        <v>5</v>
      </c>
      <c r="BX66" s="18">
        <v>0</v>
      </c>
      <c r="BY66" s="317">
        <v>0</v>
      </c>
      <c r="BZ66" s="18">
        <v>0</v>
      </c>
      <c r="CA66" s="18">
        <v>0</v>
      </c>
      <c r="CB66" s="317">
        <v>0</v>
      </c>
      <c r="CC66" s="18">
        <v>0</v>
      </c>
      <c r="CD66" s="18">
        <v>0</v>
      </c>
      <c r="CE66" s="317">
        <v>0</v>
      </c>
      <c r="CF66" s="18">
        <v>0</v>
      </c>
      <c r="CG66" s="18">
        <v>0</v>
      </c>
      <c r="CH66" s="317">
        <v>0</v>
      </c>
      <c r="CI66" s="18">
        <v>0</v>
      </c>
      <c r="CJ66" s="18">
        <v>0</v>
      </c>
      <c r="CK66" s="317">
        <v>0</v>
      </c>
      <c r="CL66" s="105">
        <v>2</v>
      </c>
      <c r="CM66" s="18">
        <v>0</v>
      </c>
      <c r="CN66" s="317">
        <v>0</v>
      </c>
      <c r="CO66" s="105">
        <v>6</v>
      </c>
      <c r="CP66" s="18">
        <v>0</v>
      </c>
      <c r="CQ66" s="150">
        <v>1</v>
      </c>
      <c r="CR66" s="18">
        <v>0</v>
      </c>
      <c r="CS66" s="18">
        <v>0</v>
      </c>
      <c r="CT66" s="317">
        <v>0</v>
      </c>
      <c r="CU66" s="18">
        <v>0</v>
      </c>
      <c r="CV66" s="18">
        <v>0</v>
      </c>
      <c r="CW66" s="317">
        <v>0</v>
      </c>
      <c r="CX66" s="18">
        <v>0</v>
      </c>
      <c r="CY66" s="18">
        <v>0</v>
      </c>
      <c r="CZ66" s="317">
        <v>0</v>
      </c>
      <c r="DA66" s="105">
        <v>1</v>
      </c>
      <c r="DB66" s="18">
        <v>0</v>
      </c>
      <c r="DC66" s="317">
        <v>0</v>
      </c>
      <c r="DD66" s="18">
        <v>0</v>
      </c>
      <c r="DE66" s="18">
        <v>0</v>
      </c>
      <c r="DF66" s="317">
        <v>0</v>
      </c>
      <c r="DG66" s="105">
        <v>2</v>
      </c>
      <c r="DH66" s="18">
        <v>0</v>
      </c>
      <c r="DI66" s="317">
        <v>0</v>
      </c>
      <c r="DJ66" s="105">
        <v>1</v>
      </c>
      <c r="DK66" s="18">
        <v>0</v>
      </c>
      <c r="DL66" s="317">
        <v>0</v>
      </c>
      <c r="DM66" s="18">
        <v>0</v>
      </c>
      <c r="DN66" s="18">
        <v>0</v>
      </c>
      <c r="DO66" s="317">
        <v>0</v>
      </c>
      <c r="DP66" s="18">
        <v>0</v>
      </c>
      <c r="DQ66" s="18">
        <v>0</v>
      </c>
      <c r="DR66" s="317">
        <v>0</v>
      </c>
      <c r="DS66" s="18">
        <v>0</v>
      </c>
      <c r="DT66" s="18">
        <v>0</v>
      </c>
      <c r="DU66" s="317">
        <v>0</v>
      </c>
      <c r="DV66" s="18">
        <v>0</v>
      </c>
      <c r="DW66" s="18">
        <v>0</v>
      </c>
      <c r="DX66" s="317">
        <v>0</v>
      </c>
      <c r="DY66" s="18">
        <v>0</v>
      </c>
      <c r="DZ66" s="18">
        <v>0</v>
      </c>
      <c r="EA66" s="317">
        <v>0</v>
      </c>
      <c r="EB66" s="18">
        <v>0</v>
      </c>
      <c r="EC66" s="18">
        <v>0</v>
      </c>
      <c r="ED66" s="317">
        <v>0</v>
      </c>
      <c r="EE66" s="18">
        <v>0</v>
      </c>
      <c r="EF66" s="18">
        <v>0</v>
      </c>
      <c r="EG66" s="317">
        <v>0</v>
      </c>
      <c r="EH66" s="18">
        <v>0</v>
      </c>
      <c r="EI66" s="18">
        <v>0</v>
      </c>
      <c r="EJ66" s="317">
        <v>0</v>
      </c>
      <c r="EK66" s="18">
        <v>0</v>
      </c>
      <c r="EL66" s="18">
        <v>0</v>
      </c>
      <c r="EM66" s="317">
        <v>0</v>
      </c>
      <c r="EN66" s="646" t="s">
        <v>979</v>
      </c>
      <c r="EO66" s="531"/>
      <c r="EP66" s="531"/>
      <c r="EQ66" s="531"/>
      <c r="ER66" s="531"/>
      <c r="ES66" s="531"/>
      <c r="ET66" s="531"/>
      <c r="EU66" s="64"/>
    </row>
    <row r="67" spans="1:151" ht="12.75">
      <c r="A67" s="93">
        <v>43898</v>
      </c>
      <c r="B67" s="14">
        <f t="shared" ref="B67:D67" si="63">SUM(I67,AA67,AD67,AG67,AJ67,AM67,BB67,BE67,BW67,CL67,CO67,CX67,DA67,DJ67,EE67,)</f>
        <v>677</v>
      </c>
      <c r="C67" s="34">
        <f t="shared" si="63"/>
        <v>22</v>
      </c>
      <c r="D67" s="73">
        <f t="shared" si="63"/>
        <v>17</v>
      </c>
      <c r="E67" s="350">
        <f t="shared" si="2"/>
        <v>638</v>
      </c>
      <c r="F67" s="18">
        <v>0</v>
      </c>
      <c r="G67" s="18">
        <v>0</v>
      </c>
      <c r="H67" s="317">
        <v>0</v>
      </c>
      <c r="I67" s="105">
        <v>9</v>
      </c>
      <c r="J67" s="139">
        <v>1</v>
      </c>
      <c r="K67" s="317">
        <v>0</v>
      </c>
      <c r="L67" s="18">
        <v>0</v>
      </c>
      <c r="M67" s="18">
        <v>0</v>
      </c>
      <c r="N67" s="317">
        <v>0</v>
      </c>
      <c r="O67" s="18">
        <v>0</v>
      </c>
      <c r="P67" s="18">
        <v>0</v>
      </c>
      <c r="Q67" s="317">
        <v>0</v>
      </c>
      <c r="R67" s="18">
        <v>0</v>
      </c>
      <c r="S67" s="18">
        <v>0</v>
      </c>
      <c r="T67" s="317">
        <v>0</v>
      </c>
      <c r="U67" s="18">
        <v>0</v>
      </c>
      <c r="V67" s="18">
        <v>0</v>
      </c>
      <c r="W67" s="317">
        <v>0</v>
      </c>
      <c r="X67" s="18">
        <v>0</v>
      </c>
      <c r="Y67" s="18">
        <v>0</v>
      </c>
      <c r="Z67" s="317">
        <v>0</v>
      </c>
      <c r="AA67" s="105">
        <v>20</v>
      </c>
      <c r="AB67" s="18">
        <v>0</v>
      </c>
      <c r="AC67" s="317">
        <v>0</v>
      </c>
      <c r="AD67" s="105">
        <v>64</v>
      </c>
      <c r="AE67" s="18">
        <v>0</v>
      </c>
      <c r="AF67" s="150">
        <v>8</v>
      </c>
      <c r="AG67" s="105">
        <v>8</v>
      </c>
      <c r="AH67" s="18">
        <v>0</v>
      </c>
      <c r="AI67" s="317">
        <v>0</v>
      </c>
      <c r="AJ67" s="105">
        <v>1</v>
      </c>
      <c r="AK67" s="18">
        <v>0</v>
      </c>
      <c r="AL67" s="317">
        <v>0</v>
      </c>
      <c r="AM67" s="105">
        <v>5</v>
      </c>
      <c r="AN67" s="18">
        <v>0</v>
      </c>
      <c r="AO67" s="317">
        <v>0</v>
      </c>
      <c r="AP67" s="18">
        <v>0</v>
      </c>
      <c r="AQ67" s="18">
        <v>0</v>
      </c>
      <c r="AR67" s="317">
        <v>0</v>
      </c>
      <c r="AS67" s="18">
        <v>0</v>
      </c>
      <c r="AT67" s="18">
        <v>0</v>
      </c>
      <c r="AU67" s="317">
        <v>0</v>
      </c>
      <c r="AV67" s="18">
        <v>0</v>
      </c>
      <c r="AW67" s="18">
        <v>0</v>
      </c>
      <c r="AX67" s="317">
        <v>0</v>
      </c>
      <c r="AY67" s="18">
        <v>0</v>
      </c>
      <c r="AZ67" s="18">
        <v>0</v>
      </c>
      <c r="BA67" s="317">
        <v>0</v>
      </c>
      <c r="BB67" s="105">
        <v>14</v>
      </c>
      <c r="BC67" s="18">
        <v>0</v>
      </c>
      <c r="BD67" s="317">
        <v>0</v>
      </c>
      <c r="BE67" s="105">
        <v>534</v>
      </c>
      <c r="BF67" s="139">
        <v>21</v>
      </c>
      <c r="BG67" s="150">
        <v>8</v>
      </c>
      <c r="BH67" s="18">
        <v>0</v>
      </c>
      <c r="BI67" s="18">
        <v>0</v>
      </c>
      <c r="BJ67" s="317">
        <v>0</v>
      </c>
      <c r="BK67" s="18">
        <v>0</v>
      </c>
      <c r="BL67" s="18">
        <v>0</v>
      </c>
      <c r="BM67" s="317">
        <v>0</v>
      </c>
      <c r="BN67" s="18">
        <v>0</v>
      </c>
      <c r="BO67" s="18">
        <v>0</v>
      </c>
      <c r="BP67" s="317">
        <v>0</v>
      </c>
      <c r="BQ67" s="18">
        <v>0</v>
      </c>
      <c r="BR67" s="18">
        <v>0</v>
      </c>
      <c r="BS67" s="317">
        <v>0</v>
      </c>
      <c r="BT67" s="18">
        <v>0</v>
      </c>
      <c r="BU67" s="18">
        <v>0</v>
      </c>
      <c r="BV67" s="317">
        <v>0</v>
      </c>
      <c r="BW67" s="105">
        <v>5</v>
      </c>
      <c r="BX67" s="18">
        <v>0</v>
      </c>
      <c r="BY67" s="317">
        <v>0</v>
      </c>
      <c r="BZ67" s="18">
        <v>0</v>
      </c>
      <c r="CA67" s="18">
        <v>0</v>
      </c>
      <c r="CB67" s="317">
        <v>0</v>
      </c>
      <c r="CC67" s="18">
        <v>0</v>
      </c>
      <c r="CD67" s="18">
        <v>0</v>
      </c>
      <c r="CE67" s="317">
        <v>0</v>
      </c>
      <c r="CF67" s="18">
        <v>0</v>
      </c>
      <c r="CG67" s="18">
        <v>0</v>
      </c>
      <c r="CH67" s="317">
        <v>0</v>
      </c>
      <c r="CI67" s="18">
        <v>0</v>
      </c>
      <c r="CJ67" s="18">
        <v>0</v>
      </c>
      <c r="CK67" s="317">
        <v>0</v>
      </c>
      <c r="CL67" s="105">
        <v>2</v>
      </c>
      <c r="CM67" s="18">
        <v>0</v>
      </c>
      <c r="CN67" s="317">
        <v>0</v>
      </c>
      <c r="CO67" s="105">
        <v>7</v>
      </c>
      <c r="CP67" s="18">
        <v>0</v>
      </c>
      <c r="CQ67" s="150">
        <v>1</v>
      </c>
      <c r="CR67" s="18">
        <v>0</v>
      </c>
      <c r="CS67" s="18">
        <v>0</v>
      </c>
      <c r="CT67" s="317">
        <v>0</v>
      </c>
      <c r="CU67" s="18">
        <v>0</v>
      </c>
      <c r="CV67" s="18">
        <v>0</v>
      </c>
      <c r="CW67" s="317">
        <v>0</v>
      </c>
      <c r="CX67" s="105">
        <v>1</v>
      </c>
      <c r="CY67" s="18">
        <v>0</v>
      </c>
      <c r="CZ67" s="317">
        <v>0</v>
      </c>
      <c r="DA67" s="105">
        <v>6</v>
      </c>
      <c r="DB67" s="18">
        <v>0</v>
      </c>
      <c r="DC67" s="317">
        <v>0</v>
      </c>
      <c r="DD67" s="18">
        <v>0</v>
      </c>
      <c r="DE67" s="18">
        <v>0</v>
      </c>
      <c r="DF67" s="317">
        <v>0</v>
      </c>
      <c r="DG67" s="105">
        <v>5</v>
      </c>
      <c r="DH67" s="18">
        <v>0</v>
      </c>
      <c r="DI67" s="317">
        <v>0</v>
      </c>
      <c r="DJ67" s="105">
        <v>1</v>
      </c>
      <c r="DK67" s="18">
        <v>0</v>
      </c>
      <c r="DL67" s="317">
        <v>0</v>
      </c>
      <c r="DM67" s="18">
        <v>0</v>
      </c>
      <c r="DN67" s="18">
        <v>0</v>
      </c>
      <c r="DO67" s="317">
        <v>0</v>
      </c>
      <c r="DP67" s="18">
        <v>0</v>
      </c>
      <c r="DQ67" s="18">
        <v>0</v>
      </c>
      <c r="DR67" s="317">
        <v>0</v>
      </c>
      <c r="DS67" s="18">
        <v>0</v>
      </c>
      <c r="DT67" s="18">
        <v>0</v>
      </c>
      <c r="DU67" s="317">
        <v>0</v>
      </c>
      <c r="DV67" s="18">
        <v>0</v>
      </c>
      <c r="DW67" s="18">
        <v>0</v>
      </c>
      <c r="DX67" s="317">
        <v>0</v>
      </c>
      <c r="DY67" s="18">
        <v>0</v>
      </c>
      <c r="DZ67" s="18">
        <v>0</v>
      </c>
      <c r="EA67" s="317">
        <v>0</v>
      </c>
      <c r="EB67" s="18">
        <v>0</v>
      </c>
      <c r="EC67" s="18">
        <v>0</v>
      </c>
      <c r="ED67" s="317">
        <v>0</v>
      </c>
      <c r="EE67" s="18">
        <v>0</v>
      </c>
      <c r="EF67" s="18">
        <v>0</v>
      </c>
      <c r="EG67" s="317">
        <v>0</v>
      </c>
      <c r="EH67" s="18">
        <v>0</v>
      </c>
      <c r="EI67" s="18">
        <v>0</v>
      </c>
      <c r="EJ67" s="317">
        <v>0</v>
      </c>
      <c r="EK67" s="18">
        <v>0</v>
      </c>
      <c r="EL67" s="18">
        <v>0</v>
      </c>
      <c r="EM67" s="317">
        <v>0</v>
      </c>
      <c r="EN67" s="646" t="s">
        <v>982</v>
      </c>
      <c r="EO67" s="531"/>
      <c r="EP67" s="531"/>
      <c r="EQ67" s="531"/>
      <c r="ER67" s="531"/>
      <c r="ES67" s="531"/>
      <c r="ET67" s="531"/>
      <c r="EU67" s="64"/>
    </row>
    <row r="68" spans="1:151" ht="12.75">
      <c r="A68" s="93">
        <v>43899</v>
      </c>
      <c r="B68" s="84">
        <f t="shared" ref="B68:D68" si="64">SUM(I68,X68,AA68,AD68,AG68,AJ68,AM68,BB68,BE68,BW68,CC68,CI68,CL68,CO68,CU68,CX68,DA68,DJ68,DS68,EE68,)</f>
        <v>774</v>
      </c>
      <c r="C68" s="124">
        <f t="shared" si="64"/>
        <v>23</v>
      </c>
      <c r="D68" s="125">
        <f t="shared" si="64"/>
        <v>17</v>
      </c>
      <c r="E68" s="350">
        <f t="shared" si="2"/>
        <v>734</v>
      </c>
      <c r="F68" s="18">
        <v>0</v>
      </c>
      <c r="G68" s="18">
        <v>0</v>
      </c>
      <c r="H68" s="317">
        <v>0</v>
      </c>
      <c r="I68" s="105">
        <v>12</v>
      </c>
      <c r="J68" s="139">
        <v>1</v>
      </c>
      <c r="K68" s="317">
        <v>0</v>
      </c>
      <c r="L68" s="18">
        <v>0</v>
      </c>
      <c r="M68" s="18">
        <v>0</v>
      </c>
      <c r="N68" s="317">
        <v>0</v>
      </c>
      <c r="O68" s="18">
        <v>0</v>
      </c>
      <c r="P68" s="18">
        <v>0</v>
      </c>
      <c r="Q68" s="317">
        <v>0</v>
      </c>
      <c r="R68" s="18">
        <v>0</v>
      </c>
      <c r="S68" s="18">
        <v>0</v>
      </c>
      <c r="T68" s="317">
        <v>0</v>
      </c>
      <c r="U68" s="18">
        <v>0</v>
      </c>
      <c r="V68" s="18">
        <v>0</v>
      </c>
      <c r="W68" s="317">
        <v>0</v>
      </c>
      <c r="X68" s="18">
        <v>0</v>
      </c>
      <c r="Y68" s="18">
        <v>0</v>
      </c>
      <c r="Z68" s="317">
        <v>0</v>
      </c>
      <c r="AA68" s="105">
        <v>25</v>
      </c>
      <c r="AB68" s="18">
        <v>0</v>
      </c>
      <c r="AC68" s="317">
        <v>0</v>
      </c>
      <c r="AD68" s="105">
        <v>71</v>
      </c>
      <c r="AE68" s="18">
        <v>0</v>
      </c>
      <c r="AF68" s="150">
        <v>8</v>
      </c>
      <c r="AG68" s="105">
        <v>8</v>
      </c>
      <c r="AH68" s="18">
        <v>0</v>
      </c>
      <c r="AI68" s="317">
        <v>0</v>
      </c>
      <c r="AJ68" s="105">
        <v>1</v>
      </c>
      <c r="AK68" s="18">
        <v>0</v>
      </c>
      <c r="AL68" s="317">
        <v>0</v>
      </c>
      <c r="AM68" s="105">
        <v>9</v>
      </c>
      <c r="AN68" s="18">
        <v>0</v>
      </c>
      <c r="AO68" s="317">
        <v>0</v>
      </c>
      <c r="AP68" s="18">
        <v>0</v>
      </c>
      <c r="AQ68" s="18">
        <v>0</v>
      </c>
      <c r="AR68" s="317">
        <v>0</v>
      </c>
      <c r="AS68" s="18">
        <v>0</v>
      </c>
      <c r="AT68" s="18">
        <v>0</v>
      </c>
      <c r="AU68" s="317">
        <v>0</v>
      </c>
      <c r="AV68" s="18">
        <v>0</v>
      </c>
      <c r="AW68" s="18">
        <v>0</v>
      </c>
      <c r="AX68" s="317">
        <v>0</v>
      </c>
      <c r="AY68" s="18">
        <v>0</v>
      </c>
      <c r="AZ68" s="18">
        <v>0</v>
      </c>
      <c r="BA68" s="317">
        <v>0</v>
      </c>
      <c r="BB68" s="105">
        <v>15</v>
      </c>
      <c r="BC68" s="18">
        <v>0</v>
      </c>
      <c r="BD68" s="317">
        <v>0</v>
      </c>
      <c r="BE68" s="105">
        <v>607</v>
      </c>
      <c r="BF68" s="139">
        <v>22</v>
      </c>
      <c r="BG68" s="150">
        <v>8</v>
      </c>
      <c r="BH68" s="18">
        <v>0</v>
      </c>
      <c r="BI68" s="18">
        <v>0</v>
      </c>
      <c r="BJ68" s="317">
        <v>0</v>
      </c>
      <c r="BK68" s="18">
        <v>0</v>
      </c>
      <c r="BL68" s="18">
        <v>0</v>
      </c>
      <c r="BM68" s="317">
        <v>0</v>
      </c>
      <c r="BN68" s="18">
        <v>0</v>
      </c>
      <c r="BO68" s="18">
        <v>0</v>
      </c>
      <c r="BP68" s="317">
        <v>0</v>
      </c>
      <c r="BQ68" s="18">
        <v>0</v>
      </c>
      <c r="BR68" s="18">
        <v>0</v>
      </c>
      <c r="BS68" s="317">
        <v>0</v>
      </c>
      <c r="BT68" s="18">
        <v>0</v>
      </c>
      <c r="BU68" s="18">
        <v>0</v>
      </c>
      <c r="BV68" s="317">
        <v>0</v>
      </c>
      <c r="BW68" s="105">
        <v>5</v>
      </c>
      <c r="BX68" s="18">
        <v>0</v>
      </c>
      <c r="BY68" s="317">
        <v>0</v>
      </c>
      <c r="BZ68" s="18">
        <v>0</v>
      </c>
      <c r="CA68" s="18">
        <v>0</v>
      </c>
      <c r="CB68" s="317">
        <v>0</v>
      </c>
      <c r="CC68" s="18">
        <v>0</v>
      </c>
      <c r="CD68" s="18">
        <v>0</v>
      </c>
      <c r="CE68" s="317">
        <v>0</v>
      </c>
      <c r="CF68" s="18">
        <v>0</v>
      </c>
      <c r="CG68" s="18">
        <v>0</v>
      </c>
      <c r="CH68" s="317">
        <v>0</v>
      </c>
      <c r="CI68" s="18">
        <v>0</v>
      </c>
      <c r="CJ68" s="18">
        <v>0</v>
      </c>
      <c r="CK68" s="317">
        <v>0</v>
      </c>
      <c r="CL68" s="105">
        <v>2</v>
      </c>
      <c r="CM68" s="18">
        <v>0</v>
      </c>
      <c r="CN68" s="317">
        <v>0</v>
      </c>
      <c r="CO68" s="105">
        <v>7</v>
      </c>
      <c r="CP68" s="18">
        <v>0</v>
      </c>
      <c r="CQ68" s="150">
        <v>1</v>
      </c>
      <c r="CR68" s="18">
        <v>0</v>
      </c>
      <c r="CS68" s="18">
        <v>0</v>
      </c>
      <c r="CT68" s="317">
        <v>0</v>
      </c>
      <c r="CU68" s="105">
        <v>1</v>
      </c>
      <c r="CV68" s="18">
        <v>0</v>
      </c>
      <c r="CW68" s="317">
        <v>0</v>
      </c>
      <c r="CX68" s="105">
        <v>1</v>
      </c>
      <c r="CY68" s="18">
        <v>0</v>
      </c>
      <c r="CZ68" s="317">
        <v>0</v>
      </c>
      <c r="DA68" s="105">
        <v>7</v>
      </c>
      <c r="DB68" s="18">
        <v>0</v>
      </c>
      <c r="DC68" s="317">
        <v>0</v>
      </c>
      <c r="DD68" s="18">
        <v>0</v>
      </c>
      <c r="DE68" s="18">
        <v>0</v>
      </c>
      <c r="DF68" s="317">
        <v>0</v>
      </c>
      <c r="DG68" s="105">
        <v>5</v>
      </c>
      <c r="DH68" s="18">
        <v>0</v>
      </c>
      <c r="DI68" s="317">
        <v>0</v>
      </c>
      <c r="DJ68" s="105">
        <v>1</v>
      </c>
      <c r="DK68" s="18">
        <v>0</v>
      </c>
      <c r="DL68" s="317">
        <v>0</v>
      </c>
      <c r="DM68" s="18">
        <v>0</v>
      </c>
      <c r="DN68" s="18">
        <v>0</v>
      </c>
      <c r="DO68" s="317">
        <v>0</v>
      </c>
      <c r="DP68" s="18">
        <v>0</v>
      </c>
      <c r="DQ68" s="18">
        <v>0</v>
      </c>
      <c r="DR68" s="317">
        <v>0</v>
      </c>
      <c r="DS68" s="105">
        <v>2</v>
      </c>
      <c r="DT68" s="18">
        <v>0</v>
      </c>
      <c r="DU68" s="317">
        <v>0</v>
      </c>
      <c r="DV68" s="18">
        <v>0</v>
      </c>
      <c r="DW68" s="18">
        <v>0</v>
      </c>
      <c r="DX68" s="317">
        <v>0</v>
      </c>
      <c r="DY68" s="18">
        <v>0</v>
      </c>
      <c r="DZ68" s="18">
        <v>0</v>
      </c>
      <c r="EA68" s="317">
        <v>0</v>
      </c>
      <c r="EB68" s="18">
        <v>0</v>
      </c>
      <c r="EC68" s="18">
        <v>0</v>
      </c>
      <c r="ED68" s="317">
        <v>0</v>
      </c>
      <c r="EE68" s="18">
        <v>0</v>
      </c>
      <c r="EF68" s="18">
        <v>0</v>
      </c>
      <c r="EG68" s="317">
        <v>0</v>
      </c>
      <c r="EH68" s="18">
        <v>0</v>
      </c>
      <c r="EI68" s="18">
        <v>0</v>
      </c>
      <c r="EJ68" s="317">
        <v>0</v>
      </c>
      <c r="EK68" s="18">
        <v>0</v>
      </c>
      <c r="EL68" s="18">
        <v>0</v>
      </c>
      <c r="EM68" s="317">
        <v>0</v>
      </c>
      <c r="EN68" s="646" t="s">
        <v>985</v>
      </c>
      <c r="EO68" s="531"/>
      <c r="EP68" s="531"/>
      <c r="EQ68" s="531"/>
      <c r="ER68" s="531"/>
      <c r="ES68" s="531"/>
      <c r="ET68" s="531"/>
      <c r="EU68" s="57" t="s">
        <v>244</v>
      </c>
    </row>
    <row r="69" spans="1:151" ht="12.75">
      <c r="A69" s="93">
        <v>43900</v>
      </c>
      <c r="B69" s="14">
        <f t="shared" ref="B69:D69" si="65">SUM(I69,X69,AA69,AD69,AG69,AJ69,AM69,BB69,BE69,BW69,CC69,CI69,CL69,CO69,CU69,CX69,DA69,DJ69,DS69,EE69,)</f>
        <v>1156</v>
      </c>
      <c r="C69" s="34">
        <f t="shared" si="65"/>
        <v>30</v>
      </c>
      <c r="D69" s="73">
        <f t="shared" si="65"/>
        <v>20</v>
      </c>
      <c r="E69" s="350">
        <f t="shared" si="2"/>
        <v>1106</v>
      </c>
      <c r="F69" s="18">
        <v>0</v>
      </c>
      <c r="G69" s="18">
        <v>0</v>
      </c>
      <c r="H69" s="317">
        <v>0</v>
      </c>
      <c r="I69" s="105">
        <v>17</v>
      </c>
      <c r="J69" s="139">
        <v>1</v>
      </c>
      <c r="K69" s="317">
        <v>0</v>
      </c>
      <c r="L69" s="18">
        <v>0</v>
      </c>
      <c r="M69" s="18">
        <v>0</v>
      </c>
      <c r="N69" s="317">
        <v>0</v>
      </c>
      <c r="O69" s="18">
        <v>0</v>
      </c>
      <c r="P69" s="18">
        <v>0</v>
      </c>
      <c r="Q69" s="317">
        <v>0</v>
      </c>
      <c r="R69" s="18">
        <v>0</v>
      </c>
      <c r="S69" s="18">
        <v>0</v>
      </c>
      <c r="T69" s="317">
        <v>0</v>
      </c>
      <c r="U69" s="18">
        <v>0</v>
      </c>
      <c r="V69" s="18">
        <v>0</v>
      </c>
      <c r="W69" s="317">
        <v>0</v>
      </c>
      <c r="X69" s="18">
        <v>0</v>
      </c>
      <c r="Y69" s="18">
        <v>0</v>
      </c>
      <c r="Z69" s="317">
        <v>0</v>
      </c>
      <c r="AA69" s="105">
        <v>31</v>
      </c>
      <c r="AB69" s="18">
        <v>0</v>
      </c>
      <c r="AC69" s="317">
        <v>0</v>
      </c>
      <c r="AD69" s="105">
        <v>79</v>
      </c>
      <c r="AE69" s="139">
        <v>1</v>
      </c>
      <c r="AF69" s="150">
        <v>8</v>
      </c>
      <c r="AG69" s="105">
        <v>13</v>
      </c>
      <c r="AH69" s="18">
        <v>0</v>
      </c>
      <c r="AI69" s="317">
        <v>0</v>
      </c>
      <c r="AJ69" s="105">
        <v>3</v>
      </c>
      <c r="AK69" s="18">
        <v>0</v>
      </c>
      <c r="AL69" s="317">
        <v>0</v>
      </c>
      <c r="AM69" s="105">
        <v>9</v>
      </c>
      <c r="AN69" s="18">
        <v>0</v>
      </c>
      <c r="AO69" s="317">
        <v>0</v>
      </c>
      <c r="AP69" s="18">
        <v>0</v>
      </c>
      <c r="AQ69" s="18">
        <v>0</v>
      </c>
      <c r="AR69" s="317">
        <v>0</v>
      </c>
      <c r="AS69" s="18">
        <v>0</v>
      </c>
      <c r="AT69" s="18">
        <v>0</v>
      </c>
      <c r="AU69" s="317">
        <v>0</v>
      </c>
      <c r="AV69" s="18">
        <v>0</v>
      </c>
      <c r="AW69" s="18">
        <v>0</v>
      </c>
      <c r="AX69" s="317">
        <v>0</v>
      </c>
      <c r="AY69" s="18">
        <v>0</v>
      </c>
      <c r="AZ69" s="18">
        <v>0</v>
      </c>
      <c r="BA69" s="317">
        <v>0</v>
      </c>
      <c r="BB69" s="105">
        <v>15</v>
      </c>
      <c r="BC69" s="18">
        <v>0</v>
      </c>
      <c r="BD69" s="317">
        <v>0</v>
      </c>
      <c r="BE69" s="105">
        <v>959</v>
      </c>
      <c r="BF69" s="139">
        <v>28</v>
      </c>
      <c r="BG69" s="150">
        <v>8</v>
      </c>
      <c r="BH69" s="18">
        <v>0</v>
      </c>
      <c r="BI69" s="18">
        <v>0</v>
      </c>
      <c r="BJ69" s="317">
        <v>0</v>
      </c>
      <c r="BK69" s="18">
        <v>0</v>
      </c>
      <c r="BL69" s="18">
        <v>0</v>
      </c>
      <c r="BM69" s="317">
        <v>0</v>
      </c>
      <c r="BN69" s="18">
        <v>0</v>
      </c>
      <c r="BO69" s="18">
        <v>0</v>
      </c>
      <c r="BP69" s="317">
        <v>0</v>
      </c>
      <c r="BQ69" s="18">
        <v>0</v>
      </c>
      <c r="BR69" s="18">
        <v>0</v>
      </c>
      <c r="BS69" s="317">
        <v>0</v>
      </c>
      <c r="BT69" s="18">
        <v>0</v>
      </c>
      <c r="BU69" s="18">
        <v>0</v>
      </c>
      <c r="BV69" s="317">
        <v>0</v>
      </c>
      <c r="BW69" s="105">
        <v>5</v>
      </c>
      <c r="BX69" s="18">
        <v>0</v>
      </c>
      <c r="BY69" s="317">
        <v>0</v>
      </c>
      <c r="BZ69" s="18">
        <v>0</v>
      </c>
      <c r="CA69" s="18">
        <v>0</v>
      </c>
      <c r="CB69" s="317">
        <v>0</v>
      </c>
      <c r="CC69" s="18">
        <v>0</v>
      </c>
      <c r="CD69" s="18">
        <v>0</v>
      </c>
      <c r="CE69" s="317">
        <v>0</v>
      </c>
      <c r="CF69" s="18">
        <v>0</v>
      </c>
      <c r="CG69" s="18">
        <v>0</v>
      </c>
      <c r="CH69" s="317">
        <v>0</v>
      </c>
      <c r="CI69" s="18">
        <v>0</v>
      </c>
      <c r="CJ69" s="18">
        <v>0</v>
      </c>
      <c r="CK69" s="317">
        <v>0</v>
      </c>
      <c r="CL69" s="105">
        <v>2</v>
      </c>
      <c r="CM69" s="18">
        <v>0</v>
      </c>
      <c r="CN69" s="317">
        <v>0</v>
      </c>
      <c r="CO69" s="105">
        <v>7</v>
      </c>
      <c r="CP69" s="18">
        <v>0</v>
      </c>
      <c r="CQ69" s="150">
        <v>4</v>
      </c>
      <c r="CR69" s="18">
        <v>0</v>
      </c>
      <c r="CS69" s="18">
        <v>0</v>
      </c>
      <c r="CT69" s="317">
        <v>0</v>
      </c>
      <c r="CU69" s="105">
        <v>1</v>
      </c>
      <c r="CV69" s="18">
        <v>0</v>
      </c>
      <c r="CW69" s="317">
        <v>0</v>
      </c>
      <c r="CX69" s="105">
        <v>1</v>
      </c>
      <c r="CY69" s="18">
        <v>0</v>
      </c>
      <c r="CZ69" s="317">
        <v>0</v>
      </c>
      <c r="DA69" s="105">
        <v>11</v>
      </c>
      <c r="DB69" s="18">
        <v>0</v>
      </c>
      <c r="DC69" s="317">
        <v>0</v>
      </c>
      <c r="DD69" s="18">
        <v>0</v>
      </c>
      <c r="DE69" s="18">
        <v>0</v>
      </c>
      <c r="DF69" s="317">
        <v>0</v>
      </c>
      <c r="DG69" s="105">
        <v>5</v>
      </c>
      <c r="DH69" s="18">
        <v>0</v>
      </c>
      <c r="DI69" s="317">
        <v>0</v>
      </c>
      <c r="DJ69" s="105">
        <v>1</v>
      </c>
      <c r="DK69" s="18">
        <v>0</v>
      </c>
      <c r="DL69" s="317">
        <v>0</v>
      </c>
      <c r="DM69" s="18">
        <v>0</v>
      </c>
      <c r="DN69" s="18">
        <v>0</v>
      </c>
      <c r="DO69" s="317">
        <v>0</v>
      </c>
      <c r="DP69" s="18">
        <v>0</v>
      </c>
      <c r="DQ69" s="18">
        <v>0</v>
      </c>
      <c r="DR69" s="317">
        <v>0</v>
      </c>
      <c r="DS69" s="105">
        <v>2</v>
      </c>
      <c r="DT69" s="18">
        <v>0</v>
      </c>
      <c r="DU69" s="317">
        <v>0</v>
      </c>
      <c r="DV69" s="18">
        <v>0</v>
      </c>
      <c r="DW69" s="18">
        <v>0</v>
      </c>
      <c r="DX69" s="317">
        <v>0</v>
      </c>
      <c r="DY69" s="18">
        <v>0</v>
      </c>
      <c r="DZ69" s="18">
        <v>0</v>
      </c>
      <c r="EA69" s="317">
        <v>0</v>
      </c>
      <c r="EB69" s="18">
        <v>0</v>
      </c>
      <c r="EC69" s="18">
        <v>0</v>
      </c>
      <c r="ED69" s="317">
        <v>0</v>
      </c>
      <c r="EE69" s="18">
        <v>0</v>
      </c>
      <c r="EF69" s="18">
        <v>0</v>
      </c>
      <c r="EG69" s="317">
        <v>0</v>
      </c>
      <c r="EH69" s="18">
        <v>0</v>
      </c>
      <c r="EI69" s="18">
        <v>0</v>
      </c>
      <c r="EJ69" s="317">
        <v>0</v>
      </c>
      <c r="EK69" s="18">
        <v>0</v>
      </c>
      <c r="EL69" s="18">
        <v>0</v>
      </c>
      <c r="EM69" s="317">
        <v>0</v>
      </c>
      <c r="EN69" s="646" t="s">
        <v>987</v>
      </c>
      <c r="EO69" s="531"/>
      <c r="EP69" s="531"/>
      <c r="EQ69" s="531"/>
      <c r="ER69" s="531"/>
      <c r="ES69" s="531"/>
      <c r="ET69" s="531"/>
      <c r="EU69" s="64"/>
    </row>
    <row r="70" spans="1:151" ht="12.75">
      <c r="A70" s="93">
        <v>43901</v>
      </c>
      <c r="B70" s="84">
        <f t="shared" ref="B70:D70" si="66">SUM(F70,I70,L70,X70,AA70,AD70,AG70,AJ70,AM70,AP70,BB70,BE70,BN70,BQ70,BT70,BW70,CC70,CF70,CI70,CL70,CO70,CU70,CX70,DA70,DD70,DG70,DJ70,DS70,EE70,EH70,EK70,)</f>
        <v>1550</v>
      </c>
      <c r="C70" s="124">
        <f t="shared" si="66"/>
        <v>39</v>
      </c>
      <c r="D70" s="125">
        <f t="shared" si="66"/>
        <v>20</v>
      </c>
      <c r="E70" s="350">
        <f t="shared" si="2"/>
        <v>1491</v>
      </c>
      <c r="F70" s="18">
        <v>0</v>
      </c>
      <c r="G70" s="18">
        <v>0</v>
      </c>
      <c r="H70" s="317">
        <v>0</v>
      </c>
      <c r="I70" s="105">
        <v>19</v>
      </c>
      <c r="J70" s="139">
        <v>1</v>
      </c>
      <c r="K70" s="317">
        <v>0</v>
      </c>
      <c r="L70" s="18">
        <v>0</v>
      </c>
      <c r="M70" s="18">
        <v>0</v>
      </c>
      <c r="N70" s="317">
        <v>0</v>
      </c>
      <c r="O70" s="18">
        <v>0</v>
      </c>
      <c r="P70" s="18">
        <v>0</v>
      </c>
      <c r="Q70" s="317">
        <v>0</v>
      </c>
      <c r="R70" s="18">
        <v>0</v>
      </c>
      <c r="S70" s="18">
        <v>0</v>
      </c>
      <c r="T70" s="317">
        <v>0</v>
      </c>
      <c r="U70" s="18">
        <v>0</v>
      </c>
      <c r="V70" s="18">
        <v>0</v>
      </c>
      <c r="W70" s="317">
        <v>0</v>
      </c>
      <c r="X70" s="105">
        <v>2</v>
      </c>
      <c r="Y70" s="18">
        <v>0</v>
      </c>
      <c r="Z70" s="317">
        <v>0</v>
      </c>
      <c r="AA70" s="105">
        <v>37</v>
      </c>
      <c r="AB70" s="18">
        <v>0</v>
      </c>
      <c r="AC70" s="317">
        <v>0</v>
      </c>
      <c r="AD70" s="105">
        <v>108</v>
      </c>
      <c r="AE70" s="139">
        <v>1</v>
      </c>
      <c r="AF70" s="150">
        <v>8</v>
      </c>
      <c r="AG70" s="105">
        <v>17</v>
      </c>
      <c r="AH70" s="18">
        <v>0</v>
      </c>
      <c r="AI70" s="317">
        <v>0</v>
      </c>
      <c r="AJ70" s="105">
        <v>6</v>
      </c>
      <c r="AK70" s="18">
        <v>0</v>
      </c>
      <c r="AL70" s="317">
        <v>0</v>
      </c>
      <c r="AM70" s="105">
        <v>13</v>
      </c>
      <c r="AN70" s="18">
        <v>0</v>
      </c>
      <c r="AO70" s="317">
        <v>0</v>
      </c>
      <c r="AP70" s="18">
        <v>0</v>
      </c>
      <c r="AQ70" s="18">
        <v>0</v>
      </c>
      <c r="AR70" s="317">
        <v>0</v>
      </c>
      <c r="AS70" s="18">
        <v>0</v>
      </c>
      <c r="AT70" s="18">
        <v>0</v>
      </c>
      <c r="AU70" s="317">
        <v>0</v>
      </c>
      <c r="AV70" s="18">
        <v>0</v>
      </c>
      <c r="AW70" s="18">
        <v>0</v>
      </c>
      <c r="AX70" s="317">
        <v>0</v>
      </c>
      <c r="AY70" s="18">
        <v>0</v>
      </c>
      <c r="AZ70" s="18">
        <v>0</v>
      </c>
      <c r="BA70" s="317">
        <v>0</v>
      </c>
      <c r="BB70" s="105">
        <v>17</v>
      </c>
      <c r="BC70" s="18">
        <v>0</v>
      </c>
      <c r="BD70" s="317">
        <v>0</v>
      </c>
      <c r="BE70" s="105">
        <v>1281</v>
      </c>
      <c r="BF70" s="139">
        <v>36</v>
      </c>
      <c r="BG70" s="150">
        <v>8</v>
      </c>
      <c r="BH70" s="18">
        <v>0</v>
      </c>
      <c r="BI70" s="18">
        <v>0</v>
      </c>
      <c r="BJ70" s="317">
        <v>0</v>
      </c>
      <c r="BK70" s="18">
        <v>0</v>
      </c>
      <c r="BL70" s="18">
        <v>0</v>
      </c>
      <c r="BM70" s="317">
        <v>0</v>
      </c>
      <c r="BN70" s="18">
        <v>0</v>
      </c>
      <c r="BO70" s="18">
        <v>0</v>
      </c>
      <c r="BP70" s="317">
        <v>0</v>
      </c>
      <c r="BQ70" s="18">
        <v>0</v>
      </c>
      <c r="BR70" s="18">
        <v>0</v>
      </c>
      <c r="BS70" s="317">
        <v>0</v>
      </c>
      <c r="BT70" s="18">
        <v>0</v>
      </c>
      <c r="BU70" s="18">
        <v>0</v>
      </c>
      <c r="BV70" s="317">
        <v>0</v>
      </c>
      <c r="BW70" s="105">
        <v>5</v>
      </c>
      <c r="BX70" s="18">
        <v>0</v>
      </c>
      <c r="BY70" s="317">
        <v>0</v>
      </c>
      <c r="BZ70" s="18">
        <v>0</v>
      </c>
      <c r="CA70" s="18">
        <v>0</v>
      </c>
      <c r="CB70" s="317">
        <v>0</v>
      </c>
      <c r="CC70" s="105">
        <v>2</v>
      </c>
      <c r="CD70" s="18">
        <v>0</v>
      </c>
      <c r="CE70" s="317">
        <v>0</v>
      </c>
      <c r="CF70" s="18">
        <v>0</v>
      </c>
      <c r="CG70" s="18">
        <v>0</v>
      </c>
      <c r="CH70" s="317">
        <v>0</v>
      </c>
      <c r="CI70" s="105">
        <v>1</v>
      </c>
      <c r="CJ70" s="18">
        <v>0</v>
      </c>
      <c r="CK70" s="317">
        <v>0</v>
      </c>
      <c r="CL70" s="105">
        <v>3</v>
      </c>
      <c r="CM70" s="18">
        <v>0</v>
      </c>
      <c r="CN70" s="317">
        <v>0</v>
      </c>
      <c r="CO70" s="105">
        <v>7</v>
      </c>
      <c r="CP70" s="18">
        <v>0</v>
      </c>
      <c r="CQ70" s="150">
        <v>4</v>
      </c>
      <c r="CR70" s="18">
        <v>0</v>
      </c>
      <c r="CS70" s="18">
        <v>0</v>
      </c>
      <c r="CT70" s="317">
        <v>0</v>
      </c>
      <c r="CU70" s="105">
        <v>8</v>
      </c>
      <c r="CV70" s="139">
        <v>1</v>
      </c>
      <c r="CW70" s="317">
        <v>0</v>
      </c>
      <c r="CX70" s="105">
        <v>5</v>
      </c>
      <c r="CY70" s="18">
        <v>0</v>
      </c>
      <c r="CZ70" s="317">
        <v>0</v>
      </c>
      <c r="DA70" s="105">
        <v>11</v>
      </c>
      <c r="DB70" s="18">
        <v>0</v>
      </c>
      <c r="DC70" s="317">
        <v>0</v>
      </c>
      <c r="DD70" s="18">
        <v>0</v>
      </c>
      <c r="DE70" s="18">
        <v>0</v>
      </c>
      <c r="DF70" s="317">
        <v>0</v>
      </c>
      <c r="DG70" s="105">
        <v>5</v>
      </c>
      <c r="DH70" s="18">
        <v>0</v>
      </c>
      <c r="DI70" s="317">
        <v>0</v>
      </c>
      <c r="DJ70" s="105">
        <v>1</v>
      </c>
      <c r="DK70" s="18">
        <v>0</v>
      </c>
      <c r="DL70" s="317">
        <v>0</v>
      </c>
      <c r="DM70" s="18">
        <v>0</v>
      </c>
      <c r="DN70" s="18">
        <v>0</v>
      </c>
      <c r="DO70" s="317">
        <v>0</v>
      </c>
      <c r="DP70" s="18">
        <v>0</v>
      </c>
      <c r="DQ70" s="18">
        <v>0</v>
      </c>
      <c r="DR70" s="317">
        <v>0</v>
      </c>
      <c r="DS70" s="105">
        <v>2</v>
      </c>
      <c r="DT70" s="18">
        <v>0</v>
      </c>
      <c r="DU70" s="317">
        <v>0</v>
      </c>
      <c r="DV70" s="18">
        <v>0</v>
      </c>
      <c r="DW70" s="18">
        <v>0</v>
      </c>
      <c r="DX70" s="317">
        <v>0</v>
      </c>
      <c r="DY70" s="18">
        <v>0</v>
      </c>
      <c r="DZ70" s="18">
        <v>0</v>
      </c>
      <c r="EA70" s="317">
        <v>0</v>
      </c>
      <c r="EB70" s="18">
        <v>0</v>
      </c>
      <c r="EC70" s="18">
        <v>0</v>
      </c>
      <c r="ED70" s="317">
        <v>0</v>
      </c>
      <c r="EE70" s="18">
        <v>0</v>
      </c>
      <c r="EF70" s="18">
        <v>0</v>
      </c>
      <c r="EG70" s="317">
        <v>0</v>
      </c>
      <c r="EH70" s="18">
        <v>0</v>
      </c>
      <c r="EI70" s="18">
        <v>0</v>
      </c>
      <c r="EJ70" s="317">
        <v>0</v>
      </c>
      <c r="EK70" s="18">
        <v>0</v>
      </c>
      <c r="EL70" s="18">
        <v>0</v>
      </c>
      <c r="EM70" s="317">
        <v>0</v>
      </c>
      <c r="EN70" s="646" t="s">
        <v>990</v>
      </c>
      <c r="EO70" s="531"/>
      <c r="EP70" s="531"/>
      <c r="EQ70" s="531"/>
      <c r="ER70" s="531"/>
      <c r="ES70" s="531"/>
      <c r="ET70" s="531"/>
      <c r="EU70" s="64" t="s">
        <v>991</v>
      </c>
    </row>
    <row r="71" spans="1:151" ht="12.75">
      <c r="A71" s="93">
        <v>43902</v>
      </c>
      <c r="B71" s="362">
        <f t="shared" ref="B71:D71" si="67">SUM(F71,I71,L71,X71,AA71,AD71,AG71,AJ71,AM71,AP71,BB71,BE71,BN71,BQ71,BT71,BW71,CC71,CF71,CI71,CL71,CO71,CU71,CX71,DA71,DD71,DG71,DJ71,DS71,EE71,EH71,EK71,)</f>
        <v>2001</v>
      </c>
      <c r="C71" s="363">
        <f t="shared" si="67"/>
        <v>43</v>
      </c>
      <c r="D71" s="364">
        <f t="shared" si="67"/>
        <v>24</v>
      </c>
      <c r="E71" s="350">
        <f t="shared" si="2"/>
        <v>1934</v>
      </c>
      <c r="F71" s="18">
        <v>0</v>
      </c>
      <c r="G71" s="18">
        <v>0</v>
      </c>
      <c r="H71" s="317">
        <v>0</v>
      </c>
      <c r="I71" s="105">
        <v>19</v>
      </c>
      <c r="J71" s="139">
        <v>1</v>
      </c>
      <c r="K71" s="317">
        <v>0</v>
      </c>
      <c r="L71" s="18">
        <v>0</v>
      </c>
      <c r="M71" s="18">
        <v>0</v>
      </c>
      <c r="N71" s="317">
        <v>0</v>
      </c>
      <c r="O71" s="18">
        <v>0</v>
      </c>
      <c r="P71" s="18">
        <v>0</v>
      </c>
      <c r="Q71" s="317">
        <v>0</v>
      </c>
      <c r="R71" s="18">
        <v>0</v>
      </c>
      <c r="S71" s="18">
        <v>0</v>
      </c>
      <c r="T71" s="317">
        <v>0</v>
      </c>
      <c r="U71" s="18">
        <v>0</v>
      </c>
      <c r="V71" s="18">
        <v>0</v>
      </c>
      <c r="W71" s="317">
        <v>0</v>
      </c>
      <c r="X71" s="105">
        <v>2</v>
      </c>
      <c r="Y71" s="18">
        <v>0</v>
      </c>
      <c r="Z71" s="317">
        <v>0</v>
      </c>
      <c r="AA71" s="105">
        <v>59</v>
      </c>
      <c r="AB71" s="18">
        <v>0</v>
      </c>
      <c r="AC71" s="317">
        <v>0</v>
      </c>
      <c r="AD71" s="105">
        <v>117</v>
      </c>
      <c r="AE71" s="139">
        <v>1</v>
      </c>
      <c r="AF71" s="150">
        <v>8</v>
      </c>
      <c r="AG71" s="105">
        <v>23</v>
      </c>
      <c r="AH71" s="18">
        <v>0</v>
      </c>
      <c r="AI71" s="317">
        <v>0</v>
      </c>
      <c r="AJ71" s="105">
        <v>9</v>
      </c>
      <c r="AK71" s="18">
        <v>0</v>
      </c>
      <c r="AL71" s="317">
        <v>0</v>
      </c>
      <c r="AM71" s="105">
        <v>22</v>
      </c>
      <c r="AN71" s="18">
        <v>0</v>
      </c>
      <c r="AO71" s="317">
        <v>0</v>
      </c>
      <c r="AP71" s="105">
        <v>3</v>
      </c>
      <c r="AQ71" s="18">
        <v>0</v>
      </c>
      <c r="AR71" s="317">
        <v>0</v>
      </c>
      <c r="AS71" s="18">
        <v>0</v>
      </c>
      <c r="AT71" s="18">
        <v>0</v>
      </c>
      <c r="AU71" s="317">
        <v>0</v>
      </c>
      <c r="AV71" s="18">
        <v>0</v>
      </c>
      <c r="AW71" s="18">
        <v>0</v>
      </c>
      <c r="AX71" s="317">
        <v>0</v>
      </c>
      <c r="AY71" s="18">
        <v>0</v>
      </c>
      <c r="AZ71" s="18">
        <v>0</v>
      </c>
      <c r="BA71" s="317">
        <v>0</v>
      </c>
      <c r="BB71" s="105">
        <v>20</v>
      </c>
      <c r="BC71" s="18">
        <v>0</v>
      </c>
      <c r="BD71" s="317">
        <v>0</v>
      </c>
      <c r="BE71" s="105">
        <v>1663</v>
      </c>
      <c r="BF71" s="139">
        <v>40</v>
      </c>
      <c r="BG71" s="150">
        <v>12</v>
      </c>
      <c r="BH71" s="18">
        <v>0</v>
      </c>
      <c r="BI71" s="18">
        <v>0</v>
      </c>
      <c r="BJ71" s="317">
        <v>0</v>
      </c>
      <c r="BK71" s="18">
        <v>0</v>
      </c>
      <c r="BL71" s="18">
        <v>0</v>
      </c>
      <c r="BM71" s="317">
        <v>0</v>
      </c>
      <c r="BN71" s="18">
        <v>0</v>
      </c>
      <c r="BO71" s="18">
        <v>0</v>
      </c>
      <c r="BP71" s="317">
        <v>0</v>
      </c>
      <c r="BQ71" s="18">
        <v>0</v>
      </c>
      <c r="BR71" s="18">
        <v>0</v>
      </c>
      <c r="BS71" s="317">
        <v>0</v>
      </c>
      <c r="BT71" s="105">
        <v>1</v>
      </c>
      <c r="BU71" s="18">
        <v>0</v>
      </c>
      <c r="BV71" s="317">
        <v>0</v>
      </c>
      <c r="BW71" s="105">
        <v>5</v>
      </c>
      <c r="BX71" s="18">
        <v>0</v>
      </c>
      <c r="BY71" s="317">
        <v>0</v>
      </c>
      <c r="BZ71" s="18">
        <v>0</v>
      </c>
      <c r="CA71" s="18">
        <v>0</v>
      </c>
      <c r="CB71" s="317">
        <v>0</v>
      </c>
      <c r="CC71" s="105">
        <v>2</v>
      </c>
      <c r="CD71" s="18">
        <v>0</v>
      </c>
      <c r="CE71" s="317">
        <v>0</v>
      </c>
      <c r="CF71" s="18">
        <v>0</v>
      </c>
      <c r="CG71" s="18">
        <v>0</v>
      </c>
      <c r="CH71" s="317">
        <v>0</v>
      </c>
      <c r="CI71" s="105">
        <v>2</v>
      </c>
      <c r="CJ71" s="18">
        <v>0</v>
      </c>
      <c r="CK71" s="317">
        <v>0</v>
      </c>
      <c r="CL71" s="105">
        <v>3</v>
      </c>
      <c r="CM71" s="18">
        <v>0</v>
      </c>
      <c r="CN71" s="317">
        <v>0</v>
      </c>
      <c r="CO71" s="105">
        <v>12</v>
      </c>
      <c r="CP71" s="18">
        <v>0</v>
      </c>
      <c r="CQ71" s="150">
        <v>4</v>
      </c>
      <c r="CR71" s="18">
        <v>0</v>
      </c>
      <c r="CS71" s="18">
        <v>0</v>
      </c>
      <c r="CT71" s="317">
        <v>0</v>
      </c>
      <c r="CU71" s="105">
        <v>11</v>
      </c>
      <c r="CV71" s="139">
        <v>1</v>
      </c>
      <c r="CW71" s="317">
        <v>0</v>
      </c>
      <c r="CX71" s="105">
        <v>5</v>
      </c>
      <c r="CY71" s="18">
        <v>0</v>
      </c>
      <c r="CZ71" s="317">
        <v>0</v>
      </c>
      <c r="DA71" s="105">
        <v>15</v>
      </c>
      <c r="DB71" s="18">
        <v>0</v>
      </c>
      <c r="DC71" s="317">
        <v>0</v>
      </c>
      <c r="DD71" s="18">
        <v>0</v>
      </c>
      <c r="DE71" s="18">
        <v>0</v>
      </c>
      <c r="DF71" s="317">
        <v>0</v>
      </c>
      <c r="DG71" s="105">
        <v>5</v>
      </c>
      <c r="DH71" s="18">
        <v>0</v>
      </c>
      <c r="DI71" s="317">
        <v>0</v>
      </c>
      <c r="DJ71" s="105">
        <v>1</v>
      </c>
      <c r="DK71" s="18">
        <v>0</v>
      </c>
      <c r="DL71" s="317">
        <v>0</v>
      </c>
      <c r="DM71" s="18">
        <v>0</v>
      </c>
      <c r="DN71" s="18">
        <v>0</v>
      </c>
      <c r="DO71" s="317">
        <v>0</v>
      </c>
      <c r="DP71" s="18">
        <v>0</v>
      </c>
      <c r="DQ71" s="18">
        <v>0</v>
      </c>
      <c r="DR71" s="317">
        <v>0</v>
      </c>
      <c r="DS71" s="105">
        <v>2</v>
      </c>
      <c r="DT71" s="18">
        <v>0</v>
      </c>
      <c r="DU71" s="317">
        <v>0</v>
      </c>
      <c r="DV71" s="18">
        <v>0</v>
      </c>
      <c r="DW71" s="18">
        <v>0</v>
      </c>
      <c r="DX71" s="317">
        <v>0</v>
      </c>
      <c r="DY71" s="18">
        <v>0</v>
      </c>
      <c r="DZ71" s="18">
        <v>0</v>
      </c>
      <c r="EA71" s="317">
        <v>0</v>
      </c>
      <c r="EB71" s="18">
        <v>0</v>
      </c>
      <c r="EC71" s="18">
        <v>0</v>
      </c>
      <c r="ED71" s="317">
        <v>0</v>
      </c>
      <c r="EE71" s="18">
        <v>0</v>
      </c>
      <c r="EF71" s="18">
        <v>0</v>
      </c>
      <c r="EG71" s="317">
        <v>0</v>
      </c>
      <c r="EH71" s="18">
        <v>0</v>
      </c>
      <c r="EI71" s="18">
        <v>0</v>
      </c>
      <c r="EJ71" s="317">
        <v>0</v>
      </c>
      <c r="EK71" s="18">
        <v>0</v>
      </c>
      <c r="EL71" s="18">
        <v>0</v>
      </c>
      <c r="EM71" s="317">
        <v>0</v>
      </c>
      <c r="EN71" s="646" t="s">
        <v>995</v>
      </c>
      <c r="EO71" s="531"/>
      <c r="EP71" s="531"/>
      <c r="EQ71" s="531"/>
      <c r="ER71" s="531"/>
      <c r="ES71" s="531"/>
      <c r="ET71" s="531"/>
      <c r="EU71" s="64" t="s">
        <v>996</v>
      </c>
    </row>
    <row r="72" spans="1:151" ht="12.75">
      <c r="A72" s="93">
        <v>43903</v>
      </c>
      <c r="B72" s="14">
        <f t="shared" ref="B72:D72" si="68">SUM(F72,I72,L72,X72,AA72,AD72,AG72,AJ72,AM72,AP72,BB72,BE72,BN72,BQ72,BT72,BW72,CC72,CF72,CI72,CL72,CO72,CU72,CX72,DA72,DD72,DG72,DJ72,DS72,EE72,EH72,EK72,)</f>
        <v>2242</v>
      </c>
      <c r="C72" s="34">
        <f t="shared" si="68"/>
        <v>45</v>
      </c>
      <c r="D72" s="73">
        <f t="shared" si="68"/>
        <v>24</v>
      </c>
      <c r="E72" s="350">
        <f t="shared" si="2"/>
        <v>2173</v>
      </c>
      <c r="F72" s="18">
        <v>0</v>
      </c>
      <c r="G72" s="18">
        <v>0</v>
      </c>
      <c r="H72" s="317">
        <v>0</v>
      </c>
      <c r="I72" s="105">
        <v>31</v>
      </c>
      <c r="J72" s="139">
        <v>2</v>
      </c>
      <c r="K72" s="317">
        <v>0</v>
      </c>
      <c r="L72" s="18">
        <v>0</v>
      </c>
      <c r="M72" s="18">
        <v>0</v>
      </c>
      <c r="N72" s="317">
        <v>0</v>
      </c>
      <c r="O72" s="18">
        <v>0</v>
      </c>
      <c r="P72" s="18">
        <v>0</v>
      </c>
      <c r="Q72" s="317">
        <v>0</v>
      </c>
      <c r="R72" s="18">
        <v>0</v>
      </c>
      <c r="S72" s="18">
        <v>0</v>
      </c>
      <c r="T72" s="317">
        <v>0</v>
      </c>
      <c r="U72" s="18">
        <v>0</v>
      </c>
      <c r="V72" s="18">
        <v>0</v>
      </c>
      <c r="W72" s="317">
        <v>0</v>
      </c>
      <c r="X72" s="105">
        <v>2</v>
      </c>
      <c r="Y72" s="18">
        <v>0</v>
      </c>
      <c r="Z72" s="317">
        <v>0</v>
      </c>
      <c r="AA72" s="105">
        <v>151</v>
      </c>
      <c r="AB72" s="18">
        <v>0</v>
      </c>
      <c r="AC72" s="317">
        <v>0</v>
      </c>
      <c r="AD72" s="105">
        <v>157</v>
      </c>
      <c r="AE72" s="139">
        <v>1</v>
      </c>
      <c r="AF72" s="150">
        <v>8</v>
      </c>
      <c r="AG72" s="105">
        <v>43</v>
      </c>
      <c r="AH72" s="18">
        <v>0</v>
      </c>
      <c r="AI72" s="317">
        <v>0</v>
      </c>
      <c r="AJ72" s="105">
        <v>13</v>
      </c>
      <c r="AK72" s="18">
        <v>0</v>
      </c>
      <c r="AL72" s="317">
        <v>0</v>
      </c>
      <c r="AM72" s="105">
        <v>23</v>
      </c>
      <c r="AN72" s="18">
        <v>0</v>
      </c>
      <c r="AO72" s="317">
        <v>0</v>
      </c>
      <c r="AP72" s="105">
        <v>3</v>
      </c>
      <c r="AQ72" s="18">
        <v>0</v>
      </c>
      <c r="AR72" s="317">
        <v>0</v>
      </c>
      <c r="AS72" s="18">
        <v>0</v>
      </c>
      <c r="AT72" s="18">
        <v>0</v>
      </c>
      <c r="AU72" s="317">
        <v>0</v>
      </c>
      <c r="AV72" s="18">
        <v>0</v>
      </c>
      <c r="AW72" s="18">
        <v>0</v>
      </c>
      <c r="AX72" s="317">
        <v>0</v>
      </c>
      <c r="AY72" s="18">
        <v>0</v>
      </c>
      <c r="AZ72" s="18">
        <v>0</v>
      </c>
      <c r="BA72" s="317">
        <v>0</v>
      </c>
      <c r="BB72" s="105">
        <v>23</v>
      </c>
      <c r="BC72" s="139">
        <v>1</v>
      </c>
      <c r="BD72" s="317">
        <v>0</v>
      </c>
      <c r="BE72" s="105">
        <v>1701</v>
      </c>
      <c r="BF72" s="139">
        <v>40</v>
      </c>
      <c r="BG72" s="150">
        <v>12</v>
      </c>
      <c r="BH72" s="18">
        <v>0</v>
      </c>
      <c r="BI72" s="18">
        <v>0</v>
      </c>
      <c r="BJ72" s="317">
        <v>0</v>
      </c>
      <c r="BK72" s="18">
        <v>0</v>
      </c>
      <c r="BL72" s="18">
        <v>0</v>
      </c>
      <c r="BM72" s="317">
        <v>0</v>
      </c>
      <c r="BN72" s="18">
        <v>0</v>
      </c>
      <c r="BO72" s="18">
        <v>0</v>
      </c>
      <c r="BP72" s="317">
        <v>0</v>
      </c>
      <c r="BQ72" s="105">
        <v>1</v>
      </c>
      <c r="BR72" s="18">
        <v>0</v>
      </c>
      <c r="BS72" s="317">
        <v>0</v>
      </c>
      <c r="BT72" s="105">
        <v>1</v>
      </c>
      <c r="BU72" s="18">
        <v>0</v>
      </c>
      <c r="BV72" s="317">
        <v>0</v>
      </c>
      <c r="BW72" s="105">
        <v>5</v>
      </c>
      <c r="BX72" s="18">
        <v>0</v>
      </c>
      <c r="BY72" s="317">
        <v>0</v>
      </c>
      <c r="BZ72" s="18">
        <v>0</v>
      </c>
      <c r="CA72" s="18">
        <v>0</v>
      </c>
      <c r="CB72" s="317">
        <v>0</v>
      </c>
      <c r="CC72" s="105">
        <v>2</v>
      </c>
      <c r="CD72" s="18">
        <v>0</v>
      </c>
      <c r="CE72" s="317">
        <v>0</v>
      </c>
      <c r="CF72" s="18">
        <v>0</v>
      </c>
      <c r="CG72" s="18">
        <v>0</v>
      </c>
      <c r="CH72" s="317">
        <v>0</v>
      </c>
      <c r="CI72" s="105">
        <v>8</v>
      </c>
      <c r="CJ72" s="18">
        <v>0</v>
      </c>
      <c r="CK72" s="317">
        <v>0</v>
      </c>
      <c r="CL72" s="105">
        <v>3</v>
      </c>
      <c r="CM72" s="18">
        <v>0</v>
      </c>
      <c r="CN72" s="317">
        <v>0</v>
      </c>
      <c r="CO72" s="105">
        <v>12</v>
      </c>
      <c r="CP72" s="18">
        <v>0</v>
      </c>
      <c r="CQ72" s="150">
        <v>4</v>
      </c>
      <c r="CR72" s="18">
        <v>0</v>
      </c>
      <c r="CS72" s="18">
        <v>0</v>
      </c>
      <c r="CT72" s="317">
        <v>0</v>
      </c>
      <c r="CU72" s="105">
        <v>27</v>
      </c>
      <c r="CV72" s="139">
        <v>1</v>
      </c>
      <c r="CW72" s="317">
        <v>0</v>
      </c>
      <c r="CX72" s="105">
        <v>5</v>
      </c>
      <c r="CY72" s="18">
        <v>0</v>
      </c>
      <c r="CZ72" s="317">
        <v>0</v>
      </c>
      <c r="DA72" s="105">
        <v>22</v>
      </c>
      <c r="DB72" s="18">
        <v>0</v>
      </c>
      <c r="DC72" s="317">
        <v>0</v>
      </c>
      <c r="DD72" s="18">
        <v>0</v>
      </c>
      <c r="DE72" s="18">
        <v>0</v>
      </c>
      <c r="DF72" s="317">
        <v>0</v>
      </c>
      <c r="DG72" s="105">
        <v>5</v>
      </c>
      <c r="DH72" s="18">
        <v>0</v>
      </c>
      <c r="DI72" s="317">
        <v>0</v>
      </c>
      <c r="DJ72" s="105">
        <v>1</v>
      </c>
      <c r="DK72" s="18">
        <v>0</v>
      </c>
      <c r="DL72" s="317">
        <v>0</v>
      </c>
      <c r="DM72" s="18">
        <v>0</v>
      </c>
      <c r="DN72" s="18">
        <v>0</v>
      </c>
      <c r="DO72" s="317">
        <v>0</v>
      </c>
      <c r="DP72" s="18">
        <v>0</v>
      </c>
      <c r="DQ72" s="18">
        <v>0</v>
      </c>
      <c r="DR72" s="317">
        <v>0</v>
      </c>
      <c r="DS72" s="105">
        <v>2</v>
      </c>
      <c r="DT72" s="18">
        <v>0</v>
      </c>
      <c r="DU72" s="317">
        <v>0</v>
      </c>
      <c r="DV72" s="18">
        <v>0</v>
      </c>
      <c r="DW72" s="18">
        <v>0</v>
      </c>
      <c r="DX72" s="317">
        <v>0</v>
      </c>
      <c r="DY72" s="18">
        <v>0</v>
      </c>
      <c r="DZ72" s="18">
        <v>0</v>
      </c>
      <c r="EA72" s="317">
        <v>0</v>
      </c>
      <c r="EB72" s="18">
        <v>0</v>
      </c>
      <c r="EC72" s="18">
        <v>0</v>
      </c>
      <c r="ED72" s="317">
        <v>0</v>
      </c>
      <c r="EE72" s="105">
        <v>1</v>
      </c>
      <c r="EF72" s="18">
        <v>0</v>
      </c>
      <c r="EG72" s="317">
        <v>0</v>
      </c>
      <c r="EH72" s="18">
        <v>0</v>
      </c>
      <c r="EI72" s="18">
        <v>0</v>
      </c>
      <c r="EJ72" s="317">
        <v>0</v>
      </c>
      <c r="EK72" s="18">
        <v>0</v>
      </c>
      <c r="EL72" s="18">
        <v>0</v>
      </c>
      <c r="EM72" s="317">
        <v>0</v>
      </c>
      <c r="EN72" s="646" t="s">
        <v>999</v>
      </c>
      <c r="EO72" s="531"/>
      <c r="EP72" s="531"/>
      <c r="EQ72" s="531"/>
      <c r="ER72" s="531"/>
      <c r="ES72" s="531"/>
      <c r="ET72" s="531"/>
      <c r="EU72" s="57" t="s">
        <v>1000</v>
      </c>
    </row>
    <row r="73" spans="1:151" ht="12.75">
      <c r="A73" s="93">
        <v>43904</v>
      </c>
      <c r="B73" s="14">
        <f t="shared" ref="B73:D73" si="69">SUM(F73,I73,L73,X73,AA73,AD73,AG73,AJ73,AM73,AP73,AS73,BB73,BE73,BN73,BQ73,BT73,BW73,CC73,CF73,CI73,CL73,CO73,CU73,CX73,DA73,DD73,DG73,DJ73,DP73,DS73,DY73,EB73,EE73,EH73,EK73,)</f>
        <v>3262</v>
      </c>
      <c r="C73" s="34">
        <f t="shared" si="69"/>
        <v>57</v>
      </c>
      <c r="D73" s="73">
        <f t="shared" si="69"/>
        <v>26</v>
      </c>
      <c r="E73" s="350">
        <f t="shared" si="2"/>
        <v>3179</v>
      </c>
      <c r="F73" s="105">
        <v>1</v>
      </c>
      <c r="G73" s="18">
        <v>0</v>
      </c>
      <c r="H73" s="317">
        <v>0</v>
      </c>
      <c r="I73" s="105">
        <v>34</v>
      </c>
      <c r="J73" s="139">
        <v>2</v>
      </c>
      <c r="K73" s="150">
        <v>1</v>
      </c>
      <c r="L73" s="105">
        <v>2</v>
      </c>
      <c r="M73" s="18">
        <v>0</v>
      </c>
      <c r="N73" s="317">
        <v>0</v>
      </c>
      <c r="O73" s="18">
        <v>0</v>
      </c>
      <c r="P73" s="18">
        <v>0</v>
      </c>
      <c r="Q73" s="317">
        <v>0</v>
      </c>
      <c r="R73" s="18">
        <v>0</v>
      </c>
      <c r="S73" s="18">
        <v>0</v>
      </c>
      <c r="T73" s="317">
        <v>0</v>
      </c>
      <c r="U73" s="18">
        <v>0</v>
      </c>
      <c r="V73" s="18">
        <v>0</v>
      </c>
      <c r="W73" s="317">
        <v>0</v>
      </c>
      <c r="X73" s="105">
        <v>10</v>
      </c>
      <c r="Y73" s="18">
        <v>0</v>
      </c>
      <c r="Z73" s="317">
        <v>0</v>
      </c>
      <c r="AA73" s="105">
        <v>151</v>
      </c>
      <c r="AB73" s="18">
        <v>0</v>
      </c>
      <c r="AC73" s="317">
        <v>0</v>
      </c>
      <c r="AD73" s="105">
        <v>196</v>
      </c>
      <c r="AE73" s="139">
        <v>1</v>
      </c>
      <c r="AF73" s="150">
        <v>8</v>
      </c>
      <c r="AG73" s="105">
        <v>61</v>
      </c>
      <c r="AH73" s="18">
        <v>0</v>
      </c>
      <c r="AI73" s="317">
        <v>0</v>
      </c>
      <c r="AJ73" s="105">
        <v>22</v>
      </c>
      <c r="AK73" s="18">
        <v>0</v>
      </c>
      <c r="AL73" s="317">
        <v>0</v>
      </c>
      <c r="AM73" s="105">
        <v>26</v>
      </c>
      <c r="AN73" s="18">
        <v>0</v>
      </c>
      <c r="AO73" s="317">
        <v>0</v>
      </c>
      <c r="AP73" s="105">
        <v>4</v>
      </c>
      <c r="AQ73" s="18">
        <v>0</v>
      </c>
      <c r="AR73" s="317">
        <v>0</v>
      </c>
      <c r="AS73" s="105">
        <v>1</v>
      </c>
      <c r="AT73" s="18">
        <v>0</v>
      </c>
      <c r="AU73" s="317">
        <v>0</v>
      </c>
      <c r="AV73" s="18">
        <v>0</v>
      </c>
      <c r="AW73" s="18">
        <v>0</v>
      </c>
      <c r="AX73" s="317">
        <v>0</v>
      </c>
      <c r="AY73" s="18">
        <v>0</v>
      </c>
      <c r="AZ73" s="18">
        <v>0</v>
      </c>
      <c r="BA73" s="317">
        <v>0</v>
      </c>
      <c r="BB73" s="105">
        <v>23</v>
      </c>
      <c r="BC73" s="139">
        <v>1</v>
      </c>
      <c r="BD73" s="317">
        <v>0</v>
      </c>
      <c r="BE73" s="105">
        <v>2572</v>
      </c>
      <c r="BF73" s="139">
        <v>51</v>
      </c>
      <c r="BG73" s="150">
        <v>12</v>
      </c>
      <c r="BH73" s="18">
        <v>0</v>
      </c>
      <c r="BI73" s="18">
        <v>0</v>
      </c>
      <c r="BJ73" s="317">
        <v>0</v>
      </c>
      <c r="BK73" s="18">
        <v>0</v>
      </c>
      <c r="BL73" s="18">
        <v>0</v>
      </c>
      <c r="BM73" s="317">
        <v>0</v>
      </c>
      <c r="BN73" s="105">
        <v>1</v>
      </c>
      <c r="BO73" s="18">
        <v>0</v>
      </c>
      <c r="BP73" s="317">
        <v>0</v>
      </c>
      <c r="BQ73" s="105">
        <v>1</v>
      </c>
      <c r="BR73" s="18">
        <v>0</v>
      </c>
      <c r="BS73" s="317">
        <v>0</v>
      </c>
      <c r="BT73" s="105">
        <v>1</v>
      </c>
      <c r="BU73" s="139">
        <v>1</v>
      </c>
      <c r="BV73" s="317">
        <v>0</v>
      </c>
      <c r="BW73" s="105">
        <v>5</v>
      </c>
      <c r="BX73" s="18">
        <v>0</v>
      </c>
      <c r="BY73" s="317">
        <v>0</v>
      </c>
      <c r="BZ73" s="18">
        <v>0</v>
      </c>
      <c r="CA73" s="18">
        <v>0</v>
      </c>
      <c r="CB73" s="317">
        <v>0</v>
      </c>
      <c r="CC73" s="105">
        <v>2</v>
      </c>
      <c r="CD73" s="18">
        <v>0</v>
      </c>
      <c r="CE73" s="317">
        <v>0</v>
      </c>
      <c r="CF73" s="105">
        <v>1</v>
      </c>
      <c r="CG73" s="18">
        <v>0</v>
      </c>
      <c r="CH73" s="317">
        <v>0</v>
      </c>
      <c r="CI73" s="105">
        <v>8</v>
      </c>
      <c r="CJ73" s="18">
        <v>0</v>
      </c>
      <c r="CK73" s="317">
        <v>0</v>
      </c>
      <c r="CL73" s="105">
        <v>9</v>
      </c>
      <c r="CM73" s="18">
        <v>0</v>
      </c>
      <c r="CN73" s="317">
        <v>0</v>
      </c>
      <c r="CO73" s="105">
        <v>26</v>
      </c>
      <c r="CP73" s="18">
        <v>0</v>
      </c>
      <c r="CQ73" s="150">
        <v>4</v>
      </c>
      <c r="CR73" s="18">
        <v>0</v>
      </c>
      <c r="CS73" s="18">
        <v>0</v>
      </c>
      <c r="CT73" s="317">
        <v>0</v>
      </c>
      <c r="CU73" s="105">
        <v>36</v>
      </c>
      <c r="CV73" s="139">
        <v>1</v>
      </c>
      <c r="CW73" s="317">
        <v>0</v>
      </c>
      <c r="CX73" s="105">
        <v>6</v>
      </c>
      <c r="CY73" s="18">
        <v>0</v>
      </c>
      <c r="CZ73" s="317">
        <v>0</v>
      </c>
      <c r="DA73" s="105">
        <v>38</v>
      </c>
      <c r="DB73" s="18">
        <v>0</v>
      </c>
      <c r="DC73" s="317">
        <v>0</v>
      </c>
      <c r="DD73" s="105">
        <v>1</v>
      </c>
      <c r="DE73" s="18">
        <v>0</v>
      </c>
      <c r="DF73" s="317">
        <v>0</v>
      </c>
      <c r="DG73" s="105">
        <v>11</v>
      </c>
      <c r="DH73" s="18">
        <v>0</v>
      </c>
      <c r="DI73" s="317">
        <v>0</v>
      </c>
      <c r="DJ73" s="105">
        <v>1</v>
      </c>
      <c r="DK73" s="18">
        <v>0</v>
      </c>
      <c r="DL73" s="317">
        <v>0</v>
      </c>
      <c r="DM73" s="18">
        <v>0</v>
      </c>
      <c r="DN73" s="18">
        <v>0</v>
      </c>
      <c r="DO73" s="317">
        <v>0</v>
      </c>
      <c r="DP73" s="105">
        <v>1</v>
      </c>
      <c r="DQ73" s="18">
        <v>0</v>
      </c>
      <c r="DR73" s="317">
        <v>0</v>
      </c>
      <c r="DS73" s="105">
        <v>2</v>
      </c>
      <c r="DT73" s="18">
        <v>0</v>
      </c>
      <c r="DU73" s="150">
        <v>1</v>
      </c>
      <c r="DV73" s="18">
        <v>0</v>
      </c>
      <c r="DW73" s="18">
        <v>0</v>
      </c>
      <c r="DX73" s="317">
        <v>0</v>
      </c>
      <c r="DY73" s="105">
        <v>1</v>
      </c>
      <c r="DZ73" s="18">
        <v>0</v>
      </c>
      <c r="EA73" s="317">
        <v>0</v>
      </c>
      <c r="EB73" s="105">
        <v>1</v>
      </c>
      <c r="EC73" s="18">
        <v>0</v>
      </c>
      <c r="ED73" s="317">
        <v>0</v>
      </c>
      <c r="EE73" s="105">
        <v>1</v>
      </c>
      <c r="EF73" s="18">
        <v>0</v>
      </c>
      <c r="EG73" s="317">
        <v>0</v>
      </c>
      <c r="EH73" s="105">
        <v>4</v>
      </c>
      <c r="EI73" s="18">
        <v>0</v>
      </c>
      <c r="EJ73" s="317">
        <v>0</v>
      </c>
      <c r="EK73" s="105">
        <v>2</v>
      </c>
      <c r="EL73" s="18">
        <v>0</v>
      </c>
      <c r="EM73" s="317">
        <v>0</v>
      </c>
      <c r="EN73" s="646" t="s">
        <v>1005</v>
      </c>
      <c r="EO73" s="531"/>
      <c r="EP73" s="531"/>
      <c r="EQ73" s="531"/>
      <c r="ER73" s="531"/>
      <c r="ES73" s="531"/>
      <c r="ET73" s="531"/>
      <c r="EU73" s="64" t="s">
        <v>1006</v>
      </c>
    </row>
    <row r="74" spans="1:151" ht="12.75">
      <c r="A74" s="93">
        <v>43905</v>
      </c>
      <c r="B74" s="14">
        <f t="shared" ref="B74:D74" si="70">SUM(F74,I74,L74,X74,AA74,AD74,AG74,AJ74,AM74,AP74,AS74,BB74,BE74,BN74,BQ74,BT74,BW74,CC74,CF74,CI74,CL74,CO74,CU74,CX74,DA74,DD74,DG74,DJ74,DP74,DS74,DY74,EB74,EE74,EH74,EK74,)</f>
        <v>4066</v>
      </c>
      <c r="C74" s="34">
        <f t="shared" si="70"/>
        <v>71</v>
      </c>
      <c r="D74" s="73">
        <f t="shared" si="70"/>
        <v>26</v>
      </c>
      <c r="E74" s="350">
        <f t="shared" si="2"/>
        <v>3969</v>
      </c>
      <c r="F74" s="105">
        <v>1</v>
      </c>
      <c r="G74" s="18">
        <v>0</v>
      </c>
      <c r="H74" s="317">
        <v>0</v>
      </c>
      <c r="I74" s="105">
        <v>45</v>
      </c>
      <c r="J74" s="139">
        <v>2</v>
      </c>
      <c r="K74" s="150">
        <v>1</v>
      </c>
      <c r="L74" s="105">
        <v>2</v>
      </c>
      <c r="M74" s="18">
        <v>0</v>
      </c>
      <c r="N74" s="317">
        <v>0</v>
      </c>
      <c r="O74" s="18">
        <v>0</v>
      </c>
      <c r="P74" s="18">
        <v>0</v>
      </c>
      <c r="Q74" s="317">
        <v>0</v>
      </c>
      <c r="R74" s="18">
        <v>0</v>
      </c>
      <c r="S74" s="18">
        <v>0</v>
      </c>
      <c r="T74" s="317">
        <v>0</v>
      </c>
      <c r="U74" s="18">
        <v>0</v>
      </c>
      <c r="V74" s="18">
        <v>0</v>
      </c>
      <c r="W74" s="317">
        <v>0</v>
      </c>
      <c r="X74" s="105">
        <v>10</v>
      </c>
      <c r="Y74" s="18">
        <v>0</v>
      </c>
      <c r="Z74" s="317">
        <v>0</v>
      </c>
      <c r="AA74" s="105">
        <v>162</v>
      </c>
      <c r="AB74" s="18">
        <v>0</v>
      </c>
      <c r="AC74" s="317">
        <v>0</v>
      </c>
      <c r="AD74" s="105">
        <v>250</v>
      </c>
      <c r="AE74" s="139">
        <v>1</v>
      </c>
      <c r="AF74" s="150">
        <v>8</v>
      </c>
      <c r="AG74" s="105">
        <v>61</v>
      </c>
      <c r="AH74" s="18">
        <v>0</v>
      </c>
      <c r="AI74" s="317">
        <v>0</v>
      </c>
      <c r="AJ74" s="105">
        <v>34</v>
      </c>
      <c r="AK74" s="18">
        <v>0</v>
      </c>
      <c r="AL74" s="317">
        <v>0</v>
      </c>
      <c r="AM74" s="105">
        <v>27</v>
      </c>
      <c r="AN74" s="18">
        <v>0</v>
      </c>
      <c r="AO74" s="317">
        <v>0</v>
      </c>
      <c r="AP74" s="105">
        <v>4</v>
      </c>
      <c r="AQ74" s="18">
        <v>0</v>
      </c>
      <c r="AR74" s="317">
        <v>0</v>
      </c>
      <c r="AS74" s="105">
        <v>1</v>
      </c>
      <c r="AT74" s="18">
        <v>0</v>
      </c>
      <c r="AU74" s="317">
        <v>0</v>
      </c>
      <c r="AV74" s="18">
        <v>0</v>
      </c>
      <c r="AW74" s="18">
        <v>0</v>
      </c>
      <c r="AX74" s="317">
        <v>0</v>
      </c>
      <c r="AY74" s="18">
        <v>0</v>
      </c>
      <c r="AZ74" s="18">
        <v>0</v>
      </c>
      <c r="BA74" s="317">
        <v>0</v>
      </c>
      <c r="BB74" s="105">
        <v>28</v>
      </c>
      <c r="BC74" s="139">
        <v>2</v>
      </c>
      <c r="BD74" s="317">
        <v>0</v>
      </c>
      <c r="BE74" s="105">
        <v>3244</v>
      </c>
      <c r="BF74" s="139">
        <v>62</v>
      </c>
      <c r="BG74" s="150">
        <v>12</v>
      </c>
      <c r="BH74" s="18">
        <v>0</v>
      </c>
      <c r="BI74" s="18">
        <v>0</v>
      </c>
      <c r="BJ74" s="317">
        <v>0</v>
      </c>
      <c r="BK74" s="18">
        <v>0</v>
      </c>
      <c r="BL74" s="18">
        <v>0</v>
      </c>
      <c r="BM74" s="317">
        <v>0</v>
      </c>
      <c r="BN74" s="105">
        <v>1</v>
      </c>
      <c r="BO74" s="18">
        <v>0</v>
      </c>
      <c r="BP74" s="317">
        <v>0</v>
      </c>
      <c r="BQ74" s="105">
        <v>1</v>
      </c>
      <c r="BR74" s="139">
        <v>1</v>
      </c>
      <c r="BS74" s="317">
        <v>0</v>
      </c>
      <c r="BT74" s="105">
        <v>4</v>
      </c>
      <c r="BU74" s="139">
        <v>1</v>
      </c>
      <c r="BV74" s="317">
        <v>0</v>
      </c>
      <c r="BW74" s="105">
        <v>5</v>
      </c>
      <c r="BX74" s="18">
        <v>0</v>
      </c>
      <c r="BY74" s="317">
        <v>0</v>
      </c>
      <c r="BZ74" s="18">
        <v>0</v>
      </c>
      <c r="CA74" s="18">
        <v>0</v>
      </c>
      <c r="CB74" s="317">
        <v>0</v>
      </c>
      <c r="CC74" s="105">
        <v>3</v>
      </c>
      <c r="CD74" s="18">
        <v>0</v>
      </c>
      <c r="CE74" s="317">
        <v>0</v>
      </c>
      <c r="CF74" s="105">
        <v>1</v>
      </c>
      <c r="CG74" s="18">
        <v>0</v>
      </c>
      <c r="CH74" s="317">
        <v>0</v>
      </c>
      <c r="CI74" s="105">
        <v>8</v>
      </c>
      <c r="CJ74" s="18">
        <v>0</v>
      </c>
      <c r="CK74" s="317">
        <v>0</v>
      </c>
      <c r="CL74" s="105">
        <v>9</v>
      </c>
      <c r="CM74" s="139">
        <v>1</v>
      </c>
      <c r="CN74" s="317">
        <v>0</v>
      </c>
      <c r="CO74" s="105">
        <v>41</v>
      </c>
      <c r="CP74" s="18">
        <v>0</v>
      </c>
      <c r="CQ74" s="150">
        <v>4</v>
      </c>
      <c r="CR74" s="18">
        <v>0</v>
      </c>
      <c r="CS74" s="18">
        <v>0</v>
      </c>
      <c r="CT74" s="317">
        <v>0</v>
      </c>
      <c r="CU74" s="105">
        <v>43</v>
      </c>
      <c r="CV74" s="139">
        <v>1</v>
      </c>
      <c r="CW74" s="317">
        <v>0</v>
      </c>
      <c r="CX74" s="105">
        <v>6</v>
      </c>
      <c r="CY74" s="18">
        <v>0</v>
      </c>
      <c r="CZ74" s="317">
        <v>0</v>
      </c>
      <c r="DA74" s="105">
        <v>43</v>
      </c>
      <c r="DB74" s="18">
        <v>0</v>
      </c>
      <c r="DC74" s="317">
        <v>0</v>
      </c>
      <c r="DD74" s="105">
        <v>1</v>
      </c>
      <c r="DE74" s="18">
        <v>0</v>
      </c>
      <c r="DF74" s="317">
        <v>0</v>
      </c>
      <c r="DG74" s="105">
        <v>11</v>
      </c>
      <c r="DH74" s="18">
        <v>0</v>
      </c>
      <c r="DI74" s="317">
        <v>0</v>
      </c>
      <c r="DJ74" s="105">
        <v>1</v>
      </c>
      <c r="DK74" s="18">
        <v>0</v>
      </c>
      <c r="DL74" s="317">
        <v>0</v>
      </c>
      <c r="DM74" s="18">
        <v>0</v>
      </c>
      <c r="DN74" s="18">
        <v>0</v>
      </c>
      <c r="DO74" s="317">
        <v>0</v>
      </c>
      <c r="DP74" s="105">
        <v>1</v>
      </c>
      <c r="DQ74" s="18">
        <v>0</v>
      </c>
      <c r="DR74" s="317">
        <v>0</v>
      </c>
      <c r="DS74" s="105">
        <v>2</v>
      </c>
      <c r="DT74" s="18">
        <v>0</v>
      </c>
      <c r="DU74" s="150">
        <v>1</v>
      </c>
      <c r="DV74" s="18">
        <v>0</v>
      </c>
      <c r="DW74" s="18">
        <v>0</v>
      </c>
      <c r="DX74" s="317">
        <v>0</v>
      </c>
      <c r="DY74" s="105">
        <v>1</v>
      </c>
      <c r="DZ74" s="18">
        <v>0</v>
      </c>
      <c r="EA74" s="317">
        <v>0</v>
      </c>
      <c r="EB74" s="105">
        <v>1</v>
      </c>
      <c r="EC74" s="18">
        <v>0</v>
      </c>
      <c r="ED74" s="317">
        <v>0</v>
      </c>
      <c r="EE74" s="105">
        <v>2</v>
      </c>
      <c r="EF74" s="18">
        <v>0</v>
      </c>
      <c r="EG74" s="317">
        <v>0</v>
      </c>
      <c r="EH74" s="105">
        <v>4</v>
      </c>
      <c r="EI74" s="18">
        <v>0</v>
      </c>
      <c r="EJ74" s="317">
        <v>0</v>
      </c>
      <c r="EK74" s="105">
        <v>8</v>
      </c>
      <c r="EL74" s="18">
        <v>0</v>
      </c>
      <c r="EM74" s="317">
        <v>0</v>
      </c>
      <c r="EN74" s="646" t="s">
        <v>1007</v>
      </c>
      <c r="EO74" s="531"/>
      <c r="EP74" s="531"/>
      <c r="EQ74" s="531"/>
      <c r="ER74" s="531"/>
      <c r="ES74" s="531"/>
      <c r="ET74" s="531"/>
      <c r="EU74" s="64" t="s">
        <v>1008</v>
      </c>
    </row>
    <row r="75" spans="1:151" ht="12.75">
      <c r="A75" s="93">
        <v>43906</v>
      </c>
      <c r="B75" s="14">
        <f t="shared" ref="B75:D75" si="71">SUM(F75,I75,L75,O75,X75,AA75,AD75,AG75,AJ75,AM75,AP75,AS75,BB75,BE75,BN75,BQ75,BT75,BW75,CC75,CF75,CI75,CL75,CO75,CU75,CX75,DA75,DD75,DG75,DJ75,DP75,DS75,DY75,EB75,EE75,EH75,EK75,)</f>
        <v>5454</v>
      </c>
      <c r="C75" s="34">
        <f t="shared" si="71"/>
        <v>83</v>
      </c>
      <c r="D75" s="73">
        <f t="shared" si="71"/>
        <v>28</v>
      </c>
      <c r="E75" s="350">
        <f t="shared" si="2"/>
        <v>5343</v>
      </c>
      <c r="F75" s="105">
        <v>1</v>
      </c>
      <c r="G75" s="18">
        <v>0</v>
      </c>
      <c r="H75" s="317">
        <v>0</v>
      </c>
      <c r="I75" s="105">
        <v>56</v>
      </c>
      <c r="J75" s="139">
        <v>2</v>
      </c>
      <c r="K75" s="150">
        <v>1</v>
      </c>
      <c r="L75" s="105">
        <v>2</v>
      </c>
      <c r="M75" s="18">
        <v>0</v>
      </c>
      <c r="N75" s="317">
        <v>0</v>
      </c>
      <c r="O75" s="105">
        <v>1</v>
      </c>
      <c r="P75" s="18">
        <v>0</v>
      </c>
      <c r="Q75" s="317">
        <v>0</v>
      </c>
      <c r="R75" s="18">
        <v>0</v>
      </c>
      <c r="S75" s="18">
        <v>0</v>
      </c>
      <c r="T75" s="317">
        <v>0</v>
      </c>
      <c r="U75" s="18">
        <v>0</v>
      </c>
      <c r="V75" s="18">
        <v>0</v>
      </c>
      <c r="W75" s="317">
        <v>0</v>
      </c>
      <c r="X75" s="105">
        <v>10</v>
      </c>
      <c r="Y75" s="18">
        <v>0</v>
      </c>
      <c r="Z75" s="317">
        <v>0</v>
      </c>
      <c r="AA75" s="105">
        <v>200</v>
      </c>
      <c r="AB75" s="18">
        <v>0</v>
      </c>
      <c r="AC75" s="150">
        <v>1</v>
      </c>
      <c r="AD75" s="105">
        <v>373</v>
      </c>
      <c r="AE75" s="139">
        <v>1</v>
      </c>
      <c r="AF75" s="150">
        <v>9</v>
      </c>
      <c r="AG75" s="105">
        <v>155</v>
      </c>
      <c r="AH75" s="18">
        <v>0</v>
      </c>
      <c r="AI75" s="317">
        <v>0</v>
      </c>
      <c r="AJ75" s="105">
        <v>34</v>
      </c>
      <c r="AK75" s="18">
        <v>0</v>
      </c>
      <c r="AL75" s="317">
        <v>0</v>
      </c>
      <c r="AM75" s="105">
        <v>35</v>
      </c>
      <c r="AN75" s="18">
        <v>0</v>
      </c>
      <c r="AO75" s="317">
        <v>0</v>
      </c>
      <c r="AP75" s="105">
        <v>4</v>
      </c>
      <c r="AQ75" s="18">
        <v>0</v>
      </c>
      <c r="AR75" s="317">
        <v>0</v>
      </c>
      <c r="AS75" s="105">
        <v>1</v>
      </c>
      <c r="AT75" s="18">
        <v>0</v>
      </c>
      <c r="AU75" s="317">
        <v>0</v>
      </c>
      <c r="AV75" s="18">
        <v>0</v>
      </c>
      <c r="AW75" s="18">
        <v>0</v>
      </c>
      <c r="AX75" s="317">
        <v>0</v>
      </c>
      <c r="AY75" s="18">
        <v>0</v>
      </c>
      <c r="AZ75" s="18">
        <v>0</v>
      </c>
      <c r="BA75" s="317">
        <v>0</v>
      </c>
      <c r="BB75" s="105">
        <v>37</v>
      </c>
      <c r="BC75" s="139">
        <v>2</v>
      </c>
      <c r="BD75" s="317">
        <v>0</v>
      </c>
      <c r="BE75" s="105">
        <v>4287</v>
      </c>
      <c r="BF75" s="139">
        <v>74</v>
      </c>
      <c r="BG75" s="150">
        <v>12</v>
      </c>
      <c r="BH75" s="18">
        <v>0</v>
      </c>
      <c r="BI75" s="18">
        <v>0</v>
      </c>
      <c r="BJ75" s="317">
        <v>0</v>
      </c>
      <c r="BK75" s="105">
        <v>1</v>
      </c>
      <c r="BL75" s="18">
        <v>0</v>
      </c>
      <c r="BM75" s="317">
        <v>0</v>
      </c>
      <c r="BN75" s="105">
        <v>3</v>
      </c>
      <c r="BO75" s="18">
        <v>0</v>
      </c>
      <c r="BP75" s="317">
        <v>0</v>
      </c>
      <c r="BQ75" s="105">
        <v>1</v>
      </c>
      <c r="BR75" s="139">
        <v>1</v>
      </c>
      <c r="BS75" s="317">
        <v>0</v>
      </c>
      <c r="BT75" s="105">
        <v>4</v>
      </c>
      <c r="BU75" s="139">
        <v>1</v>
      </c>
      <c r="BV75" s="317">
        <v>0</v>
      </c>
      <c r="BW75" s="105">
        <v>5</v>
      </c>
      <c r="BX75" s="18">
        <v>0</v>
      </c>
      <c r="BY75" s="317">
        <v>0</v>
      </c>
      <c r="BZ75" s="18">
        <v>0</v>
      </c>
      <c r="CA75" s="18">
        <v>0</v>
      </c>
      <c r="CB75" s="317">
        <v>0</v>
      </c>
      <c r="CC75" s="105">
        <v>3</v>
      </c>
      <c r="CD75" s="18">
        <v>0</v>
      </c>
      <c r="CE75" s="317">
        <v>0</v>
      </c>
      <c r="CF75" s="105">
        <v>1</v>
      </c>
      <c r="CG75" s="18">
        <v>0</v>
      </c>
      <c r="CH75" s="317">
        <v>0</v>
      </c>
      <c r="CI75" s="105">
        <v>10</v>
      </c>
      <c r="CJ75" s="18">
        <v>0</v>
      </c>
      <c r="CK75" s="317">
        <v>0</v>
      </c>
      <c r="CL75" s="105">
        <v>10</v>
      </c>
      <c r="CM75" s="139">
        <v>1</v>
      </c>
      <c r="CN75" s="317">
        <v>0</v>
      </c>
      <c r="CO75" s="105">
        <v>43</v>
      </c>
      <c r="CP75" s="18">
        <v>0</v>
      </c>
      <c r="CQ75" s="150">
        <v>4</v>
      </c>
      <c r="CR75" s="18">
        <v>0</v>
      </c>
      <c r="CS75" s="18">
        <v>0</v>
      </c>
      <c r="CT75" s="317">
        <v>0</v>
      </c>
      <c r="CU75" s="105">
        <v>43</v>
      </c>
      <c r="CV75" s="139">
        <v>1</v>
      </c>
      <c r="CW75" s="317">
        <v>0</v>
      </c>
      <c r="CX75" s="105">
        <v>7</v>
      </c>
      <c r="CY75" s="18">
        <v>0</v>
      </c>
      <c r="CZ75" s="317">
        <v>0</v>
      </c>
      <c r="DA75" s="105">
        <v>86</v>
      </c>
      <c r="DB75" s="18">
        <v>0</v>
      </c>
      <c r="DC75" s="317">
        <v>0</v>
      </c>
      <c r="DD75" s="105">
        <v>1</v>
      </c>
      <c r="DE75" s="18">
        <v>0</v>
      </c>
      <c r="DF75" s="317">
        <v>0</v>
      </c>
      <c r="DG75" s="105">
        <v>11</v>
      </c>
      <c r="DH75" s="18">
        <v>0</v>
      </c>
      <c r="DI75" s="317">
        <v>0</v>
      </c>
      <c r="DJ75" s="105">
        <v>1</v>
      </c>
      <c r="DK75" s="18">
        <v>0</v>
      </c>
      <c r="DL75" s="317">
        <v>0</v>
      </c>
      <c r="DM75" s="18">
        <v>0</v>
      </c>
      <c r="DN75" s="18">
        <v>0</v>
      </c>
      <c r="DO75" s="317">
        <v>0</v>
      </c>
      <c r="DP75" s="105">
        <v>2</v>
      </c>
      <c r="DQ75" s="18">
        <v>0</v>
      </c>
      <c r="DR75" s="317">
        <v>0</v>
      </c>
      <c r="DS75" s="105">
        <v>2</v>
      </c>
      <c r="DT75" s="18">
        <v>0</v>
      </c>
      <c r="DU75" s="150">
        <v>1</v>
      </c>
      <c r="DV75" s="18">
        <v>0</v>
      </c>
      <c r="DW75" s="18">
        <v>0</v>
      </c>
      <c r="DX75" s="317">
        <v>0</v>
      </c>
      <c r="DY75" s="105">
        <v>1</v>
      </c>
      <c r="DZ75" s="18">
        <v>0</v>
      </c>
      <c r="EA75" s="317">
        <v>0</v>
      </c>
      <c r="EB75" s="105">
        <v>1</v>
      </c>
      <c r="EC75" s="18">
        <v>0</v>
      </c>
      <c r="ED75" s="317">
        <v>0</v>
      </c>
      <c r="EE75" s="105">
        <v>2</v>
      </c>
      <c r="EF75" s="18">
        <v>0</v>
      </c>
      <c r="EG75" s="317">
        <v>0</v>
      </c>
      <c r="EH75" s="105">
        <v>4</v>
      </c>
      <c r="EI75" s="18">
        <v>0</v>
      </c>
      <c r="EJ75" s="317">
        <v>0</v>
      </c>
      <c r="EK75" s="105">
        <v>17</v>
      </c>
      <c r="EL75" s="18">
        <v>0</v>
      </c>
      <c r="EM75" s="317">
        <v>0</v>
      </c>
      <c r="EN75" s="646" t="s">
        <v>1012</v>
      </c>
      <c r="EO75" s="531"/>
      <c r="EP75" s="531"/>
      <c r="EQ75" s="531"/>
      <c r="ER75" s="531"/>
      <c r="ES75" s="531"/>
      <c r="ET75" s="531"/>
      <c r="EU75" s="64" t="s">
        <v>1013</v>
      </c>
    </row>
    <row r="76" spans="1:151" ht="12.75">
      <c r="A76" s="93">
        <v>43907</v>
      </c>
      <c r="B76" s="14">
        <f t="shared" ref="B76:D76" si="72">SUM(F76,I76,L76,O76,R76,X76,AA76,AD76,AG76,AJ76,AM76,AP76,AS76,BB76,BE76,BK76,BN76,BQ76,BT76,BW76,CC76,CF76,CI76,CL76,CO76,CU76,CX76,DA76,DD76,DG76,DJ76,DP76,DS76,DY76,EB76,EE76,EH76,EK76,)</f>
        <v>8041</v>
      </c>
      <c r="C76" s="34">
        <f t="shared" si="72"/>
        <v>123</v>
      </c>
      <c r="D76" s="73">
        <f t="shared" si="72"/>
        <v>40</v>
      </c>
      <c r="E76" s="350">
        <f t="shared" si="2"/>
        <v>7878</v>
      </c>
      <c r="F76" s="105">
        <v>1</v>
      </c>
      <c r="G76" s="18">
        <v>0</v>
      </c>
      <c r="H76" s="317">
        <v>0</v>
      </c>
      <c r="I76" s="105">
        <v>68</v>
      </c>
      <c r="J76" s="139">
        <v>2</v>
      </c>
      <c r="K76" s="150">
        <v>3</v>
      </c>
      <c r="L76" s="105">
        <v>3</v>
      </c>
      <c r="M76" s="18">
        <v>0</v>
      </c>
      <c r="N76" s="317">
        <v>0</v>
      </c>
      <c r="O76" s="105">
        <v>1</v>
      </c>
      <c r="P76" s="18">
        <v>0</v>
      </c>
      <c r="Q76" s="317">
        <v>0</v>
      </c>
      <c r="R76" s="105">
        <v>2</v>
      </c>
      <c r="S76" s="18">
        <v>0</v>
      </c>
      <c r="T76" s="317">
        <v>0</v>
      </c>
      <c r="U76" s="18">
        <v>0</v>
      </c>
      <c r="V76" s="18">
        <v>0</v>
      </c>
      <c r="W76" s="317">
        <v>0</v>
      </c>
      <c r="X76" s="105">
        <v>11</v>
      </c>
      <c r="Y76" s="18">
        <v>0</v>
      </c>
      <c r="Z76" s="317">
        <v>0</v>
      </c>
      <c r="AA76" s="105">
        <v>321</v>
      </c>
      <c r="AB76" s="139">
        <v>1</v>
      </c>
      <c r="AC76" s="150">
        <v>2</v>
      </c>
      <c r="AD76" s="105">
        <v>449</v>
      </c>
      <c r="AE76" s="139">
        <v>5</v>
      </c>
      <c r="AF76" s="150">
        <v>9</v>
      </c>
      <c r="AG76" s="105">
        <v>201</v>
      </c>
      <c r="AH76" s="18">
        <v>0</v>
      </c>
      <c r="AI76" s="317">
        <v>0</v>
      </c>
      <c r="AJ76" s="105">
        <v>65</v>
      </c>
      <c r="AK76" s="18">
        <v>0</v>
      </c>
      <c r="AL76" s="150">
        <v>1</v>
      </c>
      <c r="AM76" s="105">
        <v>41</v>
      </c>
      <c r="AN76" s="18">
        <v>0</v>
      </c>
      <c r="AO76" s="317">
        <v>0</v>
      </c>
      <c r="AP76" s="105">
        <v>5</v>
      </c>
      <c r="AQ76" s="18">
        <v>0</v>
      </c>
      <c r="AR76" s="317">
        <v>0</v>
      </c>
      <c r="AS76" s="105">
        <v>1</v>
      </c>
      <c r="AT76" s="18">
        <v>0</v>
      </c>
      <c r="AU76" s="317">
        <v>0</v>
      </c>
      <c r="AV76" s="18">
        <v>0</v>
      </c>
      <c r="AW76" s="18">
        <v>0</v>
      </c>
      <c r="AX76" s="317">
        <v>0</v>
      </c>
      <c r="AY76" s="18">
        <v>0</v>
      </c>
      <c r="AZ76" s="18">
        <v>0</v>
      </c>
      <c r="BA76" s="317">
        <v>0</v>
      </c>
      <c r="BB76" s="105">
        <v>58</v>
      </c>
      <c r="BC76" s="139">
        <v>2</v>
      </c>
      <c r="BD76" s="317">
        <v>0</v>
      </c>
      <c r="BE76" s="105">
        <v>6362</v>
      </c>
      <c r="BF76" s="139">
        <v>108</v>
      </c>
      <c r="BG76" s="150">
        <v>17</v>
      </c>
      <c r="BH76" s="18">
        <v>0</v>
      </c>
      <c r="BI76" s="18">
        <v>0</v>
      </c>
      <c r="BJ76" s="317">
        <v>0</v>
      </c>
      <c r="BK76" s="105">
        <v>1</v>
      </c>
      <c r="BL76" s="18">
        <v>0</v>
      </c>
      <c r="BM76" s="317">
        <v>0</v>
      </c>
      <c r="BN76" s="105">
        <v>18</v>
      </c>
      <c r="BO76" s="18">
        <v>0</v>
      </c>
      <c r="BP76" s="317">
        <v>0</v>
      </c>
      <c r="BQ76" s="105">
        <v>6</v>
      </c>
      <c r="BR76" s="139">
        <v>1</v>
      </c>
      <c r="BS76" s="317">
        <v>0</v>
      </c>
      <c r="BT76" s="105">
        <v>4</v>
      </c>
      <c r="BU76" s="139">
        <v>1</v>
      </c>
      <c r="BV76" s="317">
        <v>0</v>
      </c>
      <c r="BW76" s="105">
        <v>11</v>
      </c>
      <c r="BX76" s="18">
        <v>0</v>
      </c>
      <c r="BY76" s="317">
        <v>0</v>
      </c>
      <c r="BZ76" s="18">
        <v>0</v>
      </c>
      <c r="CA76" s="18">
        <v>0</v>
      </c>
      <c r="CB76" s="317">
        <v>0</v>
      </c>
      <c r="CC76" s="105">
        <v>8</v>
      </c>
      <c r="CD76" s="18">
        <v>0</v>
      </c>
      <c r="CE76" s="317">
        <v>0</v>
      </c>
      <c r="CF76" s="105">
        <v>1</v>
      </c>
      <c r="CG76" s="18">
        <v>0</v>
      </c>
      <c r="CH76" s="317">
        <v>0</v>
      </c>
      <c r="CI76" s="105">
        <v>12</v>
      </c>
      <c r="CJ76" s="18">
        <v>0</v>
      </c>
      <c r="CK76" s="150">
        <v>2</v>
      </c>
      <c r="CL76" s="105">
        <v>16</v>
      </c>
      <c r="CM76" s="139">
        <v>1</v>
      </c>
      <c r="CN76" s="317">
        <v>0</v>
      </c>
      <c r="CO76" s="105">
        <v>82</v>
      </c>
      <c r="CP76" s="18">
        <v>0</v>
      </c>
      <c r="CQ76" s="150">
        <v>4</v>
      </c>
      <c r="CR76" s="18">
        <v>0</v>
      </c>
      <c r="CS76" s="18">
        <v>0</v>
      </c>
      <c r="CT76" s="317">
        <v>0</v>
      </c>
      <c r="CU76" s="105">
        <v>69</v>
      </c>
      <c r="CV76" s="139">
        <v>1</v>
      </c>
      <c r="CW76" s="317">
        <v>0</v>
      </c>
      <c r="CX76" s="105">
        <v>9</v>
      </c>
      <c r="CY76" s="18">
        <v>0</v>
      </c>
      <c r="CZ76" s="317">
        <v>0</v>
      </c>
      <c r="DA76" s="105">
        <v>117</v>
      </c>
      <c r="DB76" s="18">
        <v>0</v>
      </c>
      <c r="DC76" s="150">
        <v>1</v>
      </c>
      <c r="DD76" s="105">
        <v>3</v>
      </c>
      <c r="DE76" s="18">
        <v>0</v>
      </c>
      <c r="DF76" s="317">
        <v>0</v>
      </c>
      <c r="DG76" s="105">
        <v>21</v>
      </c>
      <c r="DH76" s="139">
        <v>1</v>
      </c>
      <c r="DI76" s="317">
        <v>0</v>
      </c>
      <c r="DJ76" s="105">
        <v>1</v>
      </c>
      <c r="DK76" s="18">
        <v>0</v>
      </c>
      <c r="DL76" s="317">
        <v>0</v>
      </c>
      <c r="DM76" s="18">
        <v>0</v>
      </c>
      <c r="DN76" s="18">
        <v>0</v>
      </c>
      <c r="DO76" s="317">
        <v>0</v>
      </c>
      <c r="DP76" s="105">
        <v>2</v>
      </c>
      <c r="DQ76" s="18">
        <v>0</v>
      </c>
      <c r="DR76" s="317">
        <v>0</v>
      </c>
      <c r="DS76" s="105">
        <v>2</v>
      </c>
      <c r="DT76" s="18">
        <v>0</v>
      </c>
      <c r="DU76" s="150">
        <v>1</v>
      </c>
      <c r="DV76" s="18">
        <v>0</v>
      </c>
      <c r="DW76" s="18">
        <v>0</v>
      </c>
      <c r="DX76" s="317">
        <v>0</v>
      </c>
      <c r="DY76" s="105">
        <v>1</v>
      </c>
      <c r="DZ76" s="18">
        <v>0</v>
      </c>
      <c r="EA76" s="317">
        <v>0</v>
      </c>
      <c r="EB76" s="105">
        <v>1</v>
      </c>
      <c r="EC76" s="18">
        <v>0</v>
      </c>
      <c r="ED76" s="317">
        <v>0</v>
      </c>
      <c r="EE76" s="105">
        <v>5</v>
      </c>
      <c r="EF76" s="18">
        <v>0</v>
      </c>
      <c r="EG76" s="317">
        <v>0</v>
      </c>
      <c r="EH76" s="105">
        <v>29</v>
      </c>
      <c r="EI76" s="18">
        <v>0</v>
      </c>
      <c r="EJ76" s="317">
        <v>0</v>
      </c>
      <c r="EK76" s="105">
        <v>33</v>
      </c>
      <c r="EL76" s="18">
        <v>0</v>
      </c>
      <c r="EM76" s="317">
        <v>0</v>
      </c>
      <c r="EN76" s="646" t="s">
        <v>1016</v>
      </c>
      <c r="EO76" s="531"/>
      <c r="EP76" s="531"/>
      <c r="EQ76" s="531"/>
      <c r="ER76" s="531"/>
      <c r="ES76" s="531"/>
      <c r="ET76" s="531"/>
      <c r="EU76" s="398" t="s">
        <v>1017</v>
      </c>
    </row>
    <row r="77" spans="1:151" ht="12.75">
      <c r="A77" s="93">
        <v>43908</v>
      </c>
      <c r="B77" s="14">
        <f t="shared" ref="B77:D77" si="73">SUM(F77,I77,L77,O77,R77,X77,AA77,AD77,AG77,AJ77,AM77,AP77,AS77,BB77,BE77,BK77,BN77,BQ77,BT77,BW77,CC77,CF77,CI77,CL77,CO77,CU77,CX77,DA77,DD77,DG77,DJ77,DP77,DS77,DY77,EB77,EE77,EH77,EK77,)</f>
        <v>9947</v>
      </c>
      <c r="C77" s="34">
        <f t="shared" si="73"/>
        <v>140</v>
      </c>
      <c r="D77" s="73">
        <f t="shared" si="73"/>
        <v>129</v>
      </c>
      <c r="E77" s="350">
        <f t="shared" si="2"/>
        <v>9678</v>
      </c>
      <c r="F77" s="105">
        <v>1</v>
      </c>
      <c r="G77" s="18">
        <v>0</v>
      </c>
      <c r="H77" s="317">
        <v>0</v>
      </c>
      <c r="I77" s="105">
        <v>79</v>
      </c>
      <c r="J77" s="139">
        <v>2</v>
      </c>
      <c r="K77" s="150">
        <v>3</v>
      </c>
      <c r="L77" s="105">
        <v>4</v>
      </c>
      <c r="M77" s="18">
        <v>0</v>
      </c>
      <c r="N77" s="317">
        <v>0</v>
      </c>
      <c r="O77" s="105">
        <v>1</v>
      </c>
      <c r="P77" s="18">
        <v>0</v>
      </c>
      <c r="Q77" s="317">
        <v>0</v>
      </c>
      <c r="R77" s="105">
        <v>2</v>
      </c>
      <c r="S77" s="18">
        <v>0</v>
      </c>
      <c r="T77" s="317">
        <v>0</v>
      </c>
      <c r="U77" s="18">
        <v>0</v>
      </c>
      <c r="V77" s="18">
        <v>0</v>
      </c>
      <c r="W77" s="317">
        <v>0</v>
      </c>
      <c r="X77" s="105">
        <v>12</v>
      </c>
      <c r="Y77" s="18">
        <v>0</v>
      </c>
      <c r="Z77" s="317">
        <v>0</v>
      </c>
      <c r="AA77" s="105">
        <v>372</v>
      </c>
      <c r="AB77" s="139">
        <v>3</v>
      </c>
      <c r="AC77" s="150">
        <v>2</v>
      </c>
      <c r="AD77" s="105">
        <v>657</v>
      </c>
      <c r="AE77" s="139">
        <v>8</v>
      </c>
      <c r="AF77" s="150">
        <v>9</v>
      </c>
      <c r="AG77" s="105">
        <v>238</v>
      </c>
      <c r="AH77" s="18">
        <v>0</v>
      </c>
      <c r="AI77" s="317">
        <v>0</v>
      </c>
      <c r="AJ77" s="105">
        <v>93</v>
      </c>
      <c r="AK77" s="18">
        <v>0</v>
      </c>
      <c r="AL77" s="150">
        <v>1</v>
      </c>
      <c r="AM77" s="105">
        <v>50</v>
      </c>
      <c r="AN77" s="18">
        <v>0</v>
      </c>
      <c r="AO77" s="317">
        <v>0</v>
      </c>
      <c r="AP77" s="105">
        <v>7</v>
      </c>
      <c r="AQ77" s="139">
        <v>1</v>
      </c>
      <c r="AR77" s="317">
        <v>0</v>
      </c>
      <c r="AS77" s="105">
        <v>1</v>
      </c>
      <c r="AT77" s="139">
        <v>1</v>
      </c>
      <c r="AU77" s="317">
        <v>0</v>
      </c>
      <c r="AV77" s="18">
        <v>0</v>
      </c>
      <c r="AW77" s="18">
        <v>0</v>
      </c>
      <c r="AX77" s="317">
        <v>0</v>
      </c>
      <c r="AY77" s="18">
        <v>0</v>
      </c>
      <c r="AZ77" s="18">
        <v>0</v>
      </c>
      <c r="BA77" s="317">
        <v>0</v>
      </c>
      <c r="BB77" s="105">
        <v>111</v>
      </c>
      <c r="BC77" s="139">
        <v>2</v>
      </c>
      <c r="BD77" s="317">
        <v>0</v>
      </c>
      <c r="BE77" s="105">
        <v>7769</v>
      </c>
      <c r="BF77" s="139">
        <v>118</v>
      </c>
      <c r="BG77" s="150">
        <v>106</v>
      </c>
      <c r="BH77" s="18">
        <v>0</v>
      </c>
      <c r="BI77" s="18">
        <v>0</v>
      </c>
      <c r="BJ77" s="317">
        <v>0</v>
      </c>
      <c r="BK77" s="105">
        <v>1</v>
      </c>
      <c r="BL77" s="18">
        <v>0</v>
      </c>
      <c r="BM77" s="317">
        <v>0</v>
      </c>
      <c r="BN77" s="105">
        <v>27</v>
      </c>
      <c r="BO77" s="18">
        <v>0</v>
      </c>
      <c r="BP77" s="317">
        <v>0</v>
      </c>
      <c r="BQ77" s="105">
        <v>6</v>
      </c>
      <c r="BR77" s="139">
        <v>1</v>
      </c>
      <c r="BS77" s="317">
        <v>0</v>
      </c>
      <c r="BT77" s="105">
        <v>4</v>
      </c>
      <c r="BU77" s="139">
        <v>1</v>
      </c>
      <c r="BV77" s="317">
        <v>0</v>
      </c>
      <c r="BW77" s="105">
        <v>11</v>
      </c>
      <c r="BX77" s="18">
        <v>0</v>
      </c>
      <c r="BY77" s="317">
        <v>0</v>
      </c>
      <c r="BZ77" s="18">
        <v>0</v>
      </c>
      <c r="CA77" s="18">
        <v>0</v>
      </c>
      <c r="CB77" s="317">
        <v>0</v>
      </c>
      <c r="CC77" s="105">
        <v>9</v>
      </c>
      <c r="CD77" s="18">
        <v>0</v>
      </c>
      <c r="CE77" s="317">
        <v>0</v>
      </c>
      <c r="CF77" s="105">
        <v>1</v>
      </c>
      <c r="CG77" s="18">
        <v>0</v>
      </c>
      <c r="CH77" s="317">
        <v>0</v>
      </c>
      <c r="CI77" s="105">
        <v>13</v>
      </c>
      <c r="CJ77" s="18">
        <v>0</v>
      </c>
      <c r="CK77" s="150">
        <v>2</v>
      </c>
      <c r="CL77" s="105">
        <v>19</v>
      </c>
      <c r="CM77" s="139">
        <v>1</v>
      </c>
      <c r="CN77" s="317">
        <v>0</v>
      </c>
      <c r="CO77" s="105">
        <v>93</v>
      </c>
      <c r="CP77" s="18">
        <v>0</v>
      </c>
      <c r="CQ77" s="150">
        <v>4</v>
      </c>
      <c r="CR77" s="18">
        <v>0</v>
      </c>
      <c r="CS77" s="18">
        <v>0</v>
      </c>
      <c r="CT77" s="317">
        <v>0</v>
      </c>
      <c r="CU77" s="105">
        <v>86</v>
      </c>
      <c r="CV77" s="139">
        <v>1</v>
      </c>
      <c r="CW77" s="317">
        <v>0</v>
      </c>
      <c r="CX77" s="105">
        <v>11</v>
      </c>
      <c r="CY77" s="18">
        <v>0</v>
      </c>
      <c r="CZ77" s="317">
        <v>0</v>
      </c>
      <c r="DA77" s="105">
        <v>145</v>
      </c>
      <c r="DB77" s="18">
        <v>0</v>
      </c>
      <c r="DC77" s="150">
        <v>1</v>
      </c>
      <c r="DD77" s="105">
        <v>3</v>
      </c>
      <c r="DE77" s="18">
        <v>0</v>
      </c>
      <c r="DF77" s="317">
        <v>0</v>
      </c>
      <c r="DG77" s="105">
        <v>21</v>
      </c>
      <c r="DH77" s="139">
        <v>1</v>
      </c>
      <c r="DI77" s="317">
        <v>0</v>
      </c>
      <c r="DJ77" s="105">
        <v>1</v>
      </c>
      <c r="DK77" s="18">
        <v>0</v>
      </c>
      <c r="DL77" s="317">
        <v>0</v>
      </c>
      <c r="DM77" s="18">
        <v>0</v>
      </c>
      <c r="DN77" s="18">
        <v>0</v>
      </c>
      <c r="DO77" s="317">
        <v>0</v>
      </c>
      <c r="DP77" s="105">
        <v>2</v>
      </c>
      <c r="DQ77" s="18">
        <v>0</v>
      </c>
      <c r="DR77" s="317">
        <v>0</v>
      </c>
      <c r="DS77" s="105">
        <v>2</v>
      </c>
      <c r="DT77" s="18">
        <v>0</v>
      </c>
      <c r="DU77" s="150">
        <v>1</v>
      </c>
      <c r="DV77" s="18">
        <v>0</v>
      </c>
      <c r="DW77" s="18">
        <v>0</v>
      </c>
      <c r="DX77" s="317">
        <v>0</v>
      </c>
      <c r="DY77" s="105">
        <v>1</v>
      </c>
      <c r="DZ77" s="18">
        <v>0</v>
      </c>
      <c r="EA77" s="317">
        <v>0</v>
      </c>
      <c r="EB77" s="105">
        <v>1</v>
      </c>
      <c r="EC77" s="18">
        <v>0</v>
      </c>
      <c r="ED77" s="317">
        <v>0</v>
      </c>
      <c r="EE77" s="105">
        <v>7</v>
      </c>
      <c r="EF77" s="18">
        <v>0</v>
      </c>
      <c r="EG77" s="317">
        <v>0</v>
      </c>
      <c r="EH77" s="105">
        <v>50</v>
      </c>
      <c r="EI77" s="18">
        <v>0</v>
      </c>
      <c r="EJ77" s="317">
        <v>0</v>
      </c>
      <c r="EK77" s="105">
        <v>36</v>
      </c>
      <c r="EL77" s="18">
        <v>0</v>
      </c>
      <c r="EM77" s="317">
        <v>0</v>
      </c>
      <c r="EN77" s="646" t="s">
        <v>1020</v>
      </c>
      <c r="EO77" s="531"/>
      <c r="EP77" s="531"/>
      <c r="EQ77" s="531"/>
      <c r="ER77" s="531"/>
      <c r="ES77" s="531"/>
      <c r="ET77" s="531"/>
      <c r="EU77" s="127" t="s">
        <v>1021</v>
      </c>
    </row>
    <row r="78" spans="1:151" ht="12.75">
      <c r="A78" s="93">
        <v>43909</v>
      </c>
      <c r="B78" s="14">
        <f t="shared" ref="B78:D78" si="74">SUM(F78,I78,L78,O78,R78,X78,AA78,AD78,AG78,AJ78,AM78,AP78,AS78,AY78,BB78,BE78,BK78,BN78,BQ78,BT78,BW78,CC78,CF78,CI78,CL78,CO78,CU78,CX78,DA78,DD78,DG78,DJ78,DP78,DS78,DY78,EB78,EE78,EH78,EK78,)</f>
        <v>16048</v>
      </c>
      <c r="C78" s="34">
        <f t="shared" si="74"/>
        <v>208</v>
      </c>
      <c r="D78" s="73">
        <f t="shared" si="74"/>
        <v>131</v>
      </c>
      <c r="E78" s="350">
        <f t="shared" si="2"/>
        <v>15709</v>
      </c>
      <c r="F78" s="105">
        <v>1</v>
      </c>
      <c r="G78" s="18">
        <v>0</v>
      </c>
      <c r="H78" s="317">
        <v>0</v>
      </c>
      <c r="I78" s="105">
        <v>97</v>
      </c>
      <c r="J78" s="139">
        <v>3</v>
      </c>
      <c r="K78" s="150">
        <v>3</v>
      </c>
      <c r="L78" s="105">
        <v>4</v>
      </c>
      <c r="M78" s="18">
        <v>0</v>
      </c>
      <c r="N78" s="317">
        <v>0</v>
      </c>
      <c r="O78" s="105">
        <v>3</v>
      </c>
      <c r="P78" s="18">
        <v>0</v>
      </c>
      <c r="Q78" s="317">
        <v>0</v>
      </c>
      <c r="R78" s="105">
        <v>5</v>
      </c>
      <c r="S78" s="18">
        <v>0</v>
      </c>
      <c r="T78" s="317">
        <v>0</v>
      </c>
      <c r="U78" s="18">
        <v>0</v>
      </c>
      <c r="V78" s="18">
        <v>0</v>
      </c>
      <c r="W78" s="317">
        <v>0</v>
      </c>
      <c r="X78" s="105">
        <v>12</v>
      </c>
      <c r="Y78" s="18">
        <v>0</v>
      </c>
      <c r="Z78" s="317">
        <v>0</v>
      </c>
      <c r="AA78" s="105">
        <v>621</v>
      </c>
      <c r="AB78" s="139">
        <v>6</v>
      </c>
      <c r="AC78" s="150">
        <v>2</v>
      </c>
      <c r="AD78" s="105">
        <v>800</v>
      </c>
      <c r="AE78" s="139">
        <v>9</v>
      </c>
      <c r="AF78" s="150">
        <v>9</v>
      </c>
      <c r="AG78" s="105">
        <v>238</v>
      </c>
      <c r="AH78" s="18">
        <v>0</v>
      </c>
      <c r="AI78" s="317">
        <v>0</v>
      </c>
      <c r="AJ78" s="105">
        <v>102</v>
      </c>
      <c r="AK78" s="18">
        <v>0</v>
      </c>
      <c r="AL78" s="150">
        <v>1</v>
      </c>
      <c r="AM78" s="105">
        <v>69</v>
      </c>
      <c r="AN78" s="139">
        <v>1</v>
      </c>
      <c r="AO78" s="317">
        <v>0</v>
      </c>
      <c r="AP78" s="105">
        <v>11</v>
      </c>
      <c r="AQ78" s="139">
        <v>1</v>
      </c>
      <c r="AR78" s="317">
        <v>0</v>
      </c>
      <c r="AS78" s="105">
        <v>1</v>
      </c>
      <c r="AT78" s="139">
        <v>1</v>
      </c>
      <c r="AU78" s="317">
        <v>0</v>
      </c>
      <c r="AV78" s="18">
        <v>0</v>
      </c>
      <c r="AW78" s="18">
        <v>0</v>
      </c>
      <c r="AX78" s="317">
        <v>0</v>
      </c>
      <c r="AY78" s="105">
        <v>1</v>
      </c>
      <c r="AZ78" s="18">
        <v>0</v>
      </c>
      <c r="BA78" s="317">
        <v>0</v>
      </c>
      <c r="BB78" s="105">
        <v>199</v>
      </c>
      <c r="BC78" s="139">
        <v>3</v>
      </c>
      <c r="BD78" s="317">
        <v>0</v>
      </c>
      <c r="BE78" s="105">
        <v>13159</v>
      </c>
      <c r="BF78" s="139">
        <v>176</v>
      </c>
      <c r="BG78" s="150">
        <v>108</v>
      </c>
      <c r="BH78" s="18">
        <v>0</v>
      </c>
      <c r="BI78" s="18">
        <v>0</v>
      </c>
      <c r="BJ78" s="317">
        <v>0</v>
      </c>
      <c r="BK78" s="105">
        <v>1</v>
      </c>
      <c r="BL78" s="18">
        <v>0</v>
      </c>
      <c r="BM78" s="317">
        <v>0</v>
      </c>
      <c r="BN78" s="105">
        <v>33</v>
      </c>
      <c r="BO78" s="18">
        <v>0</v>
      </c>
      <c r="BP78" s="317">
        <v>0</v>
      </c>
      <c r="BQ78" s="105">
        <v>6</v>
      </c>
      <c r="BR78" s="139">
        <v>1</v>
      </c>
      <c r="BS78" s="317">
        <v>0</v>
      </c>
      <c r="BT78" s="105">
        <v>4</v>
      </c>
      <c r="BU78" s="139">
        <v>1</v>
      </c>
      <c r="BV78" s="317">
        <v>0</v>
      </c>
      <c r="BW78" s="105">
        <v>11</v>
      </c>
      <c r="BX78" s="18">
        <v>0</v>
      </c>
      <c r="BY78" s="317">
        <v>0</v>
      </c>
      <c r="BZ78" s="18">
        <v>0</v>
      </c>
      <c r="CA78" s="18">
        <v>0</v>
      </c>
      <c r="CB78" s="317">
        <v>0</v>
      </c>
      <c r="CC78" s="105">
        <v>12</v>
      </c>
      <c r="CD78" s="18">
        <v>0</v>
      </c>
      <c r="CE78" s="317">
        <v>0</v>
      </c>
      <c r="CF78" s="105">
        <v>1</v>
      </c>
      <c r="CG78" s="18">
        <v>0</v>
      </c>
      <c r="CH78" s="317">
        <v>0</v>
      </c>
      <c r="CI78" s="105">
        <v>13</v>
      </c>
      <c r="CJ78" s="139">
        <v>1</v>
      </c>
      <c r="CK78" s="150">
        <v>2</v>
      </c>
      <c r="CL78" s="105">
        <v>23</v>
      </c>
      <c r="CM78" s="139">
        <v>1</v>
      </c>
      <c r="CN78" s="317">
        <v>0</v>
      </c>
      <c r="CO78" s="105">
        <v>93</v>
      </c>
      <c r="CP78" s="139">
        <v>1</v>
      </c>
      <c r="CQ78" s="150">
        <v>4</v>
      </c>
      <c r="CR78" s="105">
        <v>1</v>
      </c>
      <c r="CS78" s="18">
        <v>0</v>
      </c>
      <c r="CT78" s="317">
        <v>0</v>
      </c>
      <c r="CU78" s="105">
        <v>109</v>
      </c>
      <c r="CV78" s="139">
        <v>1</v>
      </c>
      <c r="CW78" s="317">
        <v>0</v>
      </c>
      <c r="CX78" s="105">
        <v>11</v>
      </c>
      <c r="CY78" s="18">
        <v>0</v>
      </c>
      <c r="CZ78" s="317">
        <v>0</v>
      </c>
      <c r="DA78" s="105">
        <v>234</v>
      </c>
      <c r="DB78" s="18">
        <v>0</v>
      </c>
      <c r="DC78" s="150">
        <v>1</v>
      </c>
      <c r="DD78" s="105">
        <v>3</v>
      </c>
      <c r="DE78" s="18">
        <v>0</v>
      </c>
      <c r="DF78" s="317">
        <v>0</v>
      </c>
      <c r="DG78" s="105">
        <v>34</v>
      </c>
      <c r="DH78" s="139">
        <v>2</v>
      </c>
      <c r="DI78" s="317">
        <v>0</v>
      </c>
      <c r="DJ78" s="105">
        <v>1</v>
      </c>
      <c r="DK78" s="18">
        <v>0</v>
      </c>
      <c r="DL78" s="317">
        <v>0</v>
      </c>
      <c r="DM78" s="18">
        <v>0</v>
      </c>
      <c r="DN78" s="18">
        <v>0</v>
      </c>
      <c r="DO78" s="317">
        <v>0</v>
      </c>
      <c r="DP78" s="105">
        <v>2</v>
      </c>
      <c r="DQ78" s="18">
        <v>0</v>
      </c>
      <c r="DR78" s="317">
        <v>0</v>
      </c>
      <c r="DS78" s="105">
        <v>2</v>
      </c>
      <c r="DT78" s="18">
        <v>0</v>
      </c>
      <c r="DU78" s="150">
        <v>1</v>
      </c>
      <c r="DV78" s="18">
        <v>0</v>
      </c>
      <c r="DW78" s="18">
        <v>0</v>
      </c>
      <c r="DX78" s="317">
        <v>0</v>
      </c>
      <c r="DY78" s="105">
        <v>1</v>
      </c>
      <c r="DZ78" s="18">
        <v>0</v>
      </c>
      <c r="EA78" s="317">
        <v>0</v>
      </c>
      <c r="EB78" s="105">
        <v>1</v>
      </c>
      <c r="EC78" s="18">
        <v>0</v>
      </c>
      <c r="ED78" s="317">
        <v>0</v>
      </c>
      <c r="EE78" s="105">
        <v>9</v>
      </c>
      <c r="EF78" s="18">
        <v>0</v>
      </c>
      <c r="EG78" s="317">
        <v>0</v>
      </c>
      <c r="EH78" s="105">
        <v>79</v>
      </c>
      <c r="EI78" s="18">
        <v>0</v>
      </c>
      <c r="EJ78" s="317">
        <v>0</v>
      </c>
      <c r="EK78" s="105">
        <v>42</v>
      </c>
      <c r="EL78" s="18">
        <v>0</v>
      </c>
      <c r="EM78" s="317">
        <v>0</v>
      </c>
      <c r="EN78" s="646" t="s">
        <v>1022</v>
      </c>
      <c r="EO78" s="531"/>
      <c r="EP78" s="531"/>
      <c r="EQ78" s="531"/>
      <c r="ER78" s="531"/>
      <c r="ES78" s="531"/>
      <c r="ET78" s="531"/>
      <c r="EU78" s="127" t="s">
        <v>1023</v>
      </c>
    </row>
    <row r="79" spans="1:151" ht="12.75">
      <c r="A79" s="93">
        <v>43910</v>
      </c>
      <c r="B79" s="14">
        <f t="shared" ref="B79:D79" si="75">SUM(F79,I79,L79,O79,R79,X79,AA79,AD79,AG79,AJ79,AM79,AP79,AS79,AY79,BB79,BE79,BK79,BN79,BQ79,BT79,BW79,CC79,CF79,CI79,CL79,CO79,CU79,CX79,DA79,DD79,DG79,DJ79,DP79,DS79,DY79,EB79,EE79,EH79,EK79,)</f>
        <v>22419</v>
      </c>
      <c r="C79" s="34">
        <f t="shared" si="75"/>
        <v>273</v>
      </c>
      <c r="D79" s="73">
        <f t="shared" si="75"/>
        <v>176</v>
      </c>
      <c r="E79" s="350">
        <f t="shared" si="2"/>
        <v>21970</v>
      </c>
      <c r="F79" s="105">
        <v>1</v>
      </c>
      <c r="G79" s="18">
        <v>0</v>
      </c>
      <c r="H79" s="317">
        <v>0</v>
      </c>
      <c r="I79" s="105">
        <v>128</v>
      </c>
      <c r="J79" s="139">
        <v>3</v>
      </c>
      <c r="K79" s="150">
        <v>3</v>
      </c>
      <c r="L79" s="105">
        <v>4</v>
      </c>
      <c r="M79" s="18">
        <v>0</v>
      </c>
      <c r="N79" s="317">
        <v>0</v>
      </c>
      <c r="O79" s="105">
        <v>3</v>
      </c>
      <c r="P79" s="18">
        <v>0</v>
      </c>
      <c r="Q79" s="317">
        <v>0</v>
      </c>
      <c r="R79" s="105">
        <v>5</v>
      </c>
      <c r="S79" s="18">
        <v>0</v>
      </c>
      <c r="T79" s="317">
        <v>0</v>
      </c>
      <c r="U79" s="18">
        <v>0</v>
      </c>
      <c r="V79" s="18">
        <v>0</v>
      </c>
      <c r="W79" s="317">
        <v>0</v>
      </c>
      <c r="X79" s="105">
        <v>15</v>
      </c>
      <c r="Y79" s="18">
        <v>0</v>
      </c>
      <c r="Z79" s="317">
        <v>0</v>
      </c>
      <c r="AA79" s="105">
        <v>793</v>
      </c>
      <c r="AB79" s="139">
        <v>11</v>
      </c>
      <c r="AC79" s="150">
        <v>2</v>
      </c>
      <c r="AD79" s="105">
        <v>943</v>
      </c>
      <c r="AE79" s="139">
        <v>12</v>
      </c>
      <c r="AF79" s="150">
        <v>9</v>
      </c>
      <c r="AG79" s="105">
        <v>434</v>
      </c>
      <c r="AH79" s="18">
        <v>0</v>
      </c>
      <c r="AI79" s="150">
        <v>6</v>
      </c>
      <c r="AJ79" s="105">
        <v>128</v>
      </c>
      <c r="AK79" s="18">
        <v>0</v>
      </c>
      <c r="AL79" s="150">
        <v>1</v>
      </c>
      <c r="AM79" s="105">
        <v>89</v>
      </c>
      <c r="AN79" s="139">
        <v>1</v>
      </c>
      <c r="AO79" s="317">
        <v>0</v>
      </c>
      <c r="AP79" s="105">
        <v>16</v>
      </c>
      <c r="AQ79" s="139">
        <v>1</v>
      </c>
      <c r="AR79" s="317">
        <v>0</v>
      </c>
      <c r="AS79" s="105">
        <v>1</v>
      </c>
      <c r="AT79" s="139">
        <v>1</v>
      </c>
      <c r="AU79" s="317">
        <v>0</v>
      </c>
      <c r="AV79" s="18">
        <v>0</v>
      </c>
      <c r="AW79" s="18">
        <v>0</v>
      </c>
      <c r="AX79" s="317">
        <v>0</v>
      </c>
      <c r="AY79" s="105">
        <v>1</v>
      </c>
      <c r="AZ79" s="18">
        <v>0</v>
      </c>
      <c r="BA79" s="317">
        <v>0</v>
      </c>
      <c r="BB79" s="105">
        <v>367</v>
      </c>
      <c r="BC79" s="139">
        <v>5</v>
      </c>
      <c r="BD79" s="317">
        <v>0</v>
      </c>
      <c r="BE79" s="105">
        <v>18563</v>
      </c>
      <c r="BF79" s="139">
        <v>227</v>
      </c>
      <c r="BG79" s="150">
        <v>147</v>
      </c>
      <c r="BH79" s="18">
        <v>0</v>
      </c>
      <c r="BI79" s="18">
        <v>0</v>
      </c>
      <c r="BJ79" s="317">
        <v>0</v>
      </c>
      <c r="BK79" s="105">
        <v>1</v>
      </c>
      <c r="BL79" s="18">
        <v>0</v>
      </c>
      <c r="BM79" s="317">
        <v>0</v>
      </c>
      <c r="BN79" s="105">
        <v>45</v>
      </c>
      <c r="BO79" s="139">
        <v>1</v>
      </c>
      <c r="BP79" s="317">
        <v>0</v>
      </c>
      <c r="BQ79" s="105">
        <v>12</v>
      </c>
      <c r="BR79" s="139">
        <v>1</v>
      </c>
      <c r="BS79" s="317">
        <v>0</v>
      </c>
      <c r="BT79" s="105">
        <v>4</v>
      </c>
      <c r="BU79" s="139">
        <v>1</v>
      </c>
      <c r="BV79" s="317">
        <v>0</v>
      </c>
      <c r="BW79" s="105">
        <v>15</v>
      </c>
      <c r="BX79" s="18">
        <v>0</v>
      </c>
      <c r="BY79" s="317">
        <v>0</v>
      </c>
      <c r="BZ79" s="105">
        <v>2</v>
      </c>
      <c r="CA79" s="18">
        <v>0</v>
      </c>
      <c r="CB79" s="317">
        <v>0</v>
      </c>
      <c r="CC79" s="105">
        <v>24</v>
      </c>
      <c r="CD79" s="18">
        <v>0</v>
      </c>
      <c r="CE79" s="317">
        <v>0</v>
      </c>
      <c r="CF79" s="105">
        <v>1</v>
      </c>
      <c r="CG79" s="18">
        <v>0</v>
      </c>
      <c r="CH79" s="317">
        <v>0</v>
      </c>
      <c r="CI79" s="105">
        <v>16</v>
      </c>
      <c r="CJ79" s="139">
        <v>1</v>
      </c>
      <c r="CK79" s="150">
        <v>2</v>
      </c>
      <c r="CL79" s="105">
        <v>32</v>
      </c>
      <c r="CM79" s="139">
        <v>1</v>
      </c>
      <c r="CN79" s="317">
        <v>0</v>
      </c>
      <c r="CO79" s="105">
        <v>164</v>
      </c>
      <c r="CP79" s="139">
        <v>1</v>
      </c>
      <c r="CQ79" s="150">
        <v>4</v>
      </c>
      <c r="CR79" s="105">
        <v>1</v>
      </c>
      <c r="CS79" s="18">
        <v>0</v>
      </c>
      <c r="CT79" s="317">
        <v>0</v>
      </c>
      <c r="CU79" s="105">
        <v>137</v>
      </c>
      <c r="CV79" s="139">
        <v>1</v>
      </c>
      <c r="CW79" s="317">
        <v>0</v>
      </c>
      <c r="CX79" s="105">
        <v>13</v>
      </c>
      <c r="CY79" s="18">
        <v>0</v>
      </c>
      <c r="CZ79" s="317">
        <v>0</v>
      </c>
      <c r="DA79" s="105">
        <v>234</v>
      </c>
      <c r="DB79" s="139">
        <v>3</v>
      </c>
      <c r="DC79" s="150">
        <v>1</v>
      </c>
      <c r="DD79" s="105">
        <v>3</v>
      </c>
      <c r="DE79" s="18">
        <v>0</v>
      </c>
      <c r="DF79" s="317">
        <v>0</v>
      </c>
      <c r="DG79" s="105">
        <v>72</v>
      </c>
      <c r="DH79" s="139">
        <v>2</v>
      </c>
      <c r="DI79" s="317">
        <v>0</v>
      </c>
      <c r="DJ79" s="105">
        <v>1</v>
      </c>
      <c r="DK79" s="18">
        <v>0</v>
      </c>
      <c r="DL79" s="317">
        <v>0</v>
      </c>
      <c r="DM79" s="18">
        <v>0</v>
      </c>
      <c r="DN79" s="18">
        <v>0</v>
      </c>
      <c r="DO79" s="317">
        <v>0</v>
      </c>
      <c r="DP79" s="105">
        <v>2</v>
      </c>
      <c r="DQ79" s="18">
        <v>0</v>
      </c>
      <c r="DR79" s="317">
        <v>0</v>
      </c>
      <c r="DS79" s="105">
        <v>2</v>
      </c>
      <c r="DT79" s="18">
        <v>0</v>
      </c>
      <c r="DU79" s="150">
        <v>1</v>
      </c>
      <c r="DV79" s="18">
        <v>0</v>
      </c>
      <c r="DW79" s="18">
        <v>0</v>
      </c>
      <c r="DX79" s="317">
        <v>0</v>
      </c>
      <c r="DY79" s="105">
        <v>1</v>
      </c>
      <c r="DZ79" s="18">
        <v>0</v>
      </c>
      <c r="EA79" s="317">
        <v>0</v>
      </c>
      <c r="EB79" s="105">
        <v>4</v>
      </c>
      <c r="EC79" s="18">
        <v>0</v>
      </c>
      <c r="ED79" s="317">
        <v>0</v>
      </c>
      <c r="EE79" s="105">
        <v>9</v>
      </c>
      <c r="EF79" s="18">
        <v>0</v>
      </c>
      <c r="EG79" s="317">
        <v>0</v>
      </c>
      <c r="EH79" s="105">
        <v>94</v>
      </c>
      <c r="EI79" s="18">
        <v>0</v>
      </c>
      <c r="EJ79" s="317">
        <v>0</v>
      </c>
      <c r="EK79" s="105">
        <v>42</v>
      </c>
      <c r="EL79" s="18">
        <v>0</v>
      </c>
      <c r="EM79" s="317">
        <v>0</v>
      </c>
      <c r="EN79" s="646" t="s">
        <v>1027</v>
      </c>
      <c r="EO79" s="531"/>
      <c r="EP79" s="531"/>
      <c r="EQ79" s="531"/>
      <c r="ER79" s="531"/>
      <c r="ES79" s="531"/>
      <c r="ET79" s="531"/>
      <c r="EU79" s="127" t="s">
        <v>1028</v>
      </c>
    </row>
    <row r="80" spans="1:151" ht="12.75">
      <c r="A80" s="93">
        <v>43911</v>
      </c>
      <c r="B80" s="14">
        <f t="shared" ref="B80:D80" si="76">SUM(F80,I80,L80,O80,R80,X80,AA80,AD80,AG80,AJ80,AM80,AP80,AS80,AY80,BB80,BE80,BK80,BN80,BQ80,BT80,BW80,BZ80,CC80,CF80,CI80,CL80,CO80,CR80,CU80,CX80,DA80,DD80,DG80,DJ80,DP80,DS80,DY80,EB80,EE80,EH80,EK80,)</f>
        <v>29738</v>
      </c>
      <c r="C80" s="34">
        <f t="shared" si="76"/>
        <v>360</v>
      </c>
      <c r="D80" s="73">
        <f t="shared" si="76"/>
        <v>212</v>
      </c>
      <c r="E80" s="350">
        <f t="shared" si="2"/>
        <v>29166</v>
      </c>
      <c r="F80" s="105">
        <v>1</v>
      </c>
      <c r="G80" s="18">
        <v>0</v>
      </c>
      <c r="H80" s="317">
        <v>0</v>
      </c>
      <c r="I80" s="105">
        <v>158</v>
      </c>
      <c r="J80" s="139">
        <v>4</v>
      </c>
      <c r="K80" s="150">
        <v>3</v>
      </c>
      <c r="L80" s="105">
        <v>4</v>
      </c>
      <c r="M80" s="18">
        <v>0</v>
      </c>
      <c r="N80" s="317">
        <v>0</v>
      </c>
      <c r="O80" s="105">
        <v>4</v>
      </c>
      <c r="P80" s="18">
        <v>0</v>
      </c>
      <c r="Q80" s="317">
        <v>0</v>
      </c>
      <c r="R80" s="105">
        <v>6</v>
      </c>
      <c r="S80" s="18">
        <v>0</v>
      </c>
      <c r="T80" s="317">
        <v>0</v>
      </c>
      <c r="U80" s="18">
        <v>0</v>
      </c>
      <c r="V80" s="18">
        <v>0</v>
      </c>
      <c r="W80" s="317">
        <v>0</v>
      </c>
      <c r="X80" s="105">
        <v>19</v>
      </c>
      <c r="Y80" s="18">
        <v>0</v>
      </c>
      <c r="Z80" s="317">
        <v>0</v>
      </c>
      <c r="AA80" s="105">
        <v>1021</v>
      </c>
      <c r="AB80" s="139">
        <v>15</v>
      </c>
      <c r="AC80" s="150">
        <v>2</v>
      </c>
      <c r="AD80" s="105">
        <v>1137</v>
      </c>
      <c r="AE80" s="139">
        <v>13</v>
      </c>
      <c r="AF80" s="150">
        <v>10</v>
      </c>
      <c r="AG80" s="105">
        <v>537</v>
      </c>
      <c r="AH80" s="18">
        <v>0</v>
      </c>
      <c r="AI80" s="150">
        <v>6</v>
      </c>
      <c r="AJ80" s="105">
        <v>196</v>
      </c>
      <c r="AK80" s="18">
        <v>0</v>
      </c>
      <c r="AL80" s="150">
        <v>1</v>
      </c>
      <c r="AM80" s="105">
        <v>117</v>
      </c>
      <c r="AN80" s="139">
        <v>2</v>
      </c>
      <c r="AO80" s="150">
        <v>2</v>
      </c>
      <c r="AP80" s="105">
        <v>21</v>
      </c>
      <c r="AQ80" s="139">
        <v>1</v>
      </c>
      <c r="AR80" s="317">
        <v>0</v>
      </c>
      <c r="AS80" s="105">
        <v>1</v>
      </c>
      <c r="AT80" s="139">
        <v>1</v>
      </c>
      <c r="AU80" s="317">
        <v>0</v>
      </c>
      <c r="AV80" s="18">
        <v>0</v>
      </c>
      <c r="AW80" s="18">
        <v>0</v>
      </c>
      <c r="AX80" s="317">
        <v>0</v>
      </c>
      <c r="AY80" s="105">
        <v>3</v>
      </c>
      <c r="AZ80" s="18">
        <v>0</v>
      </c>
      <c r="BA80" s="317">
        <v>0</v>
      </c>
      <c r="BB80" s="105">
        <v>506</v>
      </c>
      <c r="BC80" s="139">
        <v>7</v>
      </c>
      <c r="BD80" s="150">
        <v>3</v>
      </c>
      <c r="BE80" s="105">
        <v>24783</v>
      </c>
      <c r="BF80" s="139">
        <v>301</v>
      </c>
      <c r="BG80" s="150">
        <v>171</v>
      </c>
      <c r="BH80" s="18">
        <v>0</v>
      </c>
      <c r="BI80" s="18">
        <v>0</v>
      </c>
      <c r="BJ80" s="317">
        <v>0</v>
      </c>
      <c r="BK80" s="105">
        <v>1</v>
      </c>
      <c r="BL80" s="18">
        <v>0</v>
      </c>
      <c r="BM80" s="317">
        <v>0</v>
      </c>
      <c r="BN80" s="105">
        <v>53</v>
      </c>
      <c r="BO80" s="139">
        <v>1</v>
      </c>
      <c r="BP80" s="317">
        <v>0</v>
      </c>
      <c r="BQ80" s="105">
        <v>17</v>
      </c>
      <c r="BR80" s="139">
        <v>1</v>
      </c>
      <c r="BS80" s="317">
        <v>0</v>
      </c>
      <c r="BT80" s="105">
        <v>4</v>
      </c>
      <c r="BU80" s="139">
        <v>1</v>
      </c>
      <c r="BV80" s="317">
        <v>0</v>
      </c>
      <c r="BW80" s="105">
        <v>18</v>
      </c>
      <c r="BX80" s="18">
        <v>0</v>
      </c>
      <c r="BY80" s="150">
        <v>6</v>
      </c>
      <c r="BZ80" s="105">
        <v>2</v>
      </c>
      <c r="CA80" s="18">
        <v>0</v>
      </c>
      <c r="CB80" s="317">
        <v>0</v>
      </c>
      <c r="CC80" s="105">
        <v>24</v>
      </c>
      <c r="CD80" s="18">
        <v>0</v>
      </c>
      <c r="CE80" s="317">
        <v>0</v>
      </c>
      <c r="CF80" s="105">
        <v>1</v>
      </c>
      <c r="CG80" s="18">
        <v>0</v>
      </c>
      <c r="CH80" s="317">
        <v>0</v>
      </c>
      <c r="CI80" s="105">
        <v>16</v>
      </c>
      <c r="CJ80" s="139">
        <v>1</v>
      </c>
      <c r="CK80" s="150">
        <v>2</v>
      </c>
      <c r="CL80" s="105">
        <v>32</v>
      </c>
      <c r="CM80" s="139">
        <v>1</v>
      </c>
      <c r="CN80" s="317">
        <v>0</v>
      </c>
      <c r="CO80" s="105">
        <v>164</v>
      </c>
      <c r="CP80" s="139">
        <v>2</v>
      </c>
      <c r="CQ80" s="150">
        <v>4</v>
      </c>
      <c r="CR80" s="105">
        <v>2</v>
      </c>
      <c r="CS80" s="18">
        <v>0</v>
      </c>
      <c r="CT80" s="317">
        <v>0</v>
      </c>
      <c r="CU80" s="105">
        <v>200</v>
      </c>
      <c r="CV80" s="139">
        <v>1</v>
      </c>
      <c r="CW80" s="317">
        <v>0</v>
      </c>
      <c r="CX80" s="105">
        <v>18</v>
      </c>
      <c r="CY80" s="139">
        <v>1</v>
      </c>
      <c r="CZ80" s="317">
        <v>0</v>
      </c>
      <c r="DA80" s="105">
        <v>318</v>
      </c>
      <c r="DB80" s="139">
        <v>5</v>
      </c>
      <c r="DC80" s="150">
        <v>1</v>
      </c>
      <c r="DD80" s="105">
        <v>3</v>
      </c>
      <c r="DE80" s="18">
        <v>0</v>
      </c>
      <c r="DF80" s="317">
        <v>0</v>
      </c>
      <c r="DG80" s="105">
        <v>112</v>
      </c>
      <c r="DH80" s="139">
        <v>2</v>
      </c>
      <c r="DI80" s="317">
        <v>0</v>
      </c>
      <c r="DJ80" s="105">
        <v>1</v>
      </c>
      <c r="DK80" s="18">
        <v>0</v>
      </c>
      <c r="DL80" s="317">
        <v>0</v>
      </c>
      <c r="DM80" s="18">
        <v>0</v>
      </c>
      <c r="DN80" s="18">
        <v>0</v>
      </c>
      <c r="DO80" s="317">
        <v>0</v>
      </c>
      <c r="DP80" s="105">
        <v>2</v>
      </c>
      <c r="DQ80" s="18">
        <v>0</v>
      </c>
      <c r="DR80" s="317">
        <v>0</v>
      </c>
      <c r="DS80" s="105">
        <v>2</v>
      </c>
      <c r="DT80" s="18">
        <v>0</v>
      </c>
      <c r="DU80" s="150">
        <v>1</v>
      </c>
      <c r="DV80" s="18">
        <v>0</v>
      </c>
      <c r="DW80" s="18">
        <v>0</v>
      </c>
      <c r="DX80" s="317">
        <v>0</v>
      </c>
      <c r="DY80" s="105">
        <v>1</v>
      </c>
      <c r="DZ80" s="18">
        <v>0</v>
      </c>
      <c r="EA80" s="317">
        <v>0</v>
      </c>
      <c r="EB80" s="105">
        <v>4</v>
      </c>
      <c r="EC80" s="18">
        <v>0</v>
      </c>
      <c r="ED80" s="317">
        <v>0</v>
      </c>
      <c r="EE80" s="105">
        <v>49</v>
      </c>
      <c r="EF80" s="18">
        <v>0</v>
      </c>
      <c r="EG80" s="317">
        <v>0</v>
      </c>
      <c r="EH80" s="105">
        <v>110</v>
      </c>
      <c r="EI80" s="18">
        <v>0</v>
      </c>
      <c r="EJ80" s="317">
        <v>0</v>
      </c>
      <c r="EK80" s="105">
        <v>70</v>
      </c>
      <c r="EL80" s="18">
        <v>0</v>
      </c>
      <c r="EM80" s="317">
        <v>0</v>
      </c>
      <c r="EN80" s="637"/>
      <c r="EO80" s="531"/>
      <c r="EP80" s="531"/>
      <c r="EQ80" s="531"/>
      <c r="ER80" s="531"/>
      <c r="ES80" s="531"/>
      <c r="ET80" s="531"/>
      <c r="EU80" s="127"/>
    </row>
    <row r="81" spans="1:151" ht="12.75">
      <c r="A81" s="93">
        <v>43912</v>
      </c>
      <c r="B81" s="14">
        <f t="shared" ref="B81:D81" si="77">SUM(F81,I81,L81,O81,R81,X81,AA81,AD81,AG81,AJ81,AM81,AP81,AS81,AV81,AY81,BB81,BE81,BH81,BK81,BN81,BQ81,BT81,BW81,BZ81,CC81,CF81,CI81,CL81,CO81,CR81,CU81,CX81,DA81,DD81,DG81,DJ81,DP81,DS81,DY81,EB81,EE81,EH81,EK81,)</f>
        <v>39967</v>
      </c>
      <c r="C81" s="34">
        <f t="shared" si="77"/>
        <v>488</v>
      </c>
      <c r="D81" s="73">
        <f t="shared" si="77"/>
        <v>223</v>
      </c>
      <c r="E81" s="350">
        <f t="shared" si="2"/>
        <v>39256</v>
      </c>
      <c r="F81" s="105">
        <v>1</v>
      </c>
      <c r="G81" s="18">
        <v>0</v>
      </c>
      <c r="H81" s="317">
        <v>0</v>
      </c>
      <c r="I81" s="105">
        <v>225</v>
      </c>
      <c r="J81" s="139">
        <v>4</v>
      </c>
      <c r="K81" s="150">
        <v>3</v>
      </c>
      <c r="L81" s="105">
        <v>4</v>
      </c>
      <c r="M81" s="18">
        <v>0</v>
      </c>
      <c r="N81" s="317">
        <v>0</v>
      </c>
      <c r="O81" s="105">
        <v>4</v>
      </c>
      <c r="P81" s="18">
        <v>0</v>
      </c>
      <c r="Q81" s="317">
        <v>0</v>
      </c>
      <c r="R81" s="105">
        <v>14</v>
      </c>
      <c r="S81" s="18">
        <v>0</v>
      </c>
      <c r="T81" s="317">
        <v>0</v>
      </c>
      <c r="U81" s="18">
        <v>0</v>
      </c>
      <c r="V81" s="18">
        <v>0</v>
      </c>
      <c r="W81" s="317">
        <v>0</v>
      </c>
      <c r="X81" s="105">
        <v>24</v>
      </c>
      <c r="Y81" s="18">
        <v>0</v>
      </c>
      <c r="Z81" s="317">
        <v>0</v>
      </c>
      <c r="AA81" s="105">
        <v>1593</v>
      </c>
      <c r="AB81" s="139">
        <v>15</v>
      </c>
      <c r="AC81" s="150">
        <v>2</v>
      </c>
      <c r="AD81" s="105">
        <v>1465</v>
      </c>
      <c r="AE81" s="139">
        <v>13</v>
      </c>
      <c r="AF81" s="150">
        <v>10</v>
      </c>
      <c r="AG81" s="105">
        <v>632</v>
      </c>
      <c r="AH81" s="139">
        <v>1</v>
      </c>
      <c r="AI81" s="150">
        <v>8</v>
      </c>
      <c r="AJ81" s="105">
        <v>231</v>
      </c>
      <c r="AK81" s="139">
        <v>2</v>
      </c>
      <c r="AL81" s="150">
        <v>3</v>
      </c>
      <c r="AM81" s="105">
        <v>134</v>
      </c>
      <c r="AN81" s="139">
        <v>2</v>
      </c>
      <c r="AO81" s="150">
        <v>2</v>
      </c>
      <c r="AP81" s="105">
        <v>35</v>
      </c>
      <c r="AQ81" s="139">
        <v>1</v>
      </c>
      <c r="AR81" s="317">
        <v>0</v>
      </c>
      <c r="AS81" s="105">
        <v>1</v>
      </c>
      <c r="AT81" s="139">
        <v>1</v>
      </c>
      <c r="AU81" s="317">
        <v>0</v>
      </c>
      <c r="AV81" s="105">
        <v>1</v>
      </c>
      <c r="AW81" s="18">
        <v>0</v>
      </c>
      <c r="AX81" s="317">
        <v>0</v>
      </c>
      <c r="AY81" s="105">
        <v>3</v>
      </c>
      <c r="AZ81" s="18">
        <v>0</v>
      </c>
      <c r="BA81" s="317">
        <v>0</v>
      </c>
      <c r="BB81" s="105">
        <v>789</v>
      </c>
      <c r="BC81" s="139">
        <v>14</v>
      </c>
      <c r="BD81" s="150">
        <v>3</v>
      </c>
      <c r="BE81" s="105">
        <v>33276</v>
      </c>
      <c r="BF81" s="139">
        <v>416</v>
      </c>
      <c r="BG81" s="150">
        <v>178</v>
      </c>
      <c r="BH81" s="105">
        <v>1</v>
      </c>
      <c r="BI81" s="18">
        <v>0</v>
      </c>
      <c r="BJ81" s="317">
        <v>0</v>
      </c>
      <c r="BK81" s="105">
        <v>1</v>
      </c>
      <c r="BL81" s="18">
        <v>0</v>
      </c>
      <c r="BM81" s="317">
        <v>0</v>
      </c>
      <c r="BN81" s="105">
        <v>56</v>
      </c>
      <c r="BO81" s="139">
        <v>1</v>
      </c>
      <c r="BP81" s="317">
        <v>0</v>
      </c>
      <c r="BQ81" s="105">
        <v>19</v>
      </c>
      <c r="BR81" s="139">
        <v>1</v>
      </c>
      <c r="BS81" s="317">
        <v>0</v>
      </c>
      <c r="BT81" s="105">
        <v>4</v>
      </c>
      <c r="BU81" s="139">
        <v>1</v>
      </c>
      <c r="BV81" s="317">
        <v>0</v>
      </c>
      <c r="BW81" s="105">
        <v>18</v>
      </c>
      <c r="BX81" s="18">
        <v>0</v>
      </c>
      <c r="BY81" s="150">
        <v>6</v>
      </c>
      <c r="BZ81" s="105">
        <v>2</v>
      </c>
      <c r="CA81" s="18">
        <v>0</v>
      </c>
      <c r="CB81" s="317">
        <v>0</v>
      </c>
      <c r="CC81" s="105">
        <v>26</v>
      </c>
      <c r="CD81" s="18">
        <v>0</v>
      </c>
      <c r="CE81" s="317">
        <v>0</v>
      </c>
      <c r="CF81" s="105">
        <v>1</v>
      </c>
      <c r="CG81" s="18">
        <v>0</v>
      </c>
      <c r="CH81" s="317">
        <v>0</v>
      </c>
      <c r="CI81" s="105">
        <v>16</v>
      </c>
      <c r="CJ81" s="139">
        <v>1</v>
      </c>
      <c r="CK81" s="150">
        <v>2</v>
      </c>
      <c r="CL81" s="105">
        <v>37</v>
      </c>
      <c r="CM81" s="139">
        <v>1</v>
      </c>
      <c r="CN81" s="317">
        <v>0</v>
      </c>
      <c r="CO81" s="105">
        <v>251</v>
      </c>
      <c r="CP81" s="139">
        <v>2</v>
      </c>
      <c r="CQ81" s="150">
        <v>4</v>
      </c>
      <c r="CR81" s="105">
        <v>2</v>
      </c>
      <c r="CS81" s="18">
        <v>0</v>
      </c>
      <c r="CT81" s="317">
        <v>0</v>
      </c>
      <c r="CU81" s="105">
        <v>245</v>
      </c>
      <c r="CV81" s="139">
        <v>3</v>
      </c>
      <c r="CW81" s="317">
        <v>0</v>
      </c>
      <c r="CX81" s="105">
        <v>22</v>
      </c>
      <c r="CY81" s="139">
        <v>1</v>
      </c>
      <c r="CZ81" s="317">
        <v>0</v>
      </c>
      <c r="DA81" s="105">
        <v>363</v>
      </c>
      <c r="DB81" s="139">
        <v>5</v>
      </c>
      <c r="DC81" s="150">
        <v>1</v>
      </c>
      <c r="DD81" s="105">
        <v>3</v>
      </c>
      <c r="DE81" s="18">
        <v>0</v>
      </c>
      <c r="DF81" s="317">
        <v>0</v>
      </c>
      <c r="DG81" s="105">
        <v>202</v>
      </c>
      <c r="DH81" s="139">
        <v>3</v>
      </c>
      <c r="DI81" s="317">
        <v>0</v>
      </c>
      <c r="DJ81" s="105">
        <v>1</v>
      </c>
      <c r="DK81" s="18">
        <v>0</v>
      </c>
      <c r="DL81" s="317">
        <v>0</v>
      </c>
      <c r="DM81" s="18">
        <v>0</v>
      </c>
      <c r="DN81" s="18">
        <v>0</v>
      </c>
      <c r="DO81" s="317">
        <v>0</v>
      </c>
      <c r="DP81" s="105">
        <v>2</v>
      </c>
      <c r="DQ81" s="18">
        <v>0</v>
      </c>
      <c r="DR81" s="317">
        <v>0</v>
      </c>
      <c r="DS81" s="105">
        <v>2</v>
      </c>
      <c r="DT81" s="18">
        <v>0</v>
      </c>
      <c r="DU81" s="150">
        <v>1</v>
      </c>
      <c r="DV81" s="18">
        <v>0</v>
      </c>
      <c r="DW81" s="18">
        <v>0</v>
      </c>
      <c r="DX81" s="317">
        <v>0</v>
      </c>
      <c r="DY81" s="105">
        <v>1</v>
      </c>
      <c r="DZ81" s="18">
        <v>0</v>
      </c>
      <c r="EA81" s="317">
        <v>0</v>
      </c>
      <c r="EB81" s="105">
        <v>5</v>
      </c>
      <c r="EC81" s="18">
        <v>0</v>
      </c>
      <c r="ED81" s="317">
        <v>0</v>
      </c>
      <c r="EE81" s="105">
        <v>50</v>
      </c>
      <c r="EF81" s="18">
        <v>0</v>
      </c>
      <c r="EG81" s="317">
        <v>0</v>
      </c>
      <c r="EH81" s="105">
        <v>135</v>
      </c>
      <c r="EI81" s="18">
        <v>0</v>
      </c>
      <c r="EJ81" s="317">
        <v>0</v>
      </c>
      <c r="EK81" s="105">
        <v>70</v>
      </c>
      <c r="EL81" s="18">
        <v>0</v>
      </c>
      <c r="EM81" s="317">
        <v>0</v>
      </c>
      <c r="EN81" s="646" t="s">
        <v>1035</v>
      </c>
      <c r="EO81" s="531"/>
      <c r="EP81" s="531"/>
      <c r="EQ81" s="531"/>
      <c r="ER81" s="531"/>
      <c r="ES81" s="531"/>
      <c r="ET81" s="531"/>
      <c r="EU81" s="127" t="s">
        <v>1036</v>
      </c>
    </row>
    <row r="82" spans="1:151" ht="12.75">
      <c r="A82" s="93">
        <v>43913</v>
      </c>
      <c r="B82" s="14">
        <f t="shared" ref="B82:D82" si="78">SUM(F82,I82,L82,O82,R82,U82,X82,AA82,AD82,AG82,AJ82,AM82,AP82,AS82,AV82,AY82,BB82,BE82,BH82,BK82,BN82,BQ82,BT82,BW82,BZ82,CC82,CF82,CI82,CL82,CO82,CR82,CU82,CX82,DA82,DD82,DG82,DJ82,DP82,DS82,DY82,EB82,EE82,EH82,EK82,)</f>
        <v>51465</v>
      </c>
      <c r="C82" s="34">
        <f t="shared" si="78"/>
        <v>643</v>
      </c>
      <c r="D82" s="73">
        <f t="shared" si="78"/>
        <v>270</v>
      </c>
      <c r="E82" s="350">
        <f t="shared" si="2"/>
        <v>50552</v>
      </c>
      <c r="F82" s="105">
        <v>3</v>
      </c>
      <c r="G82" s="18">
        <v>0</v>
      </c>
      <c r="H82" s="317">
        <v>0</v>
      </c>
      <c r="I82" s="105">
        <v>266</v>
      </c>
      <c r="J82" s="139">
        <v>4</v>
      </c>
      <c r="K82" s="150">
        <v>27</v>
      </c>
      <c r="L82" s="105">
        <v>4</v>
      </c>
      <c r="M82" s="18">
        <v>0</v>
      </c>
      <c r="N82" s="317">
        <v>0</v>
      </c>
      <c r="O82" s="105">
        <v>4</v>
      </c>
      <c r="P82" s="18">
        <v>0</v>
      </c>
      <c r="Q82" s="317">
        <v>0</v>
      </c>
      <c r="R82" s="105">
        <v>17</v>
      </c>
      <c r="S82" s="18">
        <v>0</v>
      </c>
      <c r="T82" s="317">
        <v>0</v>
      </c>
      <c r="U82" s="105">
        <v>1</v>
      </c>
      <c r="V82" s="18">
        <v>0</v>
      </c>
      <c r="W82" s="317">
        <v>0</v>
      </c>
      <c r="X82" s="105">
        <v>27</v>
      </c>
      <c r="Y82" s="18">
        <v>0</v>
      </c>
      <c r="Z82" s="317">
        <v>0</v>
      </c>
      <c r="AA82" s="105">
        <v>1891</v>
      </c>
      <c r="AB82" s="139">
        <v>34</v>
      </c>
      <c r="AC82" s="150">
        <v>2</v>
      </c>
      <c r="AD82" s="105">
        <v>2046</v>
      </c>
      <c r="AE82" s="139">
        <v>25</v>
      </c>
      <c r="AF82" s="150">
        <v>10</v>
      </c>
      <c r="AG82" s="105">
        <v>746</v>
      </c>
      <c r="AH82" s="139">
        <v>2</v>
      </c>
      <c r="AI82" s="150">
        <v>11</v>
      </c>
      <c r="AJ82" s="105">
        <v>277</v>
      </c>
      <c r="AK82" s="139">
        <v>3</v>
      </c>
      <c r="AL82" s="150">
        <v>3</v>
      </c>
      <c r="AM82" s="105">
        <v>158</v>
      </c>
      <c r="AN82" s="139">
        <v>2</v>
      </c>
      <c r="AO82" s="150">
        <v>2</v>
      </c>
      <c r="AP82" s="105">
        <v>40</v>
      </c>
      <c r="AQ82" s="139">
        <v>1</v>
      </c>
      <c r="AR82" s="317">
        <v>0</v>
      </c>
      <c r="AS82" s="105">
        <v>1</v>
      </c>
      <c r="AT82" s="139">
        <v>1</v>
      </c>
      <c r="AU82" s="317">
        <v>0</v>
      </c>
      <c r="AV82" s="105">
        <v>2</v>
      </c>
      <c r="AW82" s="18">
        <v>0</v>
      </c>
      <c r="AX82" s="317">
        <v>0</v>
      </c>
      <c r="AY82" s="105">
        <v>3</v>
      </c>
      <c r="AZ82" s="18">
        <v>0</v>
      </c>
      <c r="BA82" s="317">
        <v>0</v>
      </c>
      <c r="BB82" s="105">
        <v>981</v>
      </c>
      <c r="BC82" s="139">
        <v>18</v>
      </c>
      <c r="BD82" s="150">
        <v>3</v>
      </c>
      <c r="BE82" s="105">
        <v>43214</v>
      </c>
      <c r="BF82" s="139">
        <v>533</v>
      </c>
      <c r="BG82" s="150">
        <v>178</v>
      </c>
      <c r="BH82" s="105">
        <v>1</v>
      </c>
      <c r="BI82" s="18">
        <v>0</v>
      </c>
      <c r="BJ82" s="317">
        <v>0</v>
      </c>
      <c r="BK82" s="105">
        <v>1</v>
      </c>
      <c r="BL82" s="18">
        <v>0</v>
      </c>
      <c r="BM82" s="317">
        <v>0</v>
      </c>
      <c r="BN82" s="105">
        <v>56</v>
      </c>
      <c r="BO82" s="139">
        <v>1</v>
      </c>
      <c r="BP82" s="317">
        <v>0</v>
      </c>
      <c r="BQ82" s="105">
        <v>20</v>
      </c>
      <c r="BR82" s="139">
        <v>1</v>
      </c>
      <c r="BS82" s="317">
        <v>0</v>
      </c>
      <c r="BT82" s="105">
        <v>4</v>
      </c>
      <c r="BU82" s="139">
        <v>1</v>
      </c>
      <c r="BV82" s="317">
        <v>0</v>
      </c>
      <c r="BW82" s="105">
        <v>18</v>
      </c>
      <c r="BX82" s="18">
        <v>0</v>
      </c>
      <c r="BY82" s="150">
        <v>6</v>
      </c>
      <c r="BZ82" s="105">
        <v>6</v>
      </c>
      <c r="CA82" s="18">
        <v>0</v>
      </c>
      <c r="CB82" s="317">
        <v>0</v>
      </c>
      <c r="CC82" s="105">
        <v>27</v>
      </c>
      <c r="CD82" s="18">
        <v>0</v>
      </c>
      <c r="CE82" s="317">
        <v>0</v>
      </c>
      <c r="CF82" s="105">
        <v>1</v>
      </c>
      <c r="CG82" s="18">
        <v>0</v>
      </c>
      <c r="CH82" s="317">
        <v>0</v>
      </c>
      <c r="CI82" s="105">
        <v>19</v>
      </c>
      <c r="CJ82" s="139">
        <v>1</v>
      </c>
      <c r="CK82" s="150">
        <v>2</v>
      </c>
      <c r="CL82" s="105">
        <v>37</v>
      </c>
      <c r="CM82" s="139">
        <v>1</v>
      </c>
      <c r="CN82" s="317">
        <v>0</v>
      </c>
      <c r="CO82" s="105">
        <v>316</v>
      </c>
      <c r="CP82" s="139">
        <v>3</v>
      </c>
      <c r="CQ82" s="150">
        <v>4</v>
      </c>
      <c r="CR82" s="105">
        <v>2</v>
      </c>
      <c r="CS82" s="18">
        <v>0</v>
      </c>
      <c r="CT82" s="317">
        <v>0</v>
      </c>
      <c r="CU82" s="105">
        <v>313</v>
      </c>
      <c r="CV82" s="139">
        <v>3</v>
      </c>
      <c r="CW82" s="150">
        <v>1</v>
      </c>
      <c r="CX82" s="105">
        <v>22</v>
      </c>
      <c r="CY82" s="139">
        <v>1</v>
      </c>
      <c r="CZ82" s="317">
        <v>0</v>
      </c>
      <c r="DA82" s="105">
        <v>395</v>
      </c>
      <c r="DB82" s="139">
        <v>5</v>
      </c>
      <c r="DC82" s="150">
        <v>1</v>
      </c>
      <c r="DD82" s="105">
        <v>3</v>
      </c>
      <c r="DE82" s="18">
        <v>0</v>
      </c>
      <c r="DF82" s="317">
        <v>0</v>
      </c>
      <c r="DG82" s="105">
        <v>245</v>
      </c>
      <c r="DH82" s="139">
        <v>3</v>
      </c>
      <c r="DI82" s="150">
        <v>3</v>
      </c>
      <c r="DJ82" s="105">
        <v>1</v>
      </c>
      <c r="DK82" s="18">
        <v>0</v>
      </c>
      <c r="DL82" s="317">
        <v>0</v>
      </c>
      <c r="DM82" s="18">
        <v>0</v>
      </c>
      <c r="DN82" s="18">
        <v>0</v>
      </c>
      <c r="DO82" s="317">
        <v>0</v>
      </c>
      <c r="DP82" s="105">
        <v>3</v>
      </c>
      <c r="DQ82" s="18">
        <v>0</v>
      </c>
      <c r="DR82" s="317">
        <v>0</v>
      </c>
      <c r="DS82" s="105">
        <v>2</v>
      </c>
      <c r="DT82" s="18">
        <v>0</v>
      </c>
      <c r="DU82" s="150">
        <v>2</v>
      </c>
      <c r="DV82" s="18">
        <v>0</v>
      </c>
      <c r="DW82" s="18">
        <v>0</v>
      </c>
      <c r="DX82" s="317">
        <v>0</v>
      </c>
      <c r="DY82" s="105">
        <v>1</v>
      </c>
      <c r="DZ82" s="18">
        <v>0</v>
      </c>
      <c r="EA82" s="317">
        <v>0</v>
      </c>
      <c r="EB82" s="105">
        <v>5</v>
      </c>
      <c r="EC82" s="18">
        <v>0</v>
      </c>
      <c r="ED82" s="317">
        <v>0</v>
      </c>
      <c r="EE82" s="105">
        <v>51</v>
      </c>
      <c r="EF82" s="18">
        <v>0</v>
      </c>
      <c r="EG82" s="317">
        <v>0</v>
      </c>
      <c r="EH82" s="105">
        <v>158</v>
      </c>
      <c r="EI82" s="18">
        <v>0</v>
      </c>
      <c r="EJ82" s="317">
        <v>0</v>
      </c>
      <c r="EK82" s="105">
        <v>77</v>
      </c>
      <c r="EL82" s="18">
        <v>0</v>
      </c>
      <c r="EM82" s="150">
        <v>15</v>
      </c>
      <c r="EN82" s="637" t="s">
        <v>1039</v>
      </c>
      <c r="EO82" s="531"/>
      <c r="EP82" s="531"/>
      <c r="EQ82" s="531"/>
      <c r="ER82" s="531"/>
      <c r="ES82" s="531"/>
      <c r="ET82" s="531"/>
      <c r="EU82" s="77" t="s">
        <v>1040</v>
      </c>
    </row>
    <row r="83" spans="1:151" ht="12.75">
      <c r="A83" s="93">
        <v>43914</v>
      </c>
      <c r="B83" s="14">
        <f t="shared" ref="B83:D83" si="79">SUM(F83,I83,L83,O83,R83,U83,X83,AA83,AD83,AG83,AJ83,AM83,AP83,AS83,AV83,AY83,BB83,BE83,BH83,BK83,BN83,BQ83,BT83,BW83,BZ83,CC83,CF83,CI83,CL83,CO83,CR83,CU83,CX83,DA83,DD83,DG83,DJ83,DP83,DS83,DY83,EB83,EE83,EH83,EK83,)</f>
        <v>63349</v>
      </c>
      <c r="C83" s="34">
        <f t="shared" si="79"/>
        <v>847</v>
      </c>
      <c r="D83" s="73">
        <f t="shared" si="79"/>
        <v>307</v>
      </c>
      <c r="E83" s="350">
        <f t="shared" si="2"/>
        <v>62195</v>
      </c>
      <c r="F83" s="105">
        <v>3</v>
      </c>
      <c r="G83" s="18">
        <v>0</v>
      </c>
      <c r="H83" s="317">
        <v>0</v>
      </c>
      <c r="I83" s="105">
        <v>301</v>
      </c>
      <c r="J83" s="139">
        <v>6</v>
      </c>
      <c r="K83" s="150">
        <v>52</v>
      </c>
      <c r="L83" s="105">
        <v>4</v>
      </c>
      <c r="M83" s="18">
        <v>0</v>
      </c>
      <c r="N83" s="317">
        <v>0</v>
      </c>
      <c r="O83" s="105">
        <v>4</v>
      </c>
      <c r="P83" s="18">
        <v>0</v>
      </c>
      <c r="Q83" s="317">
        <v>0</v>
      </c>
      <c r="R83" s="105">
        <v>17</v>
      </c>
      <c r="S83" s="18">
        <v>0</v>
      </c>
      <c r="T83" s="317">
        <v>0</v>
      </c>
      <c r="U83" s="105">
        <v>1</v>
      </c>
      <c r="V83" s="18">
        <v>0</v>
      </c>
      <c r="W83" s="317">
        <v>0</v>
      </c>
      <c r="X83" s="105">
        <v>29</v>
      </c>
      <c r="Y83" s="18">
        <v>0</v>
      </c>
      <c r="Z83" s="317">
        <v>0</v>
      </c>
      <c r="AA83" s="105">
        <v>2247</v>
      </c>
      <c r="AB83" s="139">
        <v>46</v>
      </c>
      <c r="AC83" s="150">
        <v>2</v>
      </c>
      <c r="AD83" s="105">
        <v>2587</v>
      </c>
      <c r="AE83" s="139">
        <v>26</v>
      </c>
      <c r="AF83" s="150">
        <v>10</v>
      </c>
      <c r="AG83" s="105">
        <v>922</v>
      </c>
      <c r="AH83" s="139">
        <v>2</v>
      </c>
      <c r="AI83" s="150">
        <v>17</v>
      </c>
      <c r="AJ83" s="105">
        <v>306</v>
      </c>
      <c r="AK83" s="139">
        <v>3</v>
      </c>
      <c r="AL83" s="150">
        <v>6</v>
      </c>
      <c r="AM83" s="105">
        <v>177</v>
      </c>
      <c r="AN83" s="139">
        <v>2</v>
      </c>
      <c r="AO83" s="150">
        <v>2</v>
      </c>
      <c r="AP83" s="105">
        <v>48</v>
      </c>
      <c r="AQ83" s="139">
        <v>1</v>
      </c>
      <c r="AR83" s="150">
        <v>1</v>
      </c>
      <c r="AS83" s="105">
        <v>1</v>
      </c>
      <c r="AT83" s="139">
        <v>1</v>
      </c>
      <c r="AU83" s="317">
        <v>0</v>
      </c>
      <c r="AV83" s="105">
        <v>2</v>
      </c>
      <c r="AW83" s="18">
        <v>0</v>
      </c>
      <c r="AX83" s="317">
        <v>0</v>
      </c>
      <c r="AY83" s="105">
        <v>5</v>
      </c>
      <c r="AZ83" s="18">
        <v>0</v>
      </c>
      <c r="BA83" s="317">
        <v>0</v>
      </c>
      <c r="BB83" s="105">
        <v>1049</v>
      </c>
      <c r="BC83" s="139">
        <v>27</v>
      </c>
      <c r="BD83" s="150">
        <v>3</v>
      </c>
      <c r="BE83" s="105">
        <v>53660</v>
      </c>
      <c r="BF83" s="139">
        <v>703</v>
      </c>
      <c r="BG83" s="150">
        <v>178</v>
      </c>
      <c r="BH83" s="105">
        <v>1</v>
      </c>
      <c r="BI83" s="18">
        <v>0</v>
      </c>
      <c r="BJ83" s="317">
        <v>0</v>
      </c>
      <c r="BK83" s="105">
        <v>5</v>
      </c>
      <c r="BL83" s="18">
        <v>0</v>
      </c>
      <c r="BM83" s="150">
        <v>2</v>
      </c>
      <c r="BN83" s="105">
        <v>56</v>
      </c>
      <c r="BO83" s="139">
        <v>1</v>
      </c>
      <c r="BP83" s="317">
        <v>0</v>
      </c>
      <c r="BQ83" s="105">
        <v>21</v>
      </c>
      <c r="BR83" s="139">
        <v>1</v>
      </c>
      <c r="BS83" s="317">
        <v>0</v>
      </c>
      <c r="BT83" s="105">
        <v>4</v>
      </c>
      <c r="BU83" s="139">
        <v>1</v>
      </c>
      <c r="BV83" s="317">
        <v>0</v>
      </c>
      <c r="BW83" s="105">
        <v>18</v>
      </c>
      <c r="BX83" s="18">
        <v>0</v>
      </c>
      <c r="BY83" s="150">
        <v>6</v>
      </c>
      <c r="BZ83" s="105">
        <v>7</v>
      </c>
      <c r="CA83" s="18">
        <v>0</v>
      </c>
      <c r="CB83" s="317">
        <v>0</v>
      </c>
      <c r="CC83" s="105">
        <v>30</v>
      </c>
      <c r="CD83" s="18">
        <v>0</v>
      </c>
      <c r="CE83" s="317">
        <v>0</v>
      </c>
      <c r="CF83" s="105">
        <v>1</v>
      </c>
      <c r="CG83" s="18">
        <v>0</v>
      </c>
      <c r="CH83" s="317">
        <v>0</v>
      </c>
      <c r="CI83" s="105">
        <v>21</v>
      </c>
      <c r="CJ83" s="139">
        <v>1</v>
      </c>
      <c r="CK83" s="150">
        <v>2</v>
      </c>
      <c r="CL83" s="105">
        <v>37</v>
      </c>
      <c r="CM83" s="139">
        <v>1</v>
      </c>
      <c r="CN83" s="317">
        <v>0</v>
      </c>
      <c r="CO83" s="105">
        <v>367</v>
      </c>
      <c r="CP83" s="139">
        <v>4</v>
      </c>
      <c r="CQ83" s="150">
        <v>4</v>
      </c>
      <c r="CR83" s="105">
        <v>2</v>
      </c>
      <c r="CS83" s="18">
        <v>0</v>
      </c>
      <c r="CT83" s="317">
        <v>0</v>
      </c>
      <c r="CU83" s="105">
        <v>345</v>
      </c>
      <c r="CV83" s="139">
        <v>6</v>
      </c>
      <c r="CW83" s="150">
        <v>1</v>
      </c>
      <c r="CX83" s="105">
        <v>27</v>
      </c>
      <c r="CY83" s="139">
        <v>2</v>
      </c>
      <c r="CZ83" s="317">
        <v>0</v>
      </c>
      <c r="DA83" s="105">
        <v>416</v>
      </c>
      <c r="DB83" s="139">
        <v>7</v>
      </c>
      <c r="DC83" s="150">
        <v>1</v>
      </c>
      <c r="DD83" s="105">
        <v>3</v>
      </c>
      <c r="DE83" s="18">
        <v>0</v>
      </c>
      <c r="DF83" s="317">
        <v>0</v>
      </c>
      <c r="DG83" s="105">
        <v>312</v>
      </c>
      <c r="DH83" s="139">
        <v>6</v>
      </c>
      <c r="DI83" s="150">
        <v>3</v>
      </c>
      <c r="DJ83" s="105">
        <v>1</v>
      </c>
      <c r="DK83" s="18">
        <v>0</v>
      </c>
      <c r="DL83" s="317">
        <v>0</v>
      </c>
      <c r="DM83" s="18">
        <v>0</v>
      </c>
      <c r="DN83" s="18">
        <v>0</v>
      </c>
      <c r="DO83" s="317">
        <v>0</v>
      </c>
      <c r="DP83" s="105">
        <v>3</v>
      </c>
      <c r="DQ83" s="18">
        <v>0</v>
      </c>
      <c r="DR83" s="317">
        <v>0</v>
      </c>
      <c r="DS83" s="105">
        <v>2</v>
      </c>
      <c r="DT83" s="18">
        <v>0</v>
      </c>
      <c r="DU83" s="150">
        <v>2</v>
      </c>
      <c r="DV83" s="18">
        <v>0</v>
      </c>
      <c r="DW83" s="18">
        <v>0</v>
      </c>
      <c r="DX83" s="317">
        <v>0</v>
      </c>
      <c r="DY83" s="105">
        <v>1</v>
      </c>
      <c r="DZ83" s="18">
        <v>0</v>
      </c>
      <c r="EA83" s="317">
        <v>0</v>
      </c>
      <c r="EB83" s="105">
        <v>7</v>
      </c>
      <c r="EC83" s="18">
        <v>0</v>
      </c>
      <c r="ED83" s="317">
        <v>0</v>
      </c>
      <c r="EE83" s="105">
        <v>53</v>
      </c>
      <c r="EF83" s="18">
        <v>0</v>
      </c>
      <c r="EG83" s="317">
        <v>0</v>
      </c>
      <c r="EH83" s="105">
        <v>162</v>
      </c>
      <c r="EI83" s="18">
        <v>0</v>
      </c>
      <c r="EJ83" s="317">
        <v>0</v>
      </c>
      <c r="EK83" s="105">
        <v>84</v>
      </c>
      <c r="EL83" s="18">
        <v>0</v>
      </c>
      <c r="EM83" s="150">
        <v>15</v>
      </c>
      <c r="EN83" s="637"/>
      <c r="EO83" s="531"/>
      <c r="EP83" s="531"/>
      <c r="EQ83" s="531"/>
      <c r="ER83" s="531"/>
      <c r="ES83" s="531"/>
      <c r="ET83" s="531"/>
      <c r="EU83" s="127"/>
    </row>
    <row r="84" spans="1:151" ht="12.75">
      <c r="A84" s="93">
        <v>43915</v>
      </c>
      <c r="B84" s="14">
        <f t="shared" ref="B84:D84" si="80">SUM(F84,I84,L84,O84,R84,U84,X84,AA84,AD84,AG84,AJ84,AM84,AP84,AS84,AV84,AY84,BB84,BE84,BH84,BK84,BN84,BQ84,BT84,BW84,BZ84,CC84,CF84,CI84,CL84,CO84,CR84,CU84,CX84,DA84,DD84,DG84,DJ84,DP84,DS84,DM84,DY84,EB84,EE84,EH84,EK84,)</f>
        <v>76814</v>
      </c>
      <c r="C84" s="34">
        <f t="shared" si="80"/>
        <v>1102</v>
      </c>
      <c r="D84" s="73">
        <f t="shared" si="80"/>
        <v>674</v>
      </c>
      <c r="E84" s="350">
        <f t="shared" si="2"/>
        <v>75038</v>
      </c>
      <c r="F84" s="105">
        <v>3</v>
      </c>
      <c r="G84" s="18">
        <v>0</v>
      </c>
      <c r="H84" s="317">
        <v>0</v>
      </c>
      <c r="I84" s="105">
        <v>387</v>
      </c>
      <c r="J84" s="139">
        <v>8</v>
      </c>
      <c r="K84" s="150">
        <v>52</v>
      </c>
      <c r="L84" s="105">
        <v>4</v>
      </c>
      <c r="M84" s="18">
        <v>0</v>
      </c>
      <c r="N84" s="317">
        <v>0</v>
      </c>
      <c r="O84" s="105">
        <v>5</v>
      </c>
      <c r="P84" s="18">
        <v>0</v>
      </c>
      <c r="Q84" s="317">
        <v>0</v>
      </c>
      <c r="R84" s="105">
        <v>18</v>
      </c>
      <c r="S84" s="18">
        <v>0</v>
      </c>
      <c r="T84" s="317">
        <v>0</v>
      </c>
      <c r="U84" s="105">
        <v>1</v>
      </c>
      <c r="V84" s="18">
        <v>0</v>
      </c>
      <c r="W84" s="317">
        <v>0</v>
      </c>
      <c r="X84" s="105">
        <v>32</v>
      </c>
      <c r="Y84" s="18">
        <v>0</v>
      </c>
      <c r="Z84" s="317">
        <v>0</v>
      </c>
      <c r="AA84" s="105">
        <v>2433</v>
      </c>
      <c r="AB84" s="139">
        <v>57</v>
      </c>
      <c r="AC84" s="150">
        <v>2</v>
      </c>
      <c r="AD84" s="105">
        <v>3251</v>
      </c>
      <c r="AE84" s="139">
        <v>30</v>
      </c>
      <c r="AF84" s="150">
        <v>183</v>
      </c>
      <c r="AG84" s="105">
        <v>1142</v>
      </c>
      <c r="AH84" s="139">
        <v>3</v>
      </c>
      <c r="AI84" s="150">
        <v>22</v>
      </c>
      <c r="AJ84" s="105">
        <v>470</v>
      </c>
      <c r="AK84" s="139">
        <v>4</v>
      </c>
      <c r="AL84" s="150">
        <v>8</v>
      </c>
      <c r="AM84" s="105">
        <v>201</v>
      </c>
      <c r="AN84" s="139">
        <v>2</v>
      </c>
      <c r="AO84" s="150">
        <v>2</v>
      </c>
      <c r="AP84" s="105">
        <v>57</v>
      </c>
      <c r="AQ84" s="139">
        <v>1</v>
      </c>
      <c r="AR84" s="150">
        <v>1</v>
      </c>
      <c r="AS84" s="105">
        <v>1</v>
      </c>
      <c r="AT84" s="139">
        <v>1</v>
      </c>
      <c r="AU84" s="317">
        <v>0</v>
      </c>
      <c r="AV84" s="105">
        <v>7</v>
      </c>
      <c r="AW84" s="18">
        <v>0</v>
      </c>
      <c r="AX84" s="317">
        <v>0</v>
      </c>
      <c r="AY84" s="105">
        <v>9</v>
      </c>
      <c r="AZ84" s="18">
        <v>0</v>
      </c>
      <c r="BA84" s="317">
        <v>0</v>
      </c>
      <c r="BB84" s="105">
        <v>1173</v>
      </c>
      <c r="BC84" s="139">
        <v>28</v>
      </c>
      <c r="BD84" s="150">
        <v>3</v>
      </c>
      <c r="BE84" s="105">
        <v>65285</v>
      </c>
      <c r="BF84" s="139">
        <v>926</v>
      </c>
      <c r="BG84" s="150">
        <v>361</v>
      </c>
      <c r="BH84" s="105">
        <v>1</v>
      </c>
      <c r="BI84" s="18">
        <v>0</v>
      </c>
      <c r="BJ84" s="317">
        <v>0</v>
      </c>
      <c r="BK84" s="105">
        <v>5</v>
      </c>
      <c r="BL84" s="18">
        <v>0</v>
      </c>
      <c r="BM84" s="150">
        <v>2</v>
      </c>
      <c r="BN84" s="105">
        <v>56</v>
      </c>
      <c r="BO84" s="139">
        <v>1</v>
      </c>
      <c r="BP84" s="317">
        <v>0</v>
      </c>
      <c r="BQ84" s="105">
        <v>24</v>
      </c>
      <c r="BR84" s="139">
        <v>1</v>
      </c>
      <c r="BS84" s="150">
        <v>4</v>
      </c>
      <c r="BT84" s="105">
        <v>4</v>
      </c>
      <c r="BU84" s="139">
        <v>1</v>
      </c>
      <c r="BV84" s="317">
        <v>0</v>
      </c>
      <c r="BW84" s="105">
        <v>18</v>
      </c>
      <c r="BX84" s="18">
        <v>0</v>
      </c>
      <c r="BY84" s="150">
        <v>6</v>
      </c>
      <c r="BZ84" s="105">
        <v>8</v>
      </c>
      <c r="CA84" s="18">
        <v>0</v>
      </c>
      <c r="CB84" s="317">
        <v>0</v>
      </c>
      <c r="CC84" s="105">
        <v>36</v>
      </c>
      <c r="CD84" s="139">
        <v>1</v>
      </c>
      <c r="CE84" s="317">
        <v>0</v>
      </c>
      <c r="CF84" s="105">
        <v>1</v>
      </c>
      <c r="CG84" s="18">
        <v>0</v>
      </c>
      <c r="CH84" s="317">
        <v>0</v>
      </c>
      <c r="CI84" s="105">
        <v>26</v>
      </c>
      <c r="CJ84" s="139">
        <v>1</v>
      </c>
      <c r="CK84" s="150">
        <v>2</v>
      </c>
      <c r="CL84" s="105">
        <v>37</v>
      </c>
      <c r="CM84" s="139">
        <v>1</v>
      </c>
      <c r="CN84" s="317">
        <v>0</v>
      </c>
      <c r="CO84" s="105">
        <v>405</v>
      </c>
      <c r="CP84" s="139">
        <v>5</v>
      </c>
      <c r="CQ84" s="150">
        <v>4</v>
      </c>
      <c r="CR84" s="105">
        <v>2</v>
      </c>
      <c r="CS84" s="18">
        <v>0</v>
      </c>
      <c r="CT84" s="317">
        <v>0</v>
      </c>
      <c r="CU84" s="105">
        <v>443</v>
      </c>
      <c r="CV84" s="139">
        <v>8</v>
      </c>
      <c r="CW84" s="150">
        <v>1</v>
      </c>
      <c r="CX84" s="105">
        <v>37</v>
      </c>
      <c r="CY84" s="139">
        <v>3</v>
      </c>
      <c r="CZ84" s="317">
        <v>0</v>
      </c>
      <c r="DA84" s="105">
        <v>480</v>
      </c>
      <c r="DB84" s="139">
        <v>9</v>
      </c>
      <c r="DC84" s="150">
        <v>1</v>
      </c>
      <c r="DD84" s="105">
        <v>3</v>
      </c>
      <c r="DE84" s="18">
        <v>0</v>
      </c>
      <c r="DF84" s="317">
        <v>0</v>
      </c>
      <c r="DG84" s="105">
        <v>392</v>
      </c>
      <c r="DH84" s="139">
        <v>10</v>
      </c>
      <c r="DI84" s="150">
        <v>3</v>
      </c>
      <c r="DJ84" s="105">
        <v>1</v>
      </c>
      <c r="DK84" s="18">
        <v>0</v>
      </c>
      <c r="DL84" s="317">
        <v>0</v>
      </c>
      <c r="DM84" s="105">
        <v>2</v>
      </c>
      <c r="DN84" s="18">
        <v>0</v>
      </c>
      <c r="DO84" s="317">
        <v>0</v>
      </c>
      <c r="DP84" s="105">
        <v>3</v>
      </c>
      <c r="DQ84" s="18">
        <v>0</v>
      </c>
      <c r="DR84" s="317">
        <v>0</v>
      </c>
      <c r="DS84" s="105">
        <v>2</v>
      </c>
      <c r="DT84" s="18">
        <v>0</v>
      </c>
      <c r="DU84" s="150">
        <v>2</v>
      </c>
      <c r="DV84" s="18">
        <v>0</v>
      </c>
      <c r="DW84" s="18">
        <v>0</v>
      </c>
      <c r="DX84" s="317">
        <v>0</v>
      </c>
      <c r="DY84" s="105">
        <v>1</v>
      </c>
      <c r="DZ84" s="18">
        <v>0</v>
      </c>
      <c r="EA84" s="317">
        <v>0</v>
      </c>
      <c r="EB84" s="105">
        <v>8</v>
      </c>
      <c r="EC84" s="18">
        <v>0</v>
      </c>
      <c r="ED84" s="317">
        <v>0</v>
      </c>
      <c r="EE84" s="105">
        <v>60</v>
      </c>
      <c r="EF84" s="139">
        <v>1</v>
      </c>
      <c r="EG84" s="317">
        <v>0</v>
      </c>
      <c r="EH84" s="105">
        <v>189</v>
      </c>
      <c r="EI84" s="18">
        <v>0</v>
      </c>
      <c r="EJ84" s="317">
        <v>0</v>
      </c>
      <c r="EK84" s="105">
        <v>91</v>
      </c>
      <c r="EL84" s="18">
        <v>0</v>
      </c>
      <c r="EM84" s="150">
        <v>15</v>
      </c>
      <c r="EN84" s="637" t="s">
        <v>1043</v>
      </c>
      <c r="EO84" s="531"/>
      <c r="EP84" s="531"/>
      <c r="EQ84" s="531"/>
      <c r="ER84" s="531"/>
      <c r="ES84" s="531"/>
      <c r="ET84" s="531"/>
      <c r="EU84" s="389" t="s">
        <v>1044</v>
      </c>
    </row>
    <row r="85" spans="1:151" ht="12.75">
      <c r="A85" s="93">
        <v>43916</v>
      </c>
      <c r="B85" s="14">
        <f t="shared" ref="B85:D85" si="81">SUM(F85,I85,L85,O85,R85,U85,X85,AA85,AD85,AG85,AJ85,AM85,AP85,AS85,AV85,AY85,BB85,BE85,BH85,BK85,BN85,BQ85,BT85,BW85,BZ85,CC85,CF85,CI85,CL85,CO85,CR85,CU85,CX85,DA85,DD85,DG85,DJ85,DP85,DS85,DM85,DY85,EB85,EE85,EH85,EK85,)</f>
        <v>96122</v>
      </c>
      <c r="C85" s="34">
        <f t="shared" si="81"/>
        <v>1351</v>
      </c>
      <c r="D85" s="73">
        <f t="shared" si="81"/>
        <v>962</v>
      </c>
      <c r="E85" s="350">
        <f t="shared" si="2"/>
        <v>93809</v>
      </c>
      <c r="F85" s="105">
        <v>7</v>
      </c>
      <c r="G85" s="18">
        <v>0</v>
      </c>
      <c r="H85" s="317">
        <v>0</v>
      </c>
      <c r="I85" s="105">
        <v>502</v>
      </c>
      <c r="J85" s="139">
        <v>8</v>
      </c>
      <c r="K85" s="150">
        <v>63</v>
      </c>
      <c r="L85" s="105">
        <v>4</v>
      </c>
      <c r="M85" s="18">
        <v>0</v>
      </c>
      <c r="N85" s="317">
        <v>0</v>
      </c>
      <c r="O85" s="105">
        <v>5</v>
      </c>
      <c r="P85" s="18">
        <v>0</v>
      </c>
      <c r="Q85" s="317">
        <v>0</v>
      </c>
      <c r="R85" s="105">
        <v>18</v>
      </c>
      <c r="S85" s="18">
        <v>0</v>
      </c>
      <c r="T85" s="317">
        <v>0</v>
      </c>
      <c r="U85" s="105">
        <v>2</v>
      </c>
      <c r="V85" s="18">
        <v>0</v>
      </c>
      <c r="W85" s="317">
        <v>0</v>
      </c>
      <c r="X85" s="105">
        <v>43</v>
      </c>
      <c r="Y85" s="18">
        <v>0</v>
      </c>
      <c r="Z85" s="317">
        <v>0</v>
      </c>
      <c r="AA85" s="105">
        <v>2915</v>
      </c>
      <c r="AB85" s="139">
        <v>77</v>
      </c>
      <c r="AC85" s="150">
        <v>6</v>
      </c>
      <c r="AD85" s="105">
        <v>3909</v>
      </c>
      <c r="AE85" s="139">
        <v>38</v>
      </c>
      <c r="AF85" s="150">
        <v>184</v>
      </c>
      <c r="AG85" s="105">
        <v>1306</v>
      </c>
      <c r="AH85" s="139">
        <v>4</v>
      </c>
      <c r="AI85" s="150">
        <v>22</v>
      </c>
      <c r="AJ85" s="105">
        <v>491</v>
      </c>
      <c r="AK85" s="139">
        <v>6</v>
      </c>
      <c r="AL85" s="150">
        <v>8</v>
      </c>
      <c r="AM85" s="105">
        <v>231</v>
      </c>
      <c r="AN85" s="139">
        <v>2</v>
      </c>
      <c r="AO85" s="150">
        <v>2</v>
      </c>
      <c r="AP85" s="105">
        <v>67</v>
      </c>
      <c r="AQ85" s="139">
        <v>1</v>
      </c>
      <c r="AR85" s="150">
        <v>1</v>
      </c>
      <c r="AS85" s="105">
        <v>1</v>
      </c>
      <c r="AT85" s="139">
        <v>1</v>
      </c>
      <c r="AU85" s="317">
        <v>0</v>
      </c>
      <c r="AV85" s="105">
        <v>11</v>
      </c>
      <c r="AW85" s="18">
        <v>0</v>
      </c>
      <c r="AX85" s="317">
        <v>0</v>
      </c>
      <c r="AY85" s="105">
        <v>13</v>
      </c>
      <c r="AZ85" s="18">
        <v>0</v>
      </c>
      <c r="BA85" s="317">
        <v>0</v>
      </c>
      <c r="BB85" s="105">
        <v>1382</v>
      </c>
      <c r="BC85" s="139">
        <v>34</v>
      </c>
      <c r="BD85" s="150">
        <v>3</v>
      </c>
      <c r="BE85" s="105">
        <v>82404</v>
      </c>
      <c r="BF85" s="139">
        <v>1136</v>
      </c>
      <c r="BG85" s="150">
        <v>619</v>
      </c>
      <c r="BH85" s="105">
        <v>7</v>
      </c>
      <c r="BI85" s="18">
        <v>0</v>
      </c>
      <c r="BJ85" s="317">
        <v>0</v>
      </c>
      <c r="BK85" s="105">
        <v>5</v>
      </c>
      <c r="BL85" s="18">
        <v>0</v>
      </c>
      <c r="BM85" s="150">
        <v>2</v>
      </c>
      <c r="BN85" s="105">
        <v>76</v>
      </c>
      <c r="BO85" s="139">
        <v>1</v>
      </c>
      <c r="BP85" s="317">
        <v>0</v>
      </c>
      <c r="BQ85" s="105">
        <v>24</v>
      </c>
      <c r="BR85" s="139">
        <v>1</v>
      </c>
      <c r="BS85" s="150">
        <v>4</v>
      </c>
      <c r="BT85" s="105">
        <v>5</v>
      </c>
      <c r="BU85" s="139">
        <v>1</v>
      </c>
      <c r="BV85" s="317">
        <v>0</v>
      </c>
      <c r="BW85" s="105">
        <v>18</v>
      </c>
      <c r="BX85" s="18">
        <v>0</v>
      </c>
      <c r="BY85" s="150">
        <v>6</v>
      </c>
      <c r="BZ85" s="105">
        <v>8</v>
      </c>
      <c r="CA85" s="18">
        <v>0</v>
      </c>
      <c r="CB85" s="317">
        <v>0</v>
      </c>
      <c r="CC85" s="105">
        <v>52</v>
      </c>
      <c r="CD85" s="139">
        <v>1</v>
      </c>
      <c r="CE85" s="317">
        <v>0</v>
      </c>
      <c r="CF85" s="105">
        <v>1</v>
      </c>
      <c r="CG85" s="18">
        <v>0</v>
      </c>
      <c r="CH85" s="317">
        <v>0</v>
      </c>
      <c r="CI85" s="105">
        <v>26</v>
      </c>
      <c r="CJ85" s="139">
        <v>1</v>
      </c>
      <c r="CK85" s="150">
        <v>2</v>
      </c>
      <c r="CL85" s="105">
        <v>37</v>
      </c>
      <c r="CM85" s="139">
        <v>1</v>
      </c>
      <c r="CN85" s="317">
        <v>0</v>
      </c>
      <c r="CO85" s="105">
        <v>475</v>
      </c>
      <c r="CP85" s="139">
        <v>6</v>
      </c>
      <c r="CQ85" s="150">
        <v>4</v>
      </c>
      <c r="CR85" s="105">
        <v>2</v>
      </c>
      <c r="CS85" s="18">
        <v>0</v>
      </c>
      <c r="CT85" s="317">
        <v>0</v>
      </c>
      <c r="CU85" s="105">
        <v>558</v>
      </c>
      <c r="CV85" s="139">
        <v>8</v>
      </c>
      <c r="CW85" s="150">
        <v>2</v>
      </c>
      <c r="CX85" s="105">
        <v>41</v>
      </c>
      <c r="CY85" s="139">
        <v>3</v>
      </c>
      <c r="CZ85" s="317">
        <v>0</v>
      </c>
      <c r="DA85" s="105">
        <v>580</v>
      </c>
      <c r="DB85" s="139">
        <v>9</v>
      </c>
      <c r="DC85" s="150">
        <v>14</v>
      </c>
      <c r="DD85" s="105">
        <v>3</v>
      </c>
      <c r="DE85" s="18">
        <v>0</v>
      </c>
      <c r="DF85" s="317">
        <v>0</v>
      </c>
      <c r="DG85" s="105">
        <v>488</v>
      </c>
      <c r="DH85" s="139">
        <v>10</v>
      </c>
      <c r="DI85" s="150">
        <v>3</v>
      </c>
      <c r="DJ85" s="105">
        <v>1</v>
      </c>
      <c r="DK85" s="18">
        <v>0</v>
      </c>
      <c r="DL85" s="317">
        <v>0</v>
      </c>
      <c r="DM85" s="105">
        <v>2</v>
      </c>
      <c r="DN85" s="18">
        <v>0</v>
      </c>
      <c r="DO85" s="317">
        <v>0</v>
      </c>
      <c r="DP85" s="105">
        <v>3</v>
      </c>
      <c r="DQ85" s="18">
        <v>0</v>
      </c>
      <c r="DR85" s="317">
        <v>0</v>
      </c>
      <c r="DS85" s="105">
        <v>2</v>
      </c>
      <c r="DT85" s="139">
        <v>1</v>
      </c>
      <c r="DU85" s="150">
        <v>2</v>
      </c>
      <c r="DV85" s="18">
        <v>0</v>
      </c>
      <c r="DW85" s="18">
        <v>0</v>
      </c>
      <c r="DX85" s="317">
        <v>0</v>
      </c>
      <c r="DY85" s="105">
        <v>1</v>
      </c>
      <c r="DZ85" s="18">
        <v>0</v>
      </c>
      <c r="EA85" s="317">
        <v>0</v>
      </c>
      <c r="EB85" s="105">
        <v>8</v>
      </c>
      <c r="EC85" s="18">
        <v>0</v>
      </c>
      <c r="ED85" s="317">
        <v>0</v>
      </c>
      <c r="EE85" s="105">
        <v>65</v>
      </c>
      <c r="EF85" s="139">
        <v>1</v>
      </c>
      <c r="EG85" s="317">
        <v>0</v>
      </c>
      <c r="EH85" s="105">
        <v>217</v>
      </c>
      <c r="EI85" s="18">
        <v>0</v>
      </c>
      <c r="EJ85" s="317">
        <v>0</v>
      </c>
      <c r="EK85" s="105">
        <v>106</v>
      </c>
      <c r="EL85" s="18">
        <v>0</v>
      </c>
      <c r="EM85" s="150">
        <v>15</v>
      </c>
      <c r="EN85" s="637" t="s">
        <v>1047</v>
      </c>
      <c r="EO85" s="531"/>
      <c r="EP85" s="531"/>
      <c r="EQ85" s="531"/>
      <c r="ER85" s="531"/>
      <c r="ES85" s="531"/>
      <c r="ET85" s="531"/>
      <c r="EU85" s="77" t="s">
        <v>1048</v>
      </c>
    </row>
    <row r="86" spans="1:151" ht="12.75">
      <c r="A86" s="93">
        <v>43917</v>
      </c>
      <c r="B86" s="14">
        <f t="shared" ref="B86:D86" si="82">SUM(F86,I86,L86,O86,R86,U86,X86,AA86,AD86,AG86,AJ86,AM86,AP86,AS86,AV86,AY86,BB86,BE86,BH86,BK86,BN86,BQ86,BT86,BW86,BZ86,CC86,CF86,CI86,CL86,CO86,CR86,CU86,CX86,DA86,DD86,DG86,DJ86,DP86,DS86,DM86,DY86,EB86,EE86,EH86,EK86,)</f>
        <v>117767</v>
      </c>
      <c r="C86" s="34">
        <f t="shared" si="82"/>
        <v>1852</v>
      </c>
      <c r="D86" s="73">
        <f t="shared" si="82"/>
        <v>1333</v>
      </c>
      <c r="E86" s="350">
        <f t="shared" si="2"/>
        <v>114582</v>
      </c>
      <c r="F86" s="105">
        <v>7</v>
      </c>
      <c r="G86" s="18">
        <v>0</v>
      </c>
      <c r="H86" s="317">
        <v>0</v>
      </c>
      <c r="I86" s="105">
        <v>589</v>
      </c>
      <c r="J86" s="139">
        <v>13</v>
      </c>
      <c r="K86" s="150">
        <v>72</v>
      </c>
      <c r="L86" s="105">
        <v>4</v>
      </c>
      <c r="M86" s="18">
        <v>0</v>
      </c>
      <c r="N86" s="317">
        <v>0</v>
      </c>
      <c r="O86" s="105">
        <v>9</v>
      </c>
      <c r="P86" s="18">
        <v>0</v>
      </c>
      <c r="Q86" s="317">
        <v>0</v>
      </c>
      <c r="R86" s="105">
        <v>24</v>
      </c>
      <c r="S86" s="18">
        <v>0</v>
      </c>
      <c r="T86" s="317">
        <v>0</v>
      </c>
      <c r="U86" s="105">
        <v>2</v>
      </c>
      <c r="V86" s="18">
        <v>0</v>
      </c>
      <c r="W86" s="317">
        <v>0</v>
      </c>
      <c r="X86" s="105">
        <v>61</v>
      </c>
      <c r="Y86" s="18">
        <v>0</v>
      </c>
      <c r="Z86" s="317">
        <v>0</v>
      </c>
      <c r="AA86" s="105">
        <v>3417</v>
      </c>
      <c r="AB86" s="139">
        <v>92</v>
      </c>
      <c r="AC86" s="150">
        <v>6</v>
      </c>
      <c r="AD86" s="105">
        <v>4626</v>
      </c>
      <c r="AE86" s="139">
        <v>54</v>
      </c>
      <c r="AF86" s="150">
        <v>256</v>
      </c>
      <c r="AG86" s="105">
        <v>1610</v>
      </c>
      <c r="AH86" s="139">
        <v>5</v>
      </c>
      <c r="AI86" s="150">
        <v>43</v>
      </c>
      <c r="AJ86" s="105">
        <v>539</v>
      </c>
      <c r="AK86" s="139">
        <v>6</v>
      </c>
      <c r="AL86" s="150">
        <v>10</v>
      </c>
      <c r="AM86" s="105">
        <v>263</v>
      </c>
      <c r="AN86" s="139">
        <v>2</v>
      </c>
      <c r="AO86" s="150">
        <v>3</v>
      </c>
      <c r="AP86" s="105">
        <v>80</v>
      </c>
      <c r="AQ86" s="139">
        <v>2</v>
      </c>
      <c r="AR86" s="150">
        <v>4</v>
      </c>
      <c r="AS86" s="105">
        <v>1</v>
      </c>
      <c r="AT86" s="139">
        <v>1</v>
      </c>
      <c r="AU86" s="317">
        <v>0</v>
      </c>
      <c r="AV86" s="105">
        <v>11</v>
      </c>
      <c r="AW86" s="18">
        <v>0</v>
      </c>
      <c r="AX86" s="317">
        <v>0</v>
      </c>
      <c r="AY86" s="105">
        <v>13</v>
      </c>
      <c r="AZ86" s="18">
        <v>0</v>
      </c>
      <c r="BA86" s="317">
        <v>0</v>
      </c>
      <c r="BB86" s="105">
        <v>1595</v>
      </c>
      <c r="BC86" s="139">
        <v>36</v>
      </c>
      <c r="BD86" s="150">
        <v>3</v>
      </c>
      <c r="BE86" s="105">
        <v>101657</v>
      </c>
      <c r="BF86" s="139">
        <v>1581</v>
      </c>
      <c r="BG86" s="150">
        <v>862</v>
      </c>
      <c r="BH86" s="105">
        <v>7</v>
      </c>
      <c r="BI86" s="18">
        <v>0</v>
      </c>
      <c r="BJ86" s="317">
        <v>0</v>
      </c>
      <c r="BK86" s="105">
        <v>5</v>
      </c>
      <c r="BL86" s="18">
        <v>0</v>
      </c>
      <c r="BM86" s="150">
        <v>2</v>
      </c>
      <c r="BN86" s="105">
        <v>96</v>
      </c>
      <c r="BO86" s="139">
        <v>2</v>
      </c>
      <c r="BP86" s="317">
        <v>0</v>
      </c>
      <c r="BQ86" s="105">
        <v>28</v>
      </c>
      <c r="BR86" s="139">
        <v>1</v>
      </c>
      <c r="BS86" s="150">
        <v>4</v>
      </c>
      <c r="BT86" s="105">
        <v>5</v>
      </c>
      <c r="BU86" s="139">
        <v>1</v>
      </c>
      <c r="BV86" s="317">
        <v>0</v>
      </c>
      <c r="BW86" s="105">
        <v>18</v>
      </c>
      <c r="BX86" s="18">
        <v>0</v>
      </c>
      <c r="BY86" s="150">
        <v>6</v>
      </c>
      <c r="BZ86" s="105">
        <v>8</v>
      </c>
      <c r="CA86" s="18">
        <v>0</v>
      </c>
      <c r="CB86" s="317">
        <v>0</v>
      </c>
      <c r="CC86" s="105">
        <v>68</v>
      </c>
      <c r="CD86" s="139">
        <v>1</v>
      </c>
      <c r="CE86" s="317">
        <v>0</v>
      </c>
      <c r="CF86" s="105">
        <v>1</v>
      </c>
      <c r="CG86" s="18">
        <v>0</v>
      </c>
      <c r="CH86" s="317">
        <v>0</v>
      </c>
      <c r="CI86" s="105">
        <v>26</v>
      </c>
      <c r="CJ86" s="139">
        <v>1</v>
      </c>
      <c r="CK86" s="150">
        <v>2</v>
      </c>
      <c r="CL86" s="105">
        <v>37</v>
      </c>
      <c r="CM86" s="139">
        <v>1</v>
      </c>
      <c r="CN86" s="317">
        <v>0</v>
      </c>
      <c r="CO86" s="105">
        <v>585</v>
      </c>
      <c r="CP86" s="139">
        <v>8</v>
      </c>
      <c r="CQ86" s="150">
        <v>4</v>
      </c>
      <c r="CR86" s="105">
        <v>2</v>
      </c>
      <c r="CS86" s="18">
        <v>0</v>
      </c>
      <c r="CT86" s="317">
        <v>0</v>
      </c>
      <c r="CU86" s="105">
        <v>674</v>
      </c>
      <c r="CV86" s="139">
        <v>9</v>
      </c>
      <c r="CW86" s="150">
        <v>2</v>
      </c>
      <c r="CX86" s="105">
        <v>52</v>
      </c>
      <c r="CY86" s="139">
        <v>3</v>
      </c>
      <c r="CZ86" s="150">
        <v>1</v>
      </c>
      <c r="DA86" s="105">
        <v>635</v>
      </c>
      <c r="DB86" s="139">
        <v>9</v>
      </c>
      <c r="DC86" s="150">
        <v>16</v>
      </c>
      <c r="DD86" s="105">
        <v>3</v>
      </c>
      <c r="DE86" s="18">
        <v>0</v>
      </c>
      <c r="DF86" s="317">
        <v>0</v>
      </c>
      <c r="DG86" s="105">
        <v>581</v>
      </c>
      <c r="DH86" s="139">
        <v>20</v>
      </c>
      <c r="DI86" s="150">
        <v>3</v>
      </c>
      <c r="DJ86" s="105">
        <v>1</v>
      </c>
      <c r="DK86" s="18">
        <v>0</v>
      </c>
      <c r="DL86" s="317">
        <v>0</v>
      </c>
      <c r="DM86" s="105">
        <v>2</v>
      </c>
      <c r="DN86" s="18">
        <v>0</v>
      </c>
      <c r="DO86" s="317">
        <v>0</v>
      </c>
      <c r="DP86" s="105">
        <v>3</v>
      </c>
      <c r="DQ86" s="18">
        <v>0</v>
      </c>
      <c r="DR86" s="317">
        <v>0</v>
      </c>
      <c r="DS86" s="105">
        <v>2</v>
      </c>
      <c r="DT86" s="139">
        <v>1</v>
      </c>
      <c r="DU86" s="150">
        <v>2</v>
      </c>
      <c r="DV86" s="18">
        <v>0</v>
      </c>
      <c r="DW86" s="18">
        <v>0</v>
      </c>
      <c r="DX86" s="317">
        <v>0</v>
      </c>
      <c r="DY86" s="105">
        <v>1</v>
      </c>
      <c r="DZ86" s="18">
        <v>0</v>
      </c>
      <c r="EA86" s="317">
        <v>0</v>
      </c>
      <c r="EB86" s="105">
        <v>8</v>
      </c>
      <c r="EC86" s="18">
        <v>0</v>
      </c>
      <c r="ED86" s="317">
        <v>0</v>
      </c>
      <c r="EE86" s="105">
        <v>66</v>
      </c>
      <c r="EF86" s="139">
        <v>2</v>
      </c>
      <c r="EG86" s="150">
        <v>1</v>
      </c>
      <c r="EH86" s="105">
        <v>238</v>
      </c>
      <c r="EI86" s="18">
        <v>0</v>
      </c>
      <c r="EJ86" s="317">
        <v>0</v>
      </c>
      <c r="EK86" s="105">
        <v>107</v>
      </c>
      <c r="EL86" s="139">
        <v>1</v>
      </c>
      <c r="EM86" s="150">
        <v>31</v>
      </c>
      <c r="EN86" s="637" t="s">
        <v>1050</v>
      </c>
      <c r="EO86" s="531"/>
      <c r="EP86" s="531"/>
      <c r="EQ86" s="531"/>
      <c r="ER86" s="531"/>
      <c r="ES86" s="531"/>
      <c r="ET86" s="531"/>
      <c r="EU86" s="391" t="s">
        <v>1051</v>
      </c>
    </row>
    <row r="87" spans="1:151" ht="12.75">
      <c r="A87" s="93">
        <v>43918</v>
      </c>
      <c r="B87" s="14">
        <f t="shared" ref="B87:D87" si="83">SUM(F87,I87,L87,O87,R87,U87,X87,AA87,AD87,AG87,AJ87,AM87,AP87,AS87,AV87,AY87,BB87,BE87,BH87,BK87,BN87,BQ87,BT87,BW87,BZ87,CC87,CF87,CI87,CL87,CO87,CR87,CU87,CX87,DA87,DD87,DG87,DJ87,DP87,DS87,DM87,DY87,EB87,EE87,EH87,EK87,)</f>
        <v>140305</v>
      </c>
      <c r="C87" s="34">
        <f t="shared" si="83"/>
        <v>2368</v>
      </c>
      <c r="D87" s="73">
        <f t="shared" si="83"/>
        <v>1788</v>
      </c>
      <c r="E87" s="350">
        <f t="shared" si="2"/>
        <v>136149</v>
      </c>
      <c r="F87" s="105">
        <v>7</v>
      </c>
      <c r="G87" s="18">
        <v>0</v>
      </c>
      <c r="H87" s="317">
        <v>0</v>
      </c>
      <c r="I87" s="105">
        <v>690</v>
      </c>
      <c r="J87" s="139">
        <v>18</v>
      </c>
      <c r="K87" s="150">
        <v>72</v>
      </c>
      <c r="L87" s="105">
        <v>4</v>
      </c>
      <c r="M87" s="18">
        <v>0</v>
      </c>
      <c r="N87" s="317">
        <v>0</v>
      </c>
      <c r="O87" s="105">
        <v>10</v>
      </c>
      <c r="P87" s="18">
        <v>0</v>
      </c>
      <c r="Q87" s="317">
        <v>0</v>
      </c>
      <c r="R87" s="105">
        <v>26</v>
      </c>
      <c r="S87" s="18">
        <v>0</v>
      </c>
      <c r="T87" s="317">
        <v>0</v>
      </c>
      <c r="U87" s="105">
        <v>2</v>
      </c>
      <c r="V87" s="18">
        <v>0</v>
      </c>
      <c r="W87" s="317">
        <v>0</v>
      </c>
      <c r="X87" s="105">
        <v>74</v>
      </c>
      <c r="Y87" s="18">
        <v>0</v>
      </c>
      <c r="Z87" s="317">
        <v>0</v>
      </c>
      <c r="AA87" s="105">
        <v>3904</v>
      </c>
      <c r="AB87" s="139">
        <v>111</v>
      </c>
      <c r="AC87" s="150">
        <v>6</v>
      </c>
      <c r="AD87" s="105">
        <v>5546</v>
      </c>
      <c r="AE87" s="139">
        <v>61</v>
      </c>
      <c r="AF87" s="150">
        <v>466</v>
      </c>
      <c r="AG87" s="105">
        <v>1909</v>
      </c>
      <c r="AH87" s="139">
        <v>6</v>
      </c>
      <c r="AI87" s="150">
        <v>61</v>
      </c>
      <c r="AJ87" s="105">
        <v>608</v>
      </c>
      <c r="AK87" s="139">
        <v>6</v>
      </c>
      <c r="AL87" s="150">
        <v>10</v>
      </c>
      <c r="AM87" s="105">
        <v>295</v>
      </c>
      <c r="AN87" s="139">
        <v>2</v>
      </c>
      <c r="AO87" s="150">
        <v>3</v>
      </c>
      <c r="AP87" s="105">
        <v>119</v>
      </c>
      <c r="AQ87" s="139">
        <v>3</v>
      </c>
      <c r="AR87" s="150">
        <v>4</v>
      </c>
      <c r="AS87" s="105">
        <v>1</v>
      </c>
      <c r="AT87" s="139">
        <v>1</v>
      </c>
      <c r="AU87" s="317">
        <v>0</v>
      </c>
      <c r="AV87" s="105">
        <v>11</v>
      </c>
      <c r="AW87" s="18">
        <v>0</v>
      </c>
      <c r="AX87" s="317">
        <v>0</v>
      </c>
      <c r="AY87" s="105">
        <v>19</v>
      </c>
      <c r="AZ87" s="18">
        <v>0</v>
      </c>
      <c r="BA87" s="317">
        <v>0</v>
      </c>
      <c r="BB87" s="105">
        <v>1823</v>
      </c>
      <c r="BC87" s="139">
        <v>48</v>
      </c>
      <c r="BD87" s="150">
        <v>3</v>
      </c>
      <c r="BE87" s="105">
        <v>121478</v>
      </c>
      <c r="BF87" s="139">
        <v>2026</v>
      </c>
      <c r="BG87" s="150">
        <v>1072</v>
      </c>
      <c r="BH87" s="105">
        <v>7</v>
      </c>
      <c r="BI87" s="18">
        <v>0</v>
      </c>
      <c r="BJ87" s="317">
        <v>0</v>
      </c>
      <c r="BK87" s="105">
        <v>5</v>
      </c>
      <c r="BL87" s="18">
        <v>0</v>
      </c>
      <c r="BM87" s="150">
        <v>2</v>
      </c>
      <c r="BN87" s="105">
        <v>96</v>
      </c>
      <c r="BO87" s="139">
        <v>2</v>
      </c>
      <c r="BP87" s="317">
        <v>0</v>
      </c>
      <c r="BQ87" s="105">
        <v>34</v>
      </c>
      <c r="BR87" s="139">
        <v>1</v>
      </c>
      <c r="BS87" s="150">
        <v>10</v>
      </c>
      <c r="BT87" s="105">
        <v>8</v>
      </c>
      <c r="BU87" s="139">
        <v>1</v>
      </c>
      <c r="BV87" s="317">
        <v>0</v>
      </c>
      <c r="BW87" s="105">
        <v>18</v>
      </c>
      <c r="BX87" s="18">
        <v>0</v>
      </c>
      <c r="BY87" s="150">
        <v>6</v>
      </c>
      <c r="BZ87" s="105">
        <v>8</v>
      </c>
      <c r="CA87" s="18">
        <v>0</v>
      </c>
      <c r="CB87" s="317">
        <v>0</v>
      </c>
      <c r="CC87" s="105">
        <v>95</v>
      </c>
      <c r="CD87" s="139">
        <v>1</v>
      </c>
      <c r="CE87" s="150">
        <v>3</v>
      </c>
      <c r="CF87" s="105">
        <v>1</v>
      </c>
      <c r="CG87" s="18">
        <v>0</v>
      </c>
      <c r="CH87" s="317">
        <v>0</v>
      </c>
      <c r="CI87" s="105">
        <v>30</v>
      </c>
      <c r="CJ87" s="139">
        <v>1</v>
      </c>
      <c r="CK87" s="150">
        <v>2</v>
      </c>
      <c r="CL87" s="105">
        <v>37</v>
      </c>
      <c r="CM87" s="139">
        <v>1</v>
      </c>
      <c r="CN87" s="317">
        <v>0</v>
      </c>
      <c r="CO87" s="105">
        <v>717</v>
      </c>
      <c r="CP87" s="139">
        <v>12</v>
      </c>
      <c r="CQ87" s="150">
        <v>4</v>
      </c>
      <c r="CR87" s="105">
        <v>4</v>
      </c>
      <c r="CS87" s="139">
        <v>1</v>
      </c>
      <c r="CT87" s="317">
        <v>0</v>
      </c>
      <c r="CU87" s="105">
        <v>786</v>
      </c>
      <c r="CV87" s="139">
        <v>14</v>
      </c>
      <c r="CW87" s="150">
        <v>2</v>
      </c>
      <c r="CX87" s="105">
        <v>56</v>
      </c>
      <c r="CY87" s="139">
        <v>3</v>
      </c>
      <c r="CZ87" s="150">
        <v>1</v>
      </c>
      <c r="DA87" s="105">
        <v>671</v>
      </c>
      <c r="DB87" s="139">
        <v>16</v>
      </c>
      <c r="DC87" s="150">
        <v>16</v>
      </c>
      <c r="DD87" s="105">
        <v>3</v>
      </c>
      <c r="DE87" s="18">
        <v>0</v>
      </c>
      <c r="DF87" s="317">
        <v>0</v>
      </c>
      <c r="DG87" s="105">
        <v>719</v>
      </c>
      <c r="DH87" s="139">
        <v>28</v>
      </c>
      <c r="DI87" s="150">
        <v>3</v>
      </c>
      <c r="DJ87" s="105">
        <v>1</v>
      </c>
      <c r="DK87" s="18">
        <v>0</v>
      </c>
      <c r="DL87" s="317">
        <v>0</v>
      </c>
      <c r="DM87" s="105">
        <v>2</v>
      </c>
      <c r="DN87" s="18">
        <v>0</v>
      </c>
      <c r="DO87" s="317">
        <v>0</v>
      </c>
      <c r="DP87" s="105">
        <v>3</v>
      </c>
      <c r="DQ87" s="18">
        <v>0</v>
      </c>
      <c r="DR87" s="317">
        <v>0</v>
      </c>
      <c r="DS87" s="105">
        <v>2</v>
      </c>
      <c r="DT87" s="139">
        <v>1</v>
      </c>
      <c r="DU87" s="150">
        <v>2</v>
      </c>
      <c r="DV87" s="18">
        <v>0</v>
      </c>
      <c r="DW87" s="18">
        <v>0</v>
      </c>
      <c r="DX87" s="317">
        <v>0</v>
      </c>
      <c r="DY87" s="105">
        <v>1</v>
      </c>
      <c r="DZ87" s="18">
        <v>0</v>
      </c>
      <c r="EA87" s="317">
        <v>0</v>
      </c>
      <c r="EB87" s="105">
        <v>8</v>
      </c>
      <c r="EC87" s="18">
        <v>0</v>
      </c>
      <c r="ED87" s="317">
        <v>0</v>
      </c>
      <c r="EE87" s="105">
        <v>74</v>
      </c>
      <c r="EF87" s="139">
        <v>2</v>
      </c>
      <c r="EG87" s="150">
        <v>1</v>
      </c>
      <c r="EH87" s="105">
        <v>274</v>
      </c>
      <c r="EI87" s="18">
        <v>0</v>
      </c>
      <c r="EJ87" s="317">
        <v>0</v>
      </c>
      <c r="EK87" s="105">
        <v>119</v>
      </c>
      <c r="EL87" s="139">
        <v>2</v>
      </c>
      <c r="EM87" s="150">
        <v>39</v>
      </c>
      <c r="EN87" s="637" t="s">
        <v>1053</v>
      </c>
      <c r="EO87" s="531"/>
      <c r="EP87" s="531"/>
      <c r="EQ87" s="531"/>
      <c r="ER87" s="531"/>
      <c r="ES87" s="531"/>
      <c r="ET87" s="531"/>
      <c r="EU87" s="391" t="s">
        <v>1054</v>
      </c>
    </row>
    <row r="88" spans="1:151" ht="12.75">
      <c r="A88" s="93">
        <v>43919</v>
      </c>
      <c r="B88" s="14">
        <f t="shared" ref="B88:D88" si="84">SUM(F88,I88,L88,O88,R88,U88,X88,AA88,AD88,AG88,AJ88,AM88,AP88,AS88,AV88,AY88,BB88,BE88,BH88,BK88,BN88,BQ88,BT88,BW88,BZ88,CC88,CF88,CI88,CL88,CO88,CR88,CU88,CX88,DA88,DD88,DG88,DJ88,DP88,DS88,DM88,DY88,EB88,EE88,EH88,EK88,)</f>
        <v>158129</v>
      </c>
      <c r="C88" s="34">
        <f t="shared" si="84"/>
        <v>2807</v>
      </c>
      <c r="D88" s="73">
        <f t="shared" si="84"/>
        <v>3346</v>
      </c>
      <c r="E88" s="350">
        <f t="shared" si="2"/>
        <v>151976</v>
      </c>
      <c r="F88" s="105">
        <v>7</v>
      </c>
      <c r="G88" s="18">
        <v>0</v>
      </c>
      <c r="H88" s="317">
        <v>0</v>
      </c>
      <c r="I88" s="105">
        <v>745</v>
      </c>
      <c r="J88" s="139">
        <v>19</v>
      </c>
      <c r="K88" s="150">
        <v>72</v>
      </c>
      <c r="L88" s="105">
        <v>4</v>
      </c>
      <c r="M88" s="18">
        <v>0</v>
      </c>
      <c r="N88" s="317">
        <v>0</v>
      </c>
      <c r="O88" s="105">
        <v>11</v>
      </c>
      <c r="P88" s="18">
        <v>0</v>
      </c>
      <c r="Q88" s="317">
        <v>0</v>
      </c>
      <c r="R88" s="105">
        <v>26</v>
      </c>
      <c r="S88" s="18">
        <v>0</v>
      </c>
      <c r="T88" s="317">
        <v>0</v>
      </c>
      <c r="U88" s="105">
        <v>2</v>
      </c>
      <c r="V88" s="18">
        <v>0</v>
      </c>
      <c r="W88" s="317">
        <v>0</v>
      </c>
      <c r="X88" s="105">
        <v>81</v>
      </c>
      <c r="Y88" s="139">
        <v>1</v>
      </c>
      <c r="Z88" s="317">
        <v>0</v>
      </c>
      <c r="AA88" s="105">
        <v>4065</v>
      </c>
      <c r="AB88" s="139">
        <v>118</v>
      </c>
      <c r="AC88" s="150">
        <v>6</v>
      </c>
      <c r="AD88" s="105">
        <v>6243</v>
      </c>
      <c r="AE88" s="139">
        <v>64</v>
      </c>
      <c r="AF88" s="150">
        <v>466</v>
      </c>
      <c r="AG88" s="105">
        <v>2139</v>
      </c>
      <c r="AH88" s="139">
        <v>7</v>
      </c>
      <c r="AI88" s="150">
        <v>75</v>
      </c>
      <c r="AJ88" s="105">
        <v>702</v>
      </c>
      <c r="AK88" s="139">
        <v>10</v>
      </c>
      <c r="AL88" s="150">
        <v>10</v>
      </c>
      <c r="AM88" s="105">
        <v>314</v>
      </c>
      <c r="AN88" s="139">
        <v>2</v>
      </c>
      <c r="AO88" s="150">
        <v>3</v>
      </c>
      <c r="AP88" s="105">
        <v>139</v>
      </c>
      <c r="AQ88" s="139">
        <v>3</v>
      </c>
      <c r="AR88" s="150">
        <v>4</v>
      </c>
      <c r="AS88" s="105">
        <v>1</v>
      </c>
      <c r="AT88" s="139">
        <v>1</v>
      </c>
      <c r="AU88" s="317">
        <v>0</v>
      </c>
      <c r="AV88" s="105">
        <v>11</v>
      </c>
      <c r="AW88" s="18">
        <v>0</v>
      </c>
      <c r="AX88" s="317">
        <v>0</v>
      </c>
      <c r="AY88" s="105">
        <v>24</v>
      </c>
      <c r="AZ88" s="18">
        <v>0</v>
      </c>
      <c r="BA88" s="317">
        <v>0</v>
      </c>
      <c r="BB88" s="105">
        <v>1890</v>
      </c>
      <c r="BC88" s="139">
        <v>57</v>
      </c>
      <c r="BD88" s="150">
        <v>3</v>
      </c>
      <c r="BE88" s="105">
        <v>137294</v>
      </c>
      <c r="BF88" s="139">
        <v>2414</v>
      </c>
      <c r="BG88" s="150">
        <v>2612</v>
      </c>
      <c r="BH88" s="105">
        <v>9</v>
      </c>
      <c r="BI88" s="18">
        <v>0</v>
      </c>
      <c r="BJ88" s="317">
        <v>0</v>
      </c>
      <c r="BK88" s="105">
        <v>5</v>
      </c>
      <c r="BL88" s="18">
        <v>0</v>
      </c>
      <c r="BM88" s="150">
        <v>2</v>
      </c>
      <c r="BN88" s="105">
        <v>106</v>
      </c>
      <c r="BO88" s="139">
        <v>4</v>
      </c>
      <c r="BP88" s="317">
        <v>0</v>
      </c>
      <c r="BQ88" s="105">
        <v>34</v>
      </c>
      <c r="BR88" s="139">
        <v>1</v>
      </c>
      <c r="BS88" s="150">
        <v>10</v>
      </c>
      <c r="BT88" s="105">
        <v>8</v>
      </c>
      <c r="BU88" s="139">
        <v>1</v>
      </c>
      <c r="BV88" s="317">
        <v>0</v>
      </c>
      <c r="BW88" s="105">
        <v>18</v>
      </c>
      <c r="BX88" s="18">
        <v>0</v>
      </c>
      <c r="BY88" s="150">
        <v>6</v>
      </c>
      <c r="BZ88" s="105">
        <v>15</v>
      </c>
      <c r="CA88" s="18">
        <v>0</v>
      </c>
      <c r="CB88" s="317">
        <v>0</v>
      </c>
      <c r="CC88" s="105">
        <v>110</v>
      </c>
      <c r="CD88" s="139">
        <v>2</v>
      </c>
      <c r="CE88" s="150">
        <v>3</v>
      </c>
      <c r="CF88" s="105">
        <v>1</v>
      </c>
      <c r="CG88" s="18">
        <v>0</v>
      </c>
      <c r="CH88" s="317">
        <v>0</v>
      </c>
      <c r="CI88" s="105">
        <v>32</v>
      </c>
      <c r="CJ88" s="139">
        <v>1</v>
      </c>
      <c r="CK88" s="150">
        <v>2</v>
      </c>
      <c r="CL88" s="105">
        <v>37</v>
      </c>
      <c r="CM88" s="139">
        <v>1</v>
      </c>
      <c r="CN88" s="317">
        <v>0</v>
      </c>
      <c r="CO88" s="105">
        <v>848</v>
      </c>
      <c r="CP88" s="139">
        <v>16</v>
      </c>
      <c r="CQ88" s="150">
        <v>4</v>
      </c>
      <c r="CR88" s="105">
        <v>4</v>
      </c>
      <c r="CS88" s="139">
        <v>1</v>
      </c>
      <c r="CT88" s="317">
        <v>0</v>
      </c>
      <c r="CU88" s="105">
        <v>901</v>
      </c>
      <c r="CV88" s="139">
        <v>17</v>
      </c>
      <c r="CW88" s="150">
        <v>4</v>
      </c>
      <c r="CX88" s="105">
        <v>56</v>
      </c>
      <c r="CY88" s="139">
        <v>3</v>
      </c>
      <c r="CZ88" s="150">
        <v>1</v>
      </c>
      <c r="DA88" s="105">
        <v>852</v>
      </c>
      <c r="DB88" s="139">
        <v>18</v>
      </c>
      <c r="DC88" s="150">
        <v>16</v>
      </c>
      <c r="DD88" s="105">
        <v>3</v>
      </c>
      <c r="DE88" s="18">
        <v>0</v>
      </c>
      <c r="DF88" s="317">
        <v>0</v>
      </c>
      <c r="DG88" s="105">
        <v>859</v>
      </c>
      <c r="DH88" s="139">
        <v>39</v>
      </c>
      <c r="DI88" s="150">
        <v>3</v>
      </c>
      <c r="DJ88" s="105">
        <v>1</v>
      </c>
      <c r="DK88" s="18">
        <v>0</v>
      </c>
      <c r="DL88" s="317">
        <v>0</v>
      </c>
      <c r="DM88" s="105">
        <v>2</v>
      </c>
      <c r="DN88" s="18">
        <v>0</v>
      </c>
      <c r="DO88" s="317">
        <v>0</v>
      </c>
      <c r="DP88" s="105">
        <v>4</v>
      </c>
      <c r="DQ88" s="18">
        <v>0</v>
      </c>
      <c r="DR88" s="150">
        <v>1</v>
      </c>
      <c r="DS88" s="105">
        <v>18</v>
      </c>
      <c r="DT88" s="139">
        <v>1</v>
      </c>
      <c r="DU88" s="150">
        <v>2</v>
      </c>
      <c r="DV88" s="18">
        <v>0</v>
      </c>
      <c r="DW88" s="18">
        <v>0</v>
      </c>
      <c r="DX88" s="317">
        <v>0</v>
      </c>
      <c r="DY88" s="105">
        <v>1</v>
      </c>
      <c r="DZ88" s="18">
        <v>0</v>
      </c>
      <c r="EA88" s="150">
        <v>1</v>
      </c>
      <c r="EB88" s="105">
        <v>8</v>
      </c>
      <c r="EC88" s="18">
        <v>0</v>
      </c>
      <c r="ED88" s="317">
        <v>0</v>
      </c>
      <c r="EE88" s="105">
        <v>76</v>
      </c>
      <c r="EF88" s="139">
        <v>3</v>
      </c>
      <c r="EG88" s="150">
        <v>1</v>
      </c>
      <c r="EH88" s="105">
        <v>304</v>
      </c>
      <c r="EI88" s="139">
        <v>1</v>
      </c>
      <c r="EJ88" s="317">
        <v>0</v>
      </c>
      <c r="EK88" s="105">
        <v>119</v>
      </c>
      <c r="EL88" s="139">
        <v>2</v>
      </c>
      <c r="EM88" s="150">
        <v>39</v>
      </c>
      <c r="EN88" s="637" t="s">
        <v>1058</v>
      </c>
      <c r="EO88" s="531"/>
      <c r="EP88" s="531"/>
      <c r="EQ88" s="531"/>
      <c r="ER88" s="531"/>
      <c r="ES88" s="531"/>
      <c r="ET88" s="531"/>
      <c r="EU88" s="127" t="s">
        <v>1059</v>
      </c>
    </row>
    <row r="89" spans="1:151" ht="12.75">
      <c r="A89" s="93">
        <v>43920</v>
      </c>
      <c r="B89" s="14">
        <f t="shared" ref="B89:D89" si="85">SUM(F89,I89,L89,O89,R89,U89,X89,AA89,AD89,AG89,AJ89,AM89,AP89,AS89,AV89,AY89,BB89,BE89,BH89,BK89,BN89,BQ89,BT89,BW89,BZ89,CC89,CF89,CI89,CL89,CO89,CR89,CU89,CX89,DA89,DD89,DG89,DJ89,DP89,DS89,DM89,DY89,EB89,EE89,EH89,EK89,)</f>
        <v>183507</v>
      </c>
      <c r="C89" s="34">
        <f t="shared" si="85"/>
        <v>3419</v>
      </c>
      <c r="D89" s="73">
        <f t="shared" si="85"/>
        <v>6719</v>
      </c>
      <c r="E89" s="350">
        <f t="shared" si="2"/>
        <v>173369</v>
      </c>
      <c r="F89" s="105">
        <v>7</v>
      </c>
      <c r="G89" s="18">
        <v>0</v>
      </c>
      <c r="H89" s="317">
        <v>0</v>
      </c>
      <c r="I89" s="105">
        <v>820</v>
      </c>
      <c r="J89" s="139">
        <v>23</v>
      </c>
      <c r="K89" s="150">
        <v>228</v>
      </c>
      <c r="L89" s="105">
        <v>4</v>
      </c>
      <c r="M89" s="18">
        <v>0</v>
      </c>
      <c r="N89" s="317">
        <v>0</v>
      </c>
      <c r="O89" s="105">
        <v>14</v>
      </c>
      <c r="P89" s="18">
        <v>0</v>
      </c>
      <c r="Q89" s="317">
        <v>0</v>
      </c>
      <c r="R89" s="105">
        <v>33</v>
      </c>
      <c r="S89" s="18">
        <v>0</v>
      </c>
      <c r="T89" s="317">
        <v>0</v>
      </c>
      <c r="U89" s="105">
        <v>3</v>
      </c>
      <c r="V89" s="18">
        <v>0</v>
      </c>
      <c r="W89" s="317">
        <v>0</v>
      </c>
      <c r="X89" s="105">
        <v>97</v>
      </c>
      <c r="Y89" s="139">
        <v>4</v>
      </c>
      <c r="Z89" s="317">
        <v>0</v>
      </c>
      <c r="AA89" s="105">
        <v>4579</v>
      </c>
      <c r="AB89" s="139">
        <v>159</v>
      </c>
      <c r="AC89" s="150">
        <v>120</v>
      </c>
      <c r="AD89" s="105">
        <v>7310</v>
      </c>
      <c r="AE89" s="139">
        <v>65</v>
      </c>
      <c r="AF89" s="150">
        <v>466</v>
      </c>
      <c r="AG89" s="105">
        <v>2449</v>
      </c>
      <c r="AH89" s="139">
        <v>8</v>
      </c>
      <c r="AI89" s="150">
        <v>156</v>
      </c>
      <c r="AJ89" s="105">
        <v>798</v>
      </c>
      <c r="AK89" s="139">
        <v>12</v>
      </c>
      <c r="AL89" s="150">
        <v>15</v>
      </c>
      <c r="AM89" s="105">
        <v>314</v>
      </c>
      <c r="AN89" s="139">
        <v>2</v>
      </c>
      <c r="AO89" s="150">
        <v>3</v>
      </c>
      <c r="AP89" s="105">
        <v>170</v>
      </c>
      <c r="AQ89" s="139">
        <v>4</v>
      </c>
      <c r="AR89" s="150">
        <v>4</v>
      </c>
      <c r="AS89" s="105">
        <v>1</v>
      </c>
      <c r="AT89" s="139">
        <v>1</v>
      </c>
      <c r="AU89" s="317">
        <v>0</v>
      </c>
      <c r="AV89" s="105">
        <v>11</v>
      </c>
      <c r="AW89" s="18">
        <v>0</v>
      </c>
      <c r="AX89" s="317">
        <v>0</v>
      </c>
      <c r="AY89" s="105">
        <v>30</v>
      </c>
      <c r="AZ89" s="18">
        <v>0</v>
      </c>
      <c r="BA89" s="317">
        <v>0</v>
      </c>
      <c r="BB89" s="105">
        <v>1962</v>
      </c>
      <c r="BC89" s="139">
        <v>60</v>
      </c>
      <c r="BD89" s="150">
        <v>3</v>
      </c>
      <c r="BE89" s="105">
        <v>160020</v>
      </c>
      <c r="BF89" s="139">
        <v>2953</v>
      </c>
      <c r="BG89" s="150">
        <v>5595</v>
      </c>
      <c r="BH89" s="105">
        <v>9</v>
      </c>
      <c r="BI89" s="18">
        <v>0</v>
      </c>
      <c r="BJ89" s="317">
        <v>0</v>
      </c>
      <c r="BK89" s="105">
        <v>5</v>
      </c>
      <c r="BL89" s="18">
        <v>0</v>
      </c>
      <c r="BM89" s="150">
        <v>2</v>
      </c>
      <c r="BN89" s="105">
        <v>107</v>
      </c>
      <c r="BO89" s="139">
        <v>5</v>
      </c>
      <c r="BP89" s="317">
        <v>0</v>
      </c>
      <c r="BQ89" s="105">
        <v>36</v>
      </c>
      <c r="BR89" s="139">
        <v>1</v>
      </c>
      <c r="BS89" s="150">
        <v>10</v>
      </c>
      <c r="BT89" s="105">
        <v>8</v>
      </c>
      <c r="BU89" s="139">
        <v>1</v>
      </c>
      <c r="BV89" s="317">
        <v>0</v>
      </c>
      <c r="BW89" s="105">
        <v>18</v>
      </c>
      <c r="BX89" s="18">
        <v>0</v>
      </c>
      <c r="BY89" s="150">
        <v>6</v>
      </c>
      <c r="BZ89" s="105">
        <v>15</v>
      </c>
      <c r="CA89" s="18">
        <v>0</v>
      </c>
      <c r="CB89" s="317">
        <v>0</v>
      </c>
      <c r="CC89" s="105">
        <v>139</v>
      </c>
      <c r="CD89" s="139">
        <v>3</v>
      </c>
      <c r="CE89" s="150">
        <v>3</v>
      </c>
      <c r="CF89" s="105">
        <v>1</v>
      </c>
      <c r="CG89" s="18">
        <v>0</v>
      </c>
      <c r="CH89" s="317">
        <v>0</v>
      </c>
      <c r="CI89" s="105">
        <v>36</v>
      </c>
      <c r="CJ89" s="139">
        <v>1</v>
      </c>
      <c r="CK89" s="150">
        <v>2</v>
      </c>
      <c r="CL89" s="105">
        <v>37</v>
      </c>
      <c r="CM89" s="139">
        <v>1</v>
      </c>
      <c r="CN89" s="317">
        <v>0</v>
      </c>
      <c r="CO89" s="105">
        <v>993</v>
      </c>
      <c r="CP89" s="139">
        <v>20</v>
      </c>
      <c r="CQ89" s="150">
        <v>35</v>
      </c>
      <c r="CR89" s="105">
        <v>4</v>
      </c>
      <c r="CS89" s="139">
        <v>1</v>
      </c>
      <c r="CT89" s="317">
        <v>0</v>
      </c>
      <c r="CU89" s="105">
        <v>989</v>
      </c>
      <c r="CV89" s="139">
        <v>24</v>
      </c>
      <c r="CW89" s="150">
        <v>4</v>
      </c>
      <c r="CX89" s="105">
        <v>64</v>
      </c>
      <c r="CY89" s="139">
        <v>3</v>
      </c>
      <c r="CZ89" s="150">
        <v>1</v>
      </c>
      <c r="DA89" s="105">
        <v>950</v>
      </c>
      <c r="DB89" s="139">
        <v>18</v>
      </c>
      <c r="DC89" s="150">
        <v>16</v>
      </c>
      <c r="DD89" s="105">
        <v>3</v>
      </c>
      <c r="DE89" s="18">
        <v>0</v>
      </c>
      <c r="DF89" s="317">
        <v>0</v>
      </c>
      <c r="DG89" s="105">
        <v>901</v>
      </c>
      <c r="DH89" s="139">
        <v>42</v>
      </c>
      <c r="DI89" s="150">
        <v>4</v>
      </c>
      <c r="DJ89" s="105">
        <v>6</v>
      </c>
      <c r="DK89" s="18">
        <v>0</v>
      </c>
      <c r="DL89" s="150">
        <v>2</v>
      </c>
      <c r="DM89" s="105">
        <v>7</v>
      </c>
      <c r="DN89" s="18">
        <v>0</v>
      </c>
      <c r="DO89" s="317">
        <v>0</v>
      </c>
      <c r="DP89" s="105">
        <v>9</v>
      </c>
      <c r="DQ89" s="18">
        <v>0</v>
      </c>
      <c r="DR89" s="150">
        <v>1</v>
      </c>
      <c r="DS89" s="105">
        <v>18</v>
      </c>
      <c r="DT89" s="139">
        <v>1</v>
      </c>
      <c r="DU89" s="150">
        <v>2</v>
      </c>
      <c r="DV89" s="18">
        <v>0</v>
      </c>
      <c r="DW89" s="18">
        <v>0</v>
      </c>
      <c r="DX89" s="317">
        <v>0</v>
      </c>
      <c r="DY89" s="105">
        <v>1</v>
      </c>
      <c r="DZ89" s="18">
        <v>0</v>
      </c>
      <c r="EA89" s="150">
        <v>1</v>
      </c>
      <c r="EB89" s="105">
        <v>8</v>
      </c>
      <c r="EC89" s="18">
        <v>0</v>
      </c>
      <c r="ED89" s="317">
        <v>0</v>
      </c>
      <c r="EE89" s="105">
        <v>82</v>
      </c>
      <c r="EF89" s="139">
        <v>3</v>
      </c>
      <c r="EG89" s="150">
        <v>1</v>
      </c>
      <c r="EH89" s="105">
        <v>310</v>
      </c>
      <c r="EI89" s="139">
        <v>1</v>
      </c>
      <c r="EJ89" s="317">
        <v>0</v>
      </c>
      <c r="EK89" s="105">
        <v>129</v>
      </c>
      <c r="EL89" s="139">
        <v>3</v>
      </c>
      <c r="EM89" s="150">
        <v>39</v>
      </c>
      <c r="EN89" s="637"/>
      <c r="EO89" s="531"/>
      <c r="EP89" s="531"/>
      <c r="EQ89" s="531"/>
      <c r="ER89" s="531"/>
      <c r="ES89" s="531"/>
      <c r="ET89" s="531"/>
      <c r="EU89" s="127"/>
    </row>
    <row r="90" spans="1:151" ht="12.75">
      <c r="A90" s="81">
        <v>43921</v>
      </c>
      <c r="B90" s="21">
        <f t="shared" ref="B90:D90" si="86">SUM(F90,I90,L90,O90,R90,U90,X90,AA90,AD90,AG90,AJ90,AM90,AP90,AS90,AV90,AY90,BB90,BE90,BH90,BK90,BN90,BQ90,BT90,BW90,BZ90,CC90,CF90,CI90,CL90,CO90,CR90,CU90,CX90,DA90,DD90,DG90,DJ90,DP90,DS90,DM90,DY90,EB90,EE90,EH90,EK90,)</f>
        <v>213495</v>
      </c>
      <c r="C90" s="78">
        <f t="shared" si="86"/>
        <v>4179</v>
      </c>
      <c r="D90" s="79">
        <f t="shared" si="86"/>
        <v>9394</v>
      </c>
      <c r="E90" s="353">
        <f t="shared" si="2"/>
        <v>199922</v>
      </c>
      <c r="F90" s="116">
        <v>7</v>
      </c>
      <c r="G90" s="27">
        <v>0</v>
      </c>
      <c r="H90" s="354">
        <v>0</v>
      </c>
      <c r="I90" s="116">
        <v>966</v>
      </c>
      <c r="J90" s="163">
        <v>26</v>
      </c>
      <c r="K90" s="162">
        <v>240</v>
      </c>
      <c r="L90" s="116">
        <v>4</v>
      </c>
      <c r="M90" s="27">
        <v>0</v>
      </c>
      <c r="N90" s="354">
        <v>0</v>
      </c>
      <c r="O90" s="116">
        <v>14</v>
      </c>
      <c r="P90" s="27">
        <v>0</v>
      </c>
      <c r="Q90" s="354">
        <v>0</v>
      </c>
      <c r="R90" s="116">
        <v>34</v>
      </c>
      <c r="S90" s="27">
        <v>0</v>
      </c>
      <c r="T90" s="354">
        <v>0</v>
      </c>
      <c r="U90" s="116">
        <v>3</v>
      </c>
      <c r="V90" s="27">
        <v>0</v>
      </c>
      <c r="W90" s="354">
        <v>0</v>
      </c>
      <c r="X90" s="116">
        <v>107</v>
      </c>
      <c r="Y90" s="163">
        <v>6</v>
      </c>
      <c r="Z90" s="354">
        <v>0</v>
      </c>
      <c r="AA90" s="116">
        <v>5717</v>
      </c>
      <c r="AB90" s="163">
        <v>201</v>
      </c>
      <c r="AC90" s="162">
        <v>127</v>
      </c>
      <c r="AD90" s="116">
        <v>8484</v>
      </c>
      <c r="AE90" s="163">
        <v>96</v>
      </c>
      <c r="AF90" s="162">
        <v>1324</v>
      </c>
      <c r="AG90" s="116">
        <v>2738</v>
      </c>
      <c r="AH90" s="163">
        <v>12</v>
      </c>
      <c r="AI90" s="162">
        <v>156</v>
      </c>
      <c r="AJ90" s="116">
        <v>906</v>
      </c>
      <c r="AK90" s="163">
        <v>16</v>
      </c>
      <c r="AL90" s="162">
        <v>31</v>
      </c>
      <c r="AM90" s="116">
        <v>347</v>
      </c>
      <c r="AN90" s="163">
        <v>2</v>
      </c>
      <c r="AO90" s="162">
        <v>4</v>
      </c>
      <c r="AP90" s="116">
        <v>186</v>
      </c>
      <c r="AQ90" s="163">
        <v>6</v>
      </c>
      <c r="AR90" s="162">
        <v>8</v>
      </c>
      <c r="AS90" s="116">
        <v>1</v>
      </c>
      <c r="AT90" s="163">
        <v>1</v>
      </c>
      <c r="AU90" s="354">
        <v>0</v>
      </c>
      <c r="AV90" s="116">
        <v>12</v>
      </c>
      <c r="AW90" s="27">
        <v>0</v>
      </c>
      <c r="AX90" s="354">
        <v>0</v>
      </c>
      <c r="AY90" s="116">
        <v>32</v>
      </c>
      <c r="AZ90" s="163">
        <v>1</v>
      </c>
      <c r="BA90" s="354">
        <v>0</v>
      </c>
      <c r="BB90" s="116">
        <v>2240</v>
      </c>
      <c r="BC90" s="163">
        <v>75</v>
      </c>
      <c r="BD90" s="162">
        <v>54</v>
      </c>
      <c r="BE90" s="116">
        <v>186265</v>
      </c>
      <c r="BF90" s="163">
        <v>3570</v>
      </c>
      <c r="BG90" s="162">
        <v>6910</v>
      </c>
      <c r="BH90" s="116">
        <v>9</v>
      </c>
      <c r="BI90" s="27">
        <v>0</v>
      </c>
      <c r="BJ90" s="354">
        <v>0</v>
      </c>
      <c r="BK90" s="116">
        <v>5</v>
      </c>
      <c r="BL90" s="27">
        <v>0</v>
      </c>
      <c r="BM90" s="162">
        <v>2</v>
      </c>
      <c r="BN90" s="116">
        <v>107</v>
      </c>
      <c r="BO90" s="163">
        <v>5</v>
      </c>
      <c r="BP90" s="354">
        <v>0</v>
      </c>
      <c r="BQ90" s="116">
        <v>38</v>
      </c>
      <c r="BR90" s="163">
        <v>1</v>
      </c>
      <c r="BS90" s="162">
        <v>12</v>
      </c>
      <c r="BT90" s="116">
        <v>12</v>
      </c>
      <c r="BU90" s="163">
        <v>2</v>
      </c>
      <c r="BV90" s="354">
        <v>0</v>
      </c>
      <c r="BW90" s="116">
        <v>18</v>
      </c>
      <c r="BX90" s="27">
        <v>0</v>
      </c>
      <c r="BY90" s="162">
        <v>6</v>
      </c>
      <c r="BZ90" s="116">
        <v>15</v>
      </c>
      <c r="CA90" s="27">
        <v>0</v>
      </c>
      <c r="CB90" s="354">
        <v>0</v>
      </c>
      <c r="CC90" s="116">
        <v>141</v>
      </c>
      <c r="CD90" s="163">
        <v>7</v>
      </c>
      <c r="CE90" s="162">
        <v>3</v>
      </c>
      <c r="CF90" s="116">
        <v>1</v>
      </c>
      <c r="CG90" s="27">
        <v>0</v>
      </c>
      <c r="CH90" s="354">
        <v>0</v>
      </c>
      <c r="CI90" s="116">
        <v>36</v>
      </c>
      <c r="CJ90" s="163">
        <v>1</v>
      </c>
      <c r="CK90" s="162">
        <v>2</v>
      </c>
      <c r="CL90" s="116">
        <v>37</v>
      </c>
      <c r="CM90" s="163">
        <v>3</v>
      </c>
      <c r="CN90" s="354">
        <v>0</v>
      </c>
      <c r="CO90" s="116">
        <v>1094</v>
      </c>
      <c r="CP90" s="163">
        <v>28</v>
      </c>
      <c r="CQ90" s="162">
        <v>35</v>
      </c>
      <c r="CR90" s="116">
        <v>5</v>
      </c>
      <c r="CS90" s="163">
        <v>1</v>
      </c>
      <c r="CT90" s="354">
        <v>0</v>
      </c>
      <c r="CU90" s="116">
        <v>1075</v>
      </c>
      <c r="CV90" s="163">
        <v>27</v>
      </c>
      <c r="CW90" s="162">
        <v>9</v>
      </c>
      <c r="CX90" s="116">
        <v>65</v>
      </c>
      <c r="CY90" s="163">
        <v>3</v>
      </c>
      <c r="CZ90" s="162">
        <v>1</v>
      </c>
      <c r="DA90" s="116">
        <v>1065</v>
      </c>
      <c r="DB90" s="163">
        <v>30</v>
      </c>
      <c r="DC90" s="162">
        <v>394</v>
      </c>
      <c r="DD90" s="116">
        <v>3</v>
      </c>
      <c r="DE90" s="27">
        <v>0</v>
      </c>
      <c r="DF90" s="354">
        <v>0</v>
      </c>
      <c r="DG90" s="116">
        <v>1109</v>
      </c>
      <c r="DH90" s="163">
        <v>51</v>
      </c>
      <c r="DI90" s="162">
        <v>5</v>
      </c>
      <c r="DJ90" s="116">
        <v>6</v>
      </c>
      <c r="DK90" s="27">
        <v>0</v>
      </c>
      <c r="DL90" s="162">
        <v>2</v>
      </c>
      <c r="DM90" s="116">
        <v>8</v>
      </c>
      <c r="DN90" s="27">
        <v>0</v>
      </c>
      <c r="DO90" s="354">
        <v>0</v>
      </c>
      <c r="DP90" s="116">
        <v>13</v>
      </c>
      <c r="DQ90" s="27">
        <v>0</v>
      </c>
      <c r="DR90" s="162">
        <v>1</v>
      </c>
      <c r="DS90" s="116">
        <v>18</v>
      </c>
      <c r="DT90" s="163">
        <v>1</v>
      </c>
      <c r="DU90" s="162">
        <v>2</v>
      </c>
      <c r="DV90" s="27">
        <v>0</v>
      </c>
      <c r="DW90" s="27">
        <v>0</v>
      </c>
      <c r="DX90" s="354">
        <v>0</v>
      </c>
      <c r="DY90" s="116">
        <v>1</v>
      </c>
      <c r="DZ90" s="27">
        <v>0</v>
      </c>
      <c r="EA90" s="162">
        <v>1</v>
      </c>
      <c r="EB90" s="116">
        <v>9</v>
      </c>
      <c r="EC90" s="27">
        <v>0</v>
      </c>
      <c r="ED90" s="354">
        <v>0</v>
      </c>
      <c r="EE90" s="116">
        <v>87</v>
      </c>
      <c r="EF90" s="163">
        <v>3</v>
      </c>
      <c r="EG90" s="162">
        <v>1</v>
      </c>
      <c r="EH90" s="116">
        <v>320</v>
      </c>
      <c r="EI90" s="163">
        <v>1</v>
      </c>
      <c r="EJ90" s="162">
        <v>25</v>
      </c>
      <c r="EK90" s="116">
        <v>135</v>
      </c>
      <c r="EL90" s="163">
        <v>3</v>
      </c>
      <c r="EM90" s="162">
        <v>39</v>
      </c>
      <c r="EN90" s="653"/>
      <c r="EO90" s="639"/>
      <c r="EP90" s="639"/>
      <c r="EQ90" s="639"/>
      <c r="ER90" s="639"/>
      <c r="ES90" s="639"/>
      <c r="ET90" s="639"/>
      <c r="EU90" s="173"/>
    </row>
    <row r="91" spans="1:151" ht="12.75">
      <c r="A91" s="93">
        <v>43922</v>
      </c>
      <c r="B91" s="14">
        <f t="shared" ref="B91:D91" si="87">SUM(F91,I91,L91,O91,R91,U91,X91,AA91,AD91,AG91,AJ91,AM91,AP91,AS91,AV91,AY91,BB91,BE91,BH91,BK91,BN91,BQ91,BT91,BW91,BZ91,CC91,CF91,CI91,CL91,CO91,CR91,CU91,CX91,DA91,DD91,DG91,DJ91,DP91,DS91,DM91,DY91,EB91,EE91,EH91,EK91,)</f>
        <v>244636</v>
      </c>
      <c r="C91" s="34">
        <f t="shared" si="87"/>
        <v>5470</v>
      </c>
      <c r="D91" s="73">
        <f t="shared" si="87"/>
        <v>11083</v>
      </c>
      <c r="E91" s="350">
        <f t="shared" si="2"/>
        <v>228083</v>
      </c>
      <c r="F91" s="105">
        <v>7</v>
      </c>
      <c r="G91" s="18">
        <v>0</v>
      </c>
      <c r="H91" s="317">
        <v>0</v>
      </c>
      <c r="I91" s="105">
        <v>1054</v>
      </c>
      <c r="J91" s="139">
        <v>28</v>
      </c>
      <c r="K91" s="150">
        <v>248</v>
      </c>
      <c r="L91" s="105">
        <v>4</v>
      </c>
      <c r="M91" s="18">
        <v>0</v>
      </c>
      <c r="N91" s="317">
        <v>0</v>
      </c>
      <c r="O91" s="105">
        <v>15</v>
      </c>
      <c r="P91" s="18">
        <v>0</v>
      </c>
      <c r="Q91" s="317">
        <v>0</v>
      </c>
      <c r="R91" s="105">
        <v>34</v>
      </c>
      <c r="S91" s="18">
        <v>0</v>
      </c>
      <c r="T91" s="317">
        <v>0</v>
      </c>
      <c r="U91" s="105">
        <v>3</v>
      </c>
      <c r="V91" s="18">
        <v>0</v>
      </c>
      <c r="W91" s="317">
        <v>0</v>
      </c>
      <c r="X91" s="105">
        <v>115</v>
      </c>
      <c r="Y91" s="139">
        <v>7</v>
      </c>
      <c r="Z91" s="150">
        <v>1</v>
      </c>
      <c r="AA91" s="105">
        <v>6836</v>
      </c>
      <c r="AB91" s="139">
        <v>240</v>
      </c>
      <c r="AC91" s="150">
        <v>127</v>
      </c>
      <c r="AD91" s="105">
        <v>9560</v>
      </c>
      <c r="AE91" s="139">
        <v>109</v>
      </c>
      <c r="AF91" s="150">
        <v>1324</v>
      </c>
      <c r="AG91" s="105">
        <v>3031</v>
      </c>
      <c r="AH91" s="139">
        <v>16</v>
      </c>
      <c r="AI91" s="150">
        <v>234</v>
      </c>
      <c r="AJ91" s="105">
        <v>1065</v>
      </c>
      <c r="AK91" s="139">
        <v>17</v>
      </c>
      <c r="AL91" s="150">
        <v>39</v>
      </c>
      <c r="AM91" s="105">
        <v>375</v>
      </c>
      <c r="AN91" s="139">
        <v>2</v>
      </c>
      <c r="AO91" s="150">
        <v>4</v>
      </c>
      <c r="AP91" s="105">
        <v>212</v>
      </c>
      <c r="AQ91" s="139">
        <v>6</v>
      </c>
      <c r="AR91" s="150">
        <v>12</v>
      </c>
      <c r="AS91" s="105">
        <v>1</v>
      </c>
      <c r="AT91" s="139">
        <v>1</v>
      </c>
      <c r="AU91" s="317">
        <v>0</v>
      </c>
      <c r="AV91" s="105">
        <v>12</v>
      </c>
      <c r="AW91" s="18">
        <v>0</v>
      </c>
      <c r="AX91" s="317">
        <v>0</v>
      </c>
      <c r="AY91" s="105">
        <v>32</v>
      </c>
      <c r="AZ91" s="139">
        <v>1</v>
      </c>
      <c r="BA91" s="317">
        <v>0</v>
      </c>
      <c r="BB91" s="105">
        <v>2748</v>
      </c>
      <c r="BC91" s="139">
        <v>93</v>
      </c>
      <c r="BD91" s="150">
        <v>58</v>
      </c>
      <c r="BE91" s="105">
        <v>213372</v>
      </c>
      <c r="BF91" s="139">
        <v>4757</v>
      </c>
      <c r="BG91" s="150">
        <v>8474</v>
      </c>
      <c r="BH91" s="105">
        <v>9</v>
      </c>
      <c r="BI91" s="18">
        <v>0</v>
      </c>
      <c r="BJ91" s="317">
        <v>0</v>
      </c>
      <c r="BK91" s="105">
        <v>5</v>
      </c>
      <c r="BL91" s="18">
        <v>0</v>
      </c>
      <c r="BM91" s="150">
        <v>2</v>
      </c>
      <c r="BN91" s="105">
        <v>107</v>
      </c>
      <c r="BO91" s="139">
        <v>5</v>
      </c>
      <c r="BP91" s="317">
        <v>0</v>
      </c>
      <c r="BQ91" s="105">
        <v>39</v>
      </c>
      <c r="BR91" s="139">
        <v>1</v>
      </c>
      <c r="BS91" s="150">
        <v>12</v>
      </c>
      <c r="BT91" s="105">
        <v>12</v>
      </c>
      <c r="BU91" s="139">
        <v>2</v>
      </c>
      <c r="BV91" s="317">
        <v>0</v>
      </c>
      <c r="BW91" s="105">
        <v>18</v>
      </c>
      <c r="BX91" s="18">
        <v>0</v>
      </c>
      <c r="BY91" s="150">
        <v>6</v>
      </c>
      <c r="BZ91" s="105">
        <v>16</v>
      </c>
      <c r="CA91" s="18">
        <v>0</v>
      </c>
      <c r="CB91" s="317">
        <v>0</v>
      </c>
      <c r="CC91" s="105">
        <v>172</v>
      </c>
      <c r="CD91" s="139">
        <v>10</v>
      </c>
      <c r="CE91" s="150">
        <v>3</v>
      </c>
      <c r="CF91" s="105">
        <v>1</v>
      </c>
      <c r="CG91" s="18">
        <v>0</v>
      </c>
      <c r="CH91" s="317">
        <v>0</v>
      </c>
      <c r="CI91" s="105">
        <v>38</v>
      </c>
      <c r="CJ91" s="139">
        <v>2</v>
      </c>
      <c r="CK91" s="150">
        <v>2</v>
      </c>
      <c r="CL91" s="105">
        <v>37</v>
      </c>
      <c r="CM91" s="139">
        <v>3</v>
      </c>
      <c r="CN91" s="317">
        <v>0</v>
      </c>
      <c r="CO91" s="105">
        <v>1215</v>
      </c>
      <c r="CP91" s="139">
        <v>29</v>
      </c>
      <c r="CQ91" s="150">
        <v>35</v>
      </c>
      <c r="CR91" s="105">
        <v>5</v>
      </c>
      <c r="CS91" s="139">
        <v>1</v>
      </c>
      <c r="CT91" s="317">
        <v>0</v>
      </c>
      <c r="CU91" s="105">
        <v>1181</v>
      </c>
      <c r="CV91" s="139">
        <v>30</v>
      </c>
      <c r="CW91" s="150">
        <v>9</v>
      </c>
      <c r="CX91" s="105">
        <v>69</v>
      </c>
      <c r="CY91" s="139">
        <v>3</v>
      </c>
      <c r="CZ91" s="150">
        <v>1</v>
      </c>
      <c r="DA91" s="105">
        <v>1323</v>
      </c>
      <c r="DB91" s="139">
        <v>38</v>
      </c>
      <c r="DC91" s="150">
        <v>394</v>
      </c>
      <c r="DD91" s="105">
        <v>3</v>
      </c>
      <c r="DE91" s="18">
        <v>0</v>
      </c>
      <c r="DF91" s="317">
        <v>0</v>
      </c>
      <c r="DG91" s="105">
        <v>1284</v>
      </c>
      <c r="DH91" s="139">
        <v>57</v>
      </c>
      <c r="DI91" s="150">
        <v>9</v>
      </c>
      <c r="DJ91" s="226">
        <v>6</v>
      </c>
      <c r="DK91" s="18">
        <v>0</v>
      </c>
      <c r="DL91" s="150">
        <v>2</v>
      </c>
      <c r="DM91" s="105">
        <v>8</v>
      </c>
      <c r="DN91" s="18">
        <v>0</v>
      </c>
      <c r="DO91" s="317">
        <v>0</v>
      </c>
      <c r="DP91" s="105">
        <v>13</v>
      </c>
      <c r="DQ91" s="18">
        <v>0</v>
      </c>
      <c r="DR91" s="150">
        <v>1</v>
      </c>
      <c r="DS91" s="105">
        <v>18</v>
      </c>
      <c r="DT91" s="139">
        <v>2</v>
      </c>
      <c r="DU91" s="150">
        <v>2</v>
      </c>
      <c r="DV91" s="18">
        <v>0</v>
      </c>
      <c r="DW91" s="18">
        <v>0</v>
      </c>
      <c r="DX91" s="317">
        <v>0</v>
      </c>
      <c r="DY91" s="105">
        <v>1</v>
      </c>
      <c r="DZ91" s="18">
        <v>0</v>
      </c>
      <c r="EA91" s="150">
        <v>1</v>
      </c>
      <c r="EB91" s="105">
        <v>10</v>
      </c>
      <c r="EC91" s="18">
        <v>0</v>
      </c>
      <c r="ED91" s="317">
        <v>0</v>
      </c>
      <c r="EE91" s="105">
        <v>89</v>
      </c>
      <c r="EF91" s="139">
        <v>5</v>
      </c>
      <c r="EG91" s="150">
        <v>1</v>
      </c>
      <c r="EH91" s="105">
        <v>338</v>
      </c>
      <c r="EI91" s="139">
        <v>2</v>
      </c>
      <c r="EJ91" s="150">
        <v>41</v>
      </c>
      <c r="EK91" s="105">
        <v>143</v>
      </c>
      <c r="EL91" s="139">
        <v>3</v>
      </c>
      <c r="EM91" s="150">
        <v>41</v>
      </c>
      <c r="EN91" s="637"/>
      <c r="EO91" s="531"/>
      <c r="EP91" s="531"/>
      <c r="EQ91" s="531"/>
      <c r="ER91" s="531"/>
      <c r="ES91" s="531"/>
      <c r="ET91" s="531"/>
      <c r="EU91" s="127"/>
    </row>
    <row r="92" spans="1:151" ht="12.75">
      <c r="A92" s="93">
        <v>43923</v>
      </c>
      <c r="B92" s="293">
        <f t="shared" ref="B92:D92" si="88">SUM(F92,I92,L92,O92,R92,U92,X92,AA92,AD92,AG92,AJ92,AM92,AP92,AS92,AV92,AY92,BB92,BE92,BH92,BK92,BN92,BQ92,BT92,BW92,BZ92,CC92,CF92,CI92,CL92,CO92,CR92,CU92,CX92,DA92,DD92,DG92,DJ92,DP92,DS92,DM92,DV92,DY92,EB92,EE92,EH92,EK92,)</f>
        <v>279247</v>
      </c>
      <c r="C92" s="294">
        <f t="shared" si="88"/>
        <v>6831</v>
      </c>
      <c r="D92" s="295">
        <f t="shared" si="88"/>
        <v>12329</v>
      </c>
      <c r="E92" s="350">
        <f t="shared" si="2"/>
        <v>260087</v>
      </c>
      <c r="F92" s="105">
        <v>9</v>
      </c>
      <c r="G92" s="18">
        <v>0</v>
      </c>
      <c r="H92" s="317">
        <v>0</v>
      </c>
      <c r="I92" s="105">
        <v>1133</v>
      </c>
      <c r="J92" s="139">
        <v>34</v>
      </c>
      <c r="K92" s="150">
        <v>256</v>
      </c>
      <c r="L92" s="105">
        <v>4</v>
      </c>
      <c r="M92" s="18">
        <v>0</v>
      </c>
      <c r="N92" s="317">
        <v>0</v>
      </c>
      <c r="O92" s="105">
        <v>21</v>
      </c>
      <c r="P92" s="139">
        <v>1</v>
      </c>
      <c r="Q92" s="317">
        <v>0</v>
      </c>
      <c r="R92" s="105">
        <v>46</v>
      </c>
      <c r="S92" s="18">
        <v>0</v>
      </c>
      <c r="T92" s="317">
        <v>0</v>
      </c>
      <c r="U92" s="105">
        <v>3</v>
      </c>
      <c r="V92" s="18">
        <v>0</v>
      </c>
      <c r="W92" s="317">
        <v>0</v>
      </c>
      <c r="X92" s="105">
        <v>123</v>
      </c>
      <c r="Y92" s="139">
        <v>8</v>
      </c>
      <c r="Z92" s="150">
        <v>1</v>
      </c>
      <c r="AA92" s="105">
        <v>8044</v>
      </c>
      <c r="AB92" s="139">
        <v>324</v>
      </c>
      <c r="AC92" s="150">
        <v>127</v>
      </c>
      <c r="AD92" s="105">
        <v>11284</v>
      </c>
      <c r="AE92" s="139">
        <v>139</v>
      </c>
      <c r="AF92" s="150">
        <v>1735</v>
      </c>
      <c r="AG92" s="105">
        <v>3404</v>
      </c>
      <c r="AH92" s="139">
        <v>18</v>
      </c>
      <c r="AI92" s="150">
        <v>335</v>
      </c>
      <c r="AJ92" s="105">
        <v>1161</v>
      </c>
      <c r="AK92" s="139">
        <v>19</v>
      </c>
      <c r="AL92" s="150">
        <v>55</v>
      </c>
      <c r="AM92" s="105">
        <v>396</v>
      </c>
      <c r="AN92" s="139">
        <v>2</v>
      </c>
      <c r="AO92" s="150">
        <v>6</v>
      </c>
      <c r="AP92" s="105">
        <v>212</v>
      </c>
      <c r="AQ92" s="139">
        <v>6</v>
      </c>
      <c r="AR92" s="150">
        <v>12</v>
      </c>
      <c r="AS92" s="105">
        <v>1</v>
      </c>
      <c r="AT92" s="139">
        <v>1</v>
      </c>
      <c r="AU92" s="317">
        <v>0</v>
      </c>
      <c r="AV92" s="105">
        <v>12</v>
      </c>
      <c r="AW92" s="18">
        <v>0</v>
      </c>
      <c r="AX92" s="317">
        <v>0</v>
      </c>
      <c r="AY92" s="105">
        <v>41</v>
      </c>
      <c r="AZ92" s="139">
        <v>2</v>
      </c>
      <c r="BA92" s="317">
        <v>0</v>
      </c>
      <c r="BB92" s="105">
        <v>3163</v>
      </c>
      <c r="BC92" s="139">
        <v>120</v>
      </c>
      <c r="BD92" s="150">
        <v>65</v>
      </c>
      <c r="BE92" s="105">
        <v>243453</v>
      </c>
      <c r="BF92" s="139">
        <v>5926</v>
      </c>
      <c r="BG92" s="150">
        <v>9001</v>
      </c>
      <c r="BH92" s="105">
        <v>10</v>
      </c>
      <c r="BI92" s="18">
        <v>0</v>
      </c>
      <c r="BJ92" s="317">
        <v>0</v>
      </c>
      <c r="BK92" s="105">
        <v>5</v>
      </c>
      <c r="BL92" s="18">
        <v>0</v>
      </c>
      <c r="BM92" s="150">
        <v>2</v>
      </c>
      <c r="BN92" s="105">
        <v>107</v>
      </c>
      <c r="BO92" s="139">
        <v>5</v>
      </c>
      <c r="BP92" s="317">
        <v>0</v>
      </c>
      <c r="BQ92" s="105">
        <v>39</v>
      </c>
      <c r="BR92" s="139">
        <v>1</v>
      </c>
      <c r="BS92" s="150">
        <v>12</v>
      </c>
      <c r="BT92" s="105">
        <v>19</v>
      </c>
      <c r="BU92" s="139">
        <v>4</v>
      </c>
      <c r="BV92" s="317">
        <v>0</v>
      </c>
      <c r="BW92" s="105">
        <v>18</v>
      </c>
      <c r="BX92" s="18">
        <v>0</v>
      </c>
      <c r="BY92" s="150">
        <v>6</v>
      </c>
      <c r="BZ92" s="105">
        <v>16</v>
      </c>
      <c r="CA92" s="18">
        <v>0</v>
      </c>
      <c r="CB92" s="317">
        <v>0</v>
      </c>
      <c r="CC92" s="105">
        <v>219</v>
      </c>
      <c r="CD92" s="139">
        <v>14</v>
      </c>
      <c r="CE92" s="150">
        <v>3</v>
      </c>
      <c r="CF92" s="105">
        <v>1</v>
      </c>
      <c r="CG92" s="18">
        <v>0</v>
      </c>
      <c r="CH92" s="317">
        <v>0</v>
      </c>
      <c r="CI92" s="105">
        <v>47</v>
      </c>
      <c r="CJ92" s="139">
        <v>2</v>
      </c>
      <c r="CK92" s="150">
        <v>2</v>
      </c>
      <c r="CL92" s="105">
        <v>37</v>
      </c>
      <c r="CM92" s="139">
        <v>3</v>
      </c>
      <c r="CN92" s="317">
        <v>0</v>
      </c>
      <c r="CO92" s="105">
        <v>1378</v>
      </c>
      <c r="CP92" s="139">
        <v>37</v>
      </c>
      <c r="CQ92" s="150">
        <v>35</v>
      </c>
      <c r="CR92" s="105">
        <v>5</v>
      </c>
      <c r="CS92" s="139">
        <v>1</v>
      </c>
      <c r="CT92" s="317">
        <v>0</v>
      </c>
      <c r="CU92" s="105">
        <v>1317</v>
      </c>
      <c r="CV92" s="139">
        <v>32</v>
      </c>
      <c r="CW92" s="150">
        <v>9</v>
      </c>
      <c r="CX92" s="105">
        <v>77</v>
      </c>
      <c r="CY92" s="139">
        <v>3</v>
      </c>
      <c r="CZ92" s="150">
        <v>2</v>
      </c>
      <c r="DA92" s="105">
        <v>1414</v>
      </c>
      <c r="DB92" s="139">
        <v>55</v>
      </c>
      <c r="DC92" s="150">
        <v>537</v>
      </c>
      <c r="DD92" s="105">
        <v>3</v>
      </c>
      <c r="DE92" s="18">
        <v>0</v>
      </c>
      <c r="DF92" s="317">
        <v>0</v>
      </c>
      <c r="DG92" s="105">
        <v>1380</v>
      </c>
      <c r="DH92" s="139">
        <v>60</v>
      </c>
      <c r="DI92" s="150">
        <v>16</v>
      </c>
      <c r="DJ92" s="226">
        <v>6</v>
      </c>
      <c r="DK92" s="18">
        <v>0</v>
      </c>
      <c r="DL92" s="150">
        <v>2</v>
      </c>
      <c r="DM92" s="105">
        <v>8</v>
      </c>
      <c r="DN92" s="18">
        <v>0</v>
      </c>
      <c r="DO92" s="317">
        <v>0</v>
      </c>
      <c r="DP92" s="105">
        <v>13</v>
      </c>
      <c r="DQ92" s="18">
        <v>0</v>
      </c>
      <c r="DR92" s="150">
        <v>1</v>
      </c>
      <c r="DS92" s="105">
        <v>18</v>
      </c>
      <c r="DT92" s="139">
        <v>2</v>
      </c>
      <c r="DU92" s="150">
        <v>2</v>
      </c>
      <c r="DV92" s="18">
        <v>0</v>
      </c>
      <c r="DW92" s="18">
        <v>0</v>
      </c>
      <c r="DX92" s="317">
        <v>0</v>
      </c>
      <c r="DY92" s="105">
        <v>2</v>
      </c>
      <c r="DZ92" s="18">
        <v>0</v>
      </c>
      <c r="EA92" s="150">
        <v>1</v>
      </c>
      <c r="EB92" s="105">
        <v>10</v>
      </c>
      <c r="EC92" s="18">
        <v>0</v>
      </c>
      <c r="ED92" s="317">
        <v>0</v>
      </c>
      <c r="EE92" s="105">
        <v>94</v>
      </c>
      <c r="EF92" s="139">
        <v>5</v>
      </c>
      <c r="EG92" s="150">
        <v>1</v>
      </c>
      <c r="EH92" s="105">
        <v>350</v>
      </c>
      <c r="EI92" s="139">
        <v>4</v>
      </c>
      <c r="EJ92" s="150">
        <v>62</v>
      </c>
      <c r="EK92" s="105">
        <v>144</v>
      </c>
      <c r="EL92" s="139">
        <v>3</v>
      </c>
      <c r="EM92" s="150">
        <v>43</v>
      </c>
      <c r="EN92" s="637" t="s">
        <v>1061</v>
      </c>
      <c r="EO92" s="531"/>
      <c r="EP92" s="531"/>
      <c r="EQ92" s="531"/>
      <c r="ER92" s="531"/>
      <c r="ES92" s="531"/>
      <c r="ET92" s="531"/>
      <c r="EU92" s="127"/>
    </row>
    <row r="93" spans="1:151" ht="12.75">
      <c r="A93" s="93">
        <v>43924</v>
      </c>
      <c r="B93" s="293">
        <f t="shared" ref="B93:D93" si="89">SUM(F93,I93,L93,O93,R93,U93,X93,AA93,AD93,AG93,AJ93,AM93,AP93,AS93,AV93,AY93,BB93,BE93,BH93,BK93,BN93,BQ93,BT93,BW93,BZ93,CC93,CF93,CI93,CL93,CO93,CR93,CU93,CX93,DA93,DD93,DG93,DJ93,DP93,DS93,DM93,DV93,DY93,EB93,EE93,EH93,EK93,)</f>
        <v>313263</v>
      </c>
      <c r="C93" s="294">
        <f t="shared" si="89"/>
        <v>8136</v>
      </c>
      <c r="D93" s="295">
        <f t="shared" si="89"/>
        <v>13426</v>
      </c>
      <c r="E93" s="350">
        <f t="shared" si="2"/>
        <v>291701</v>
      </c>
      <c r="F93" s="105">
        <v>9</v>
      </c>
      <c r="G93" s="18">
        <v>0</v>
      </c>
      <c r="H93" s="317">
        <v>0</v>
      </c>
      <c r="I93" s="105">
        <v>1265</v>
      </c>
      <c r="J93" s="139">
        <v>39</v>
      </c>
      <c r="K93" s="150">
        <v>266</v>
      </c>
      <c r="L93" s="105">
        <v>4</v>
      </c>
      <c r="M93" s="18">
        <v>0</v>
      </c>
      <c r="N93" s="317">
        <v>0</v>
      </c>
      <c r="O93" s="105">
        <v>24</v>
      </c>
      <c r="P93" s="139">
        <v>1</v>
      </c>
      <c r="Q93" s="317">
        <v>0</v>
      </c>
      <c r="R93" s="105">
        <v>51</v>
      </c>
      <c r="S93" s="18">
        <v>0</v>
      </c>
      <c r="T93" s="317">
        <v>0</v>
      </c>
      <c r="U93" s="105">
        <v>4</v>
      </c>
      <c r="V93" s="18">
        <v>0</v>
      </c>
      <c r="W93" s="317">
        <v>0</v>
      </c>
      <c r="X93" s="105">
        <v>132</v>
      </c>
      <c r="Y93" s="139">
        <v>9</v>
      </c>
      <c r="Z93" s="150">
        <v>1</v>
      </c>
      <c r="AA93" s="105">
        <v>9056</v>
      </c>
      <c r="AB93" s="139">
        <v>359</v>
      </c>
      <c r="AC93" s="150">
        <v>127</v>
      </c>
      <c r="AD93" s="105">
        <v>12344</v>
      </c>
      <c r="AE93" s="139">
        <v>179</v>
      </c>
      <c r="AF93" s="150">
        <v>2163</v>
      </c>
      <c r="AG93" s="105">
        <v>3737</v>
      </c>
      <c r="AH93" s="139">
        <v>22</v>
      </c>
      <c r="AI93" s="150">
        <v>427</v>
      </c>
      <c r="AJ93" s="105">
        <v>1267</v>
      </c>
      <c r="AK93" s="139">
        <v>25</v>
      </c>
      <c r="AL93" s="150">
        <v>55</v>
      </c>
      <c r="AM93" s="105">
        <v>416</v>
      </c>
      <c r="AN93" s="139">
        <v>2</v>
      </c>
      <c r="AO93" s="150">
        <v>11</v>
      </c>
      <c r="AP93" s="105">
        <v>269</v>
      </c>
      <c r="AQ93" s="139">
        <v>6</v>
      </c>
      <c r="AR93" s="150">
        <v>15</v>
      </c>
      <c r="AS93" s="105">
        <v>1</v>
      </c>
      <c r="AT93" s="139">
        <v>1</v>
      </c>
      <c r="AU93" s="317">
        <v>0</v>
      </c>
      <c r="AV93" s="105">
        <v>12</v>
      </c>
      <c r="AW93" s="18">
        <v>0</v>
      </c>
      <c r="AX93" s="317">
        <v>0</v>
      </c>
      <c r="AY93" s="105">
        <v>46</v>
      </c>
      <c r="AZ93" s="139">
        <v>2</v>
      </c>
      <c r="BA93" s="317">
        <v>0</v>
      </c>
      <c r="BB93" s="105">
        <v>3368</v>
      </c>
      <c r="BC93" s="139">
        <v>145</v>
      </c>
      <c r="BD93" s="150">
        <v>65</v>
      </c>
      <c r="BE93" s="105">
        <v>273880</v>
      </c>
      <c r="BF93" s="139">
        <v>7077</v>
      </c>
      <c r="BG93" s="150">
        <v>9521</v>
      </c>
      <c r="BH93" s="105">
        <v>10</v>
      </c>
      <c r="BI93" s="18">
        <v>0</v>
      </c>
      <c r="BJ93" s="317">
        <v>0</v>
      </c>
      <c r="BK93" s="105">
        <v>5</v>
      </c>
      <c r="BL93" s="18">
        <v>0</v>
      </c>
      <c r="BM93" s="150">
        <v>2</v>
      </c>
      <c r="BN93" s="105">
        <v>107</v>
      </c>
      <c r="BO93" s="139">
        <v>5</v>
      </c>
      <c r="BP93" s="317">
        <v>0</v>
      </c>
      <c r="BQ93" s="105">
        <v>50</v>
      </c>
      <c r="BR93" s="139">
        <v>1</v>
      </c>
      <c r="BS93" s="150">
        <v>12</v>
      </c>
      <c r="BT93" s="105">
        <v>23</v>
      </c>
      <c r="BU93" s="139">
        <v>4</v>
      </c>
      <c r="BV93" s="317">
        <v>0</v>
      </c>
      <c r="BW93" s="105">
        <v>18</v>
      </c>
      <c r="BX93" s="18">
        <v>0</v>
      </c>
      <c r="BY93" s="150">
        <v>6</v>
      </c>
      <c r="BZ93" s="105">
        <v>18</v>
      </c>
      <c r="CA93" s="18">
        <v>0</v>
      </c>
      <c r="CB93" s="317">
        <v>0</v>
      </c>
      <c r="CC93" s="105">
        <v>222</v>
      </c>
      <c r="CD93" s="139">
        <v>15</v>
      </c>
      <c r="CE93" s="150">
        <v>3</v>
      </c>
      <c r="CF93" s="105">
        <v>1</v>
      </c>
      <c r="CG93" s="18">
        <v>0</v>
      </c>
      <c r="CH93" s="317">
        <v>0</v>
      </c>
      <c r="CI93" s="105">
        <v>47</v>
      </c>
      <c r="CJ93" s="139">
        <v>3</v>
      </c>
      <c r="CK93" s="150">
        <v>2</v>
      </c>
      <c r="CL93" s="105">
        <v>37</v>
      </c>
      <c r="CM93" s="139">
        <v>3</v>
      </c>
      <c r="CN93" s="317">
        <v>0</v>
      </c>
      <c r="CO93" s="105">
        <v>1510</v>
      </c>
      <c r="CP93" s="139">
        <v>50</v>
      </c>
      <c r="CQ93" s="150">
        <v>63</v>
      </c>
      <c r="CR93" s="105">
        <v>5</v>
      </c>
      <c r="CS93" s="139">
        <v>1</v>
      </c>
      <c r="CT93" s="317">
        <v>0</v>
      </c>
      <c r="CU93" s="105">
        <v>1475</v>
      </c>
      <c r="CV93" s="139">
        <v>37</v>
      </c>
      <c r="CW93" s="150">
        <v>10</v>
      </c>
      <c r="CX93" s="105">
        <v>92</v>
      </c>
      <c r="CY93" s="139">
        <v>3</v>
      </c>
      <c r="CZ93" s="150">
        <v>6</v>
      </c>
      <c r="DA93" s="105">
        <v>1595</v>
      </c>
      <c r="DB93" s="139">
        <v>61</v>
      </c>
      <c r="DC93" s="150">
        <v>537</v>
      </c>
      <c r="DD93" s="105">
        <v>3</v>
      </c>
      <c r="DE93" s="18">
        <v>0</v>
      </c>
      <c r="DF93" s="317">
        <v>0</v>
      </c>
      <c r="DG93" s="105">
        <v>1488</v>
      </c>
      <c r="DH93" s="139">
        <v>68</v>
      </c>
      <c r="DI93" s="150">
        <v>16</v>
      </c>
      <c r="DJ93" s="226">
        <v>6</v>
      </c>
      <c r="DK93" s="18">
        <v>0</v>
      </c>
      <c r="DL93" s="150">
        <v>2</v>
      </c>
      <c r="DM93" s="105">
        <v>9</v>
      </c>
      <c r="DN93" s="18">
        <v>0</v>
      </c>
      <c r="DO93" s="317">
        <v>0</v>
      </c>
      <c r="DP93" s="105">
        <v>13</v>
      </c>
      <c r="DQ93" s="18">
        <v>0</v>
      </c>
      <c r="DR93" s="150">
        <v>1</v>
      </c>
      <c r="DS93" s="105">
        <v>18</v>
      </c>
      <c r="DT93" s="139">
        <v>2</v>
      </c>
      <c r="DU93" s="150">
        <v>2</v>
      </c>
      <c r="DV93" s="18">
        <v>0</v>
      </c>
      <c r="DW93" s="18">
        <v>0</v>
      </c>
      <c r="DX93" s="317">
        <v>0</v>
      </c>
      <c r="DY93" s="105">
        <v>3</v>
      </c>
      <c r="DZ93" s="18">
        <v>0</v>
      </c>
      <c r="EA93" s="150">
        <v>1</v>
      </c>
      <c r="EB93" s="105">
        <v>10</v>
      </c>
      <c r="EC93" s="139">
        <v>1</v>
      </c>
      <c r="ED93" s="317">
        <v>0</v>
      </c>
      <c r="EE93" s="105">
        <v>98</v>
      </c>
      <c r="EF93" s="139">
        <v>6</v>
      </c>
      <c r="EG93" s="150">
        <v>1</v>
      </c>
      <c r="EH93" s="105">
        <v>369</v>
      </c>
      <c r="EI93" s="139">
        <v>4</v>
      </c>
      <c r="EJ93" s="150">
        <v>68</v>
      </c>
      <c r="EK93" s="105">
        <v>146</v>
      </c>
      <c r="EL93" s="139">
        <v>5</v>
      </c>
      <c r="EM93" s="150">
        <v>43</v>
      </c>
      <c r="EN93" s="637" t="s">
        <v>1062</v>
      </c>
      <c r="EO93" s="531"/>
      <c r="EP93" s="531"/>
      <c r="EQ93" s="531"/>
      <c r="ER93" s="531"/>
      <c r="ES93" s="531"/>
      <c r="ET93" s="531"/>
      <c r="EU93" s="77" t="s">
        <v>1063</v>
      </c>
    </row>
    <row r="94" spans="1:151" ht="12.75">
      <c r="A94" s="221">
        <v>43925</v>
      </c>
      <c r="B94" s="293">
        <f t="shared" ref="B94:D94" si="90">SUM(F94,I94,L94,O94,R94,U94,X94,AA94,AD94,AG94,AJ94,AM94,AP94,AS94,AV94,AY94,BB94,BE94,BH94,BK94,BN94,BQ94,BT94,BW94,BZ94,CC94,CF94,CI94,CL94,CO94,CR94,CU94,CX94,DA94,DD94,DG94,DJ94,DP94,DS94,DM94,DV94,DY94,EB94,EE94,EH94,EK94,)</f>
        <v>351237</v>
      </c>
      <c r="C94" s="294">
        <f t="shared" si="90"/>
        <v>9623</v>
      </c>
      <c r="D94" s="295">
        <f t="shared" si="90"/>
        <v>20102</v>
      </c>
      <c r="E94" s="406">
        <f t="shared" si="2"/>
        <v>321512</v>
      </c>
      <c r="F94" s="226">
        <v>15</v>
      </c>
      <c r="G94" s="341">
        <v>0</v>
      </c>
      <c r="H94" s="342">
        <v>0</v>
      </c>
      <c r="I94" s="226">
        <v>1353</v>
      </c>
      <c r="J94" s="135">
        <v>42</v>
      </c>
      <c r="K94" s="229">
        <v>279</v>
      </c>
      <c r="L94" s="233">
        <v>4</v>
      </c>
      <c r="M94" s="341">
        <v>0</v>
      </c>
      <c r="N94" s="342">
        <v>0</v>
      </c>
      <c r="O94" s="233">
        <v>24</v>
      </c>
      <c r="P94" s="135">
        <v>3</v>
      </c>
      <c r="Q94" s="317">
        <v>0</v>
      </c>
      <c r="R94" s="226">
        <v>52</v>
      </c>
      <c r="S94" s="341">
        <v>0</v>
      </c>
      <c r="T94" s="342">
        <v>0</v>
      </c>
      <c r="U94" s="233">
        <v>4</v>
      </c>
      <c r="V94" s="341">
        <v>0</v>
      </c>
      <c r="W94" s="342">
        <v>0</v>
      </c>
      <c r="X94" s="226">
        <v>139</v>
      </c>
      <c r="Y94" s="135">
        <v>10</v>
      </c>
      <c r="Z94" s="235">
        <v>1</v>
      </c>
      <c r="AA94" s="226">
        <v>10278</v>
      </c>
      <c r="AB94" s="135">
        <v>431</v>
      </c>
      <c r="AC94" s="235">
        <v>127</v>
      </c>
      <c r="AD94" s="226">
        <v>12978</v>
      </c>
      <c r="AE94" s="135">
        <v>218</v>
      </c>
      <c r="AF94" s="229">
        <v>2546</v>
      </c>
      <c r="AG94" s="226">
        <v>4161</v>
      </c>
      <c r="AH94" s="135">
        <v>27</v>
      </c>
      <c r="AI94" s="229">
        <v>528</v>
      </c>
      <c r="AJ94" s="226">
        <v>1406</v>
      </c>
      <c r="AK94" s="135">
        <v>32</v>
      </c>
      <c r="AL94" s="229">
        <v>85</v>
      </c>
      <c r="AM94" s="226">
        <v>435</v>
      </c>
      <c r="AN94" s="407">
        <v>2</v>
      </c>
      <c r="AO94" s="229">
        <v>13</v>
      </c>
      <c r="AP94" s="226">
        <v>288</v>
      </c>
      <c r="AQ94" s="407">
        <v>6</v>
      </c>
      <c r="AR94" s="235">
        <v>15</v>
      </c>
      <c r="AS94" s="233">
        <v>1</v>
      </c>
      <c r="AT94" s="139">
        <v>1</v>
      </c>
      <c r="AU94" s="342">
        <v>0</v>
      </c>
      <c r="AV94" s="226">
        <v>14</v>
      </c>
      <c r="AW94" s="341">
        <v>0</v>
      </c>
      <c r="AX94" s="342">
        <v>0</v>
      </c>
      <c r="AY94" s="226">
        <v>56</v>
      </c>
      <c r="AZ94" s="135">
        <v>3</v>
      </c>
      <c r="BA94" s="229">
        <v>2</v>
      </c>
      <c r="BB94" s="226">
        <v>3465</v>
      </c>
      <c r="BC94" s="135">
        <v>172</v>
      </c>
      <c r="BD94" s="229">
        <v>100</v>
      </c>
      <c r="BE94" s="226">
        <v>308533</v>
      </c>
      <c r="BF94" s="135">
        <v>8376</v>
      </c>
      <c r="BG94" s="229">
        <v>14616</v>
      </c>
      <c r="BH94" s="226">
        <v>12</v>
      </c>
      <c r="BI94" s="341">
        <v>0</v>
      </c>
      <c r="BJ94" s="342">
        <v>0</v>
      </c>
      <c r="BK94" s="233">
        <v>5</v>
      </c>
      <c r="BL94" s="341">
        <v>0</v>
      </c>
      <c r="BM94" s="235">
        <v>2</v>
      </c>
      <c r="BN94" s="226">
        <v>134</v>
      </c>
      <c r="BO94" s="135">
        <v>7</v>
      </c>
      <c r="BP94" s="229">
        <v>24</v>
      </c>
      <c r="BQ94" s="226">
        <v>57</v>
      </c>
      <c r="BR94" s="135">
        <v>2</v>
      </c>
      <c r="BS94" s="229">
        <v>15</v>
      </c>
      <c r="BT94" s="233">
        <v>23</v>
      </c>
      <c r="BU94" s="407">
        <v>4</v>
      </c>
      <c r="BV94" s="342">
        <v>0</v>
      </c>
      <c r="BW94" s="233">
        <v>18</v>
      </c>
      <c r="BX94" s="341">
        <v>0</v>
      </c>
      <c r="BY94" s="235">
        <v>6</v>
      </c>
      <c r="BZ94" s="226">
        <v>20</v>
      </c>
      <c r="CA94" s="341">
        <v>0</v>
      </c>
      <c r="CB94" s="317">
        <v>0</v>
      </c>
      <c r="CC94" s="226">
        <v>264</v>
      </c>
      <c r="CD94" s="407">
        <v>15</v>
      </c>
      <c r="CE94" s="235">
        <v>3</v>
      </c>
      <c r="CF94" s="233">
        <v>1</v>
      </c>
      <c r="CG94" s="341">
        <v>0</v>
      </c>
      <c r="CH94" s="342">
        <v>0</v>
      </c>
      <c r="CI94" s="226">
        <v>53</v>
      </c>
      <c r="CJ94" s="407">
        <v>3</v>
      </c>
      <c r="CK94" s="229">
        <v>7</v>
      </c>
      <c r="CL94" s="233">
        <v>37</v>
      </c>
      <c r="CM94" s="407">
        <v>3</v>
      </c>
      <c r="CN94" s="342">
        <v>0</v>
      </c>
      <c r="CO94" s="226">
        <v>1688</v>
      </c>
      <c r="CP94" s="135">
        <v>60</v>
      </c>
      <c r="CQ94" s="229">
        <v>633</v>
      </c>
      <c r="CR94" s="233">
        <v>5</v>
      </c>
      <c r="CS94" s="407">
        <v>1</v>
      </c>
      <c r="CT94" s="342">
        <v>0</v>
      </c>
      <c r="CU94" s="226">
        <v>1673</v>
      </c>
      <c r="CV94" s="135">
        <v>41</v>
      </c>
      <c r="CW94" s="229">
        <v>13</v>
      </c>
      <c r="CX94" s="226">
        <v>96</v>
      </c>
      <c r="CY94" s="407">
        <v>3</v>
      </c>
      <c r="CZ94" s="229">
        <v>12</v>
      </c>
      <c r="DA94" s="226">
        <v>1746</v>
      </c>
      <c r="DB94" s="135">
        <v>73</v>
      </c>
      <c r="DC94" s="229">
        <v>914</v>
      </c>
      <c r="DD94" s="233">
        <v>3</v>
      </c>
      <c r="DE94" s="341">
        <v>0</v>
      </c>
      <c r="DF94" s="342">
        <v>0</v>
      </c>
      <c r="DG94" s="233">
        <v>1488</v>
      </c>
      <c r="DH94" s="407">
        <v>68</v>
      </c>
      <c r="DI94" s="235">
        <v>16</v>
      </c>
      <c r="DJ94" s="226">
        <v>6</v>
      </c>
      <c r="DK94" s="341">
        <v>0</v>
      </c>
      <c r="DL94" s="229">
        <v>2</v>
      </c>
      <c r="DM94" s="233">
        <v>9</v>
      </c>
      <c r="DN94" s="341">
        <v>0</v>
      </c>
      <c r="DO94" s="342">
        <v>0</v>
      </c>
      <c r="DP94" s="233">
        <v>13</v>
      </c>
      <c r="DQ94" s="341">
        <v>0</v>
      </c>
      <c r="DR94" s="235">
        <v>1</v>
      </c>
      <c r="DS94" s="226">
        <v>18</v>
      </c>
      <c r="DT94" s="135">
        <v>2</v>
      </c>
      <c r="DU94" s="229">
        <v>2</v>
      </c>
      <c r="DV94" s="105">
        <v>1</v>
      </c>
      <c r="DW94" s="341">
        <v>0</v>
      </c>
      <c r="DX94" s="317">
        <v>0</v>
      </c>
      <c r="DY94" s="226">
        <v>7</v>
      </c>
      <c r="DZ94" s="341">
        <v>0</v>
      </c>
      <c r="EA94" s="235">
        <v>1</v>
      </c>
      <c r="EB94" s="233">
        <v>10</v>
      </c>
      <c r="EC94" s="407">
        <v>1</v>
      </c>
      <c r="ED94" s="342">
        <v>0</v>
      </c>
      <c r="EE94" s="226">
        <v>103</v>
      </c>
      <c r="EF94" s="407">
        <v>6</v>
      </c>
      <c r="EG94" s="235">
        <v>1</v>
      </c>
      <c r="EH94" s="226">
        <v>386</v>
      </c>
      <c r="EI94" s="407">
        <v>4</v>
      </c>
      <c r="EJ94" s="229">
        <v>86</v>
      </c>
      <c r="EK94" s="226">
        <v>155</v>
      </c>
      <c r="EL94" s="135">
        <v>7</v>
      </c>
      <c r="EM94" s="229">
        <v>52</v>
      </c>
      <c r="EN94" s="635" t="s">
        <v>1065</v>
      </c>
      <c r="EO94" s="531"/>
      <c r="EP94" s="531"/>
      <c r="EQ94" s="531"/>
      <c r="ER94" s="531"/>
      <c r="ES94" s="531"/>
      <c r="ET94" s="531"/>
      <c r="EU94" s="408" t="s">
        <v>1066</v>
      </c>
    </row>
    <row r="95" spans="1:151" ht="12.75">
      <c r="A95" s="409">
        <v>43926</v>
      </c>
      <c r="B95" s="84">
        <f t="shared" ref="B95:D95" si="91">SUM(F95,I95,L95,O95,R95,U95,X95,AA95,AD95,AG95,AJ95,AM95,AP95,AS95,AV95,AY95,BB95,BE95,BH95,BK95,BN95,BQ95,BT95,BW95,BZ95,CC95,CF95,CI95,CL95,CO95,CR95,CU95,CX95,DA95,DD95,DG95,DJ95,DP95,DS95,DM95,DV95,DY95,EB95,EE95,EH95,EK95,)</f>
        <v>383440</v>
      </c>
      <c r="C95" s="124">
        <f t="shared" si="91"/>
        <v>10990</v>
      </c>
      <c r="D95" s="125">
        <f t="shared" si="91"/>
        <v>23442</v>
      </c>
      <c r="E95" s="16">
        <f t="shared" si="2"/>
        <v>349008</v>
      </c>
      <c r="F95" s="410">
        <v>15</v>
      </c>
      <c r="G95" s="374">
        <v>0</v>
      </c>
      <c r="H95" s="375">
        <v>0</v>
      </c>
      <c r="I95" s="105">
        <v>1451</v>
      </c>
      <c r="J95" s="139">
        <v>44</v>
      </c>
      <c r="K95" s="150">
        <v>280</v>
      </c>
      <c r="L95" s="410">
        <v>4</v>
      </c>
      <c r="M95" s="374">
        <v>0</v>
      </c>
      <c r="N95" s="375">
        <v>0</v>
      </c>
      <c r="O95" s="105">
        <v>28</v>
      </c>
      <c r="P95" s="139">
        <v>4</v>
      </c>
      <c r="Q95" s="317">
        <v>0</v>
      </c>
      <c r="R95" s="105">
        <v>56</v>
      </c>
      <c r="S95" s="139">
        <v>1</v>
      </c>
      <c r="T95" s="150">
        <v>6</v>
      </c>
      <c r="U95" s="105">
        <v>5</v>
      </c>
      <c r="V95" s="374">
        <v>0</v>
      </c>
      <c r="W95" s="375">
        <v>0</v>
      </c>
      <c r="X95" s="105">
        <v>157</v>
      </c>
      <c r="Y95" s="139">
        <v>10</v>
      </c>
      <c r="Z95" s="411">
        <v>1</v>
      </c>
      <c r="AA95" s="105">
        <v>11130</v>
      </c>
      <c r="AB95" s="139">
        <v>486</v>
      </c>
      <c r="AC95" s="411">
        <v>127</v>
      </c>
      <c r="AD95" s="105">
        <v>15422</v>
      </c>
      <c r="AE95" s="139">
        <v>259</v>
      </c>
      <c r="AF95" s="150">
        <v>3000</v>
      </c>
      <c r="AG95" s="105">
        <v>4471</v>
      </c>
      <c r="AH95" s="139">
        <v>34</v>
      </c>
      <c r="AI95" s="150">
        <v>618</v>
      </c>
      <c r="AJ95" s="105">
        <v>1485</v>
      </c>
      <c r="AK95" s="139">
        <v>35</v>
      </c>
      <c r="AL95" s="150">
        <v>88</v>
      </c>
      <c r="AM95" s="105">
        <v>454</v>
      </c>
      <c r="AN95" s="412">
        <v>2</v>
      </c>
      <c r="AO95" s="150">
        <v>16</v>
      </c>
      <c r="AP95" s="105">
        <v>320</v>
      </c>
      <c r="AQ95" s="139">
        <v>8</v>
      </c>
      <c r="AR95" s="411">
        <v>15</v>
      </c>
      <c r="AS95" s="410">
        <v>1</v>
      </c>
      <c r="AT95" s="139">
        <v>1</v>
      </c>
      <c r="AU95" s="375">
        <v>0</v>
      </c>
      <c r="AV95" s="410">
        <v>14</v>
      </c>
      <c r="AW95" s="374">
        <v>0</v>
      </c>
      <c r="AX95" s="375">
        <v>0</v>
      </c>
      <c r="AY95" s="105">
        <v>62</v>
      </c>
      <c r="AZ95" s="412">
        <v>3</v>
      </c>
      <c r="BA95" s="411">
        <v>2</v>
      </c>
      <c r="BB95" s="105">
        <v>3646</v>
      </c>
      <c r="BC95" s="139">
        <v>180</v>
      </c>
      <c r="BD95" s="411">
        <v>100</v>
      </c>
      <c r="BE95" s="105">
        <v>335524</v>
      </c>
      <c r="BF95" s="139">
        <v>9562</v>
      </c>
      <c r="BG95" s="150">
        <v>17266</v>
      </c>
      <c r="BH95" s="410">
        <v>12</v>
      </c>
      <c r="BI95" s="374">
        <v>0</v>
      </c>
      <c r="BJ95" s="375">
        <v>0</v>
      </c>
      <c r="BK95" s="410">
        <v>5</v>
      </c>
      <c r="BL95" s="374">
        <v>0</v>
      </c>
      <c r="BM95" s="411">
        <v>2</v>
      </c>
      <c r="BN95" s="410">
        <v>134</v>
      </c>
      <c r="BO95" s="139">
        <v>8</v>
      </c>
      <c r="BP95" s="150">
        <v>36</v>
      </c>
      <c r="BQ95" s="105">
        <v>61</v>
      </c>
      <c r="BR95" s="412">
        <v>2</v>
      </c>
      <c r="BS95" s="411">
        <v>15</v>
      </c>
      <c r="BT95" s="105">
        <v>24</v>
      </c>
      <c r="BU95" s="412">
        <v>4</v>
      </c>
      <c r="BV95" s="375">
        <v>0</v>
      </c>
      <c r="BW95" s="410">
        <v>18</v>
      </c>
      <c r="BX95" s="374">
        <v>0</v>
      </c>
      <c r="BY95" s="411">
        <v>6</v>
      </c>
      <c r="BZ95" s="105">
        <v>21</v>
      </c>
      <c r="CA95" s="139">
        <v>1</v>
      </c>
      <c r="CB95" s="317">
        <v>0</v>
      </c>
      <c r="CC95" s="105">
        <v>268</v>
      </c>
      <c r="CD95" s="139">
        <v>22</v>
      </c>
      <c r="CE95" s="150">
        <v>6</v>
      </c>
      <c r="CF95" s="410">
        <v>1</v>
      </c>
      <c r="CG95" s="374">
        <v>0</v>
      </c>
      <c r="CH95" s="375">
        <v>0</v>
      </c>
      <c r="CI95" s="105">
        <v>55</v>
      </c>
      <c r="CJ95" s="412">
        <v>3</v>
      </c>
      <c r="CK95" s="411">
        <v>7</v>
      </c>
      <c r="CL95" s="410">
        <v>37</v>
      </c>
      <c r="CM95" s="412">
        <v>3</v>
      </c>
      <c r="CN95" s="150">
        <v>35</v>
      </c>
      <c r="CO95" s="105">
        <v>1890</v>
      </c>
      <c r="CP95" s="139">
        <v>79</v>
      </c>
      <c r="CQ95" s="411">
        <v>633</v>
      </c>
      <c r="CR95" s="105">
        <v>6</v>
      </c>
      <c r="CS95" s="412">
        <v>1</v>
      </c>
      <c r="CT95" s="375">
        <v>0</v>
      </c>
      <c r="CU95" s="105">
        <v>1801</v>
      </c>
      <c r="CV95" s="139">
        <v>46</v>
      </c>
      <c r="CW95" s="411">
        <v>13</v>
      </c>
      <c r="CX95" s="105">
        <v>104</v>
      </c>
      <c r="CY95" s="412">
        <v>3</v>
      </c>
      <c r="CZ95" s="411">
        <v>12</v>
      </c>
      <c r="DA95" s="105">
        <v>2281</v>
      </c>
      <c r="DB95" s="139">
        <v>83</v>
      </c>
      <c r="DC95" s="150">
        <v>989</v>
      </c>
      <c r="DD95" s="410">
        <v>3</v>
      </c>
      <c r="DE95" s="374">
        <v>0</v>
      </c>
      <c r="DF95" s="375">
        <v>0</v>
      </c>
      <c r="DG95" s="105">
        <v>1745</v>
      </c>
      <c r="DH95" s="139">
        <v>82</v>
      </c>
      <c r="DI95" s="150">
        <v>17</v>
      </c>
      <c r="DJ95" s="410">
        <v>6</v>
      </c>
      <c r="DK95" s="374">
        <v>0</v>
      </c>
      <c r="DL95" s="411">
        <v>2</v>
      </c>
      <c r="DM95" s="105">
        <v>10</v>
      </c>
      <c r="DN95" s="374">
        <v>0</v>
      </c>
      <c r="DO95" s="375">
        <v>0</v>
      </c>
      <c r="DP95" s="105">
        <v>14</v>
      </c>
      <c r="DQ95" s="374">
        <v>0</v>
      </c>
      <c r="DR95" s="411">
        <v>1</v>
      </c>
      <c r="DS95" s="410">
        <v>18</v>
      </c>
      <c r="DT95" s="139">
        <v>4</v>
      </c>
      <c r="DU95" s="411">
        <v>2</v>
      </c>
      <c r="DV95" s="105">
        <v>1</v>
      </c>
      <c r="DW95" s="374">
        <v>0</v>
      </c>
      <c r="DX95" s="317">
        <v>0</v>
      </c>
      <c r="DY95" s="410">
        <v>7</v>
      </c>
      <c r="DZ95" s="374">
        <v>0</v>
      </c>
      <c r="EA95" s="411">
        <v>1</v>
      </c>
      <c r="EB95" s="410">
        <v>10</v>
      </c>
      <c r="EC95" s="412">
        <v>1</v>
      </c>
      <c r="ED95" s="375">
        <v>0</v>
      </c>
      <c r="EE95" s="105">
        <v>104</v>
      </c>
      <c r="EF95" s="139">
        <v>7</v>
      </c>
      <c r="EG95" s="411">
        <v>1</v>
      </c>
      <c r="EH95" s="105">
        <v>400</v>
      </c>
      <c r="EI95" s="139">
        <v>5</v>
      </c>
      <c r="EJ95" s="150">
        <v>93</v>
      </c>
      <c r="EK95" s="105">
        <v>159</v>
      </c>
      <c r="EL95" s="412">
        <v>7</v>
      </c>
      <c r="EM95" s="411">
        <v>52</v>
      </c>
      <c r="EN95" s="652" t="s">
        <v>1067</v>
      </c>
      <c r="EO95" s="531"/>
      <c r="EP95" s="531"/>
      <c r="EQ95" s="531"/>
      <c r="ER95" s="531"/>
      <c r="ES95" s="531"/>
      <c r="ET95" s="531"/>
      <c r="EU95" s="414" t="s">
        <v>1068</v>
      </c>
    </row>
    <row r="96" spans="1:151" ht="12.75">
      <c r="A96" s="409">
        <v>43927</v>
      </c>
      <c r="B96" s="293">
        <f t="shared" ref="B96:D96" si="92">SUM(F96,I96,L96,O96,R96,U96,X96,AA96,AD96,AG96,AJ96,AM96,AP96,AS96,AV96,AY96,BB96,BE96,BH96,BK96,BN96,BQ96,BT96,BW96,BZ96,CC96,CF96,CI96,CL96,CO96,CR96,CU96,CX96,DA96,DD96,DG96,DJ96,DP96,DS96,DM96,DV96,DY96,EB96,EE96,EH96,EK96,)</f>
        <v>413840</v>
      </c>
      <c r="C96" s="294">
        <f t="shared" si="92"/>
        <v>12248</v>
      </c>
      <c r="D96" s="295">
        <f t="shared" si="92"/>
        <v>25635</v>
      </c>
      <c r="E96" s="16">
        <f t="shared" si="2"/>
        <v>375957</v>
      </c>
      <c r="F96" s="410">
        <v>15</v>
      </c>
      <c r="G96" s="374">
        <v>0</v>
      </c>
      <c r="H96" s="375">
        <v>0</v>
      </c>
      <c r="I96" s="105">
        <v>1554</v>
      </c>
      <c r="J96" s="139">
        <v>48</v>
      </c>
      <c r="K96" s="150">
        <v>325</v>
      </c>
      <c r="L96" s="410">
        <v>4</v>
      </c>
      <c r="M96" s="374">
        <v>0</v>
      </c>
      <c r="N96" s="375">
        <v>0</v>
      </c>
      <c r="O96" s="105">
        <v>29</v>
      </c>
      <c r="P96" s="139">
        <v>5</v>
      </c>
      <c r="Q96" s="150">
        <v>4</v>
      </c>
      <c r="R96" s="105">
        <v>56</v>
      </c>
      <c r="S96" s="139">
        <v>1</v>
      </c>
      <c r="T96" s="150">
        <v>6</v>
      </c>
      <c r="U96" s="105">
        <v>7</v>
      </c>
      <c r="V96" s="139">
        <v>1</v>
      </c>
      <c r="W96" s="375">
        <v>0</v>
      </c>
      <c r="X96" s="105">
        <v>183</v>
      </c>
      <c r="Y96" s="139">
        <v>11</v>
      </c>
      <c r="Z96" s="150">
        <v>2</v>
      </c>
      <c r="AA96" s="105">
        <v>11721</v>
      </c>
      <c r="AB96" s="139">
        <v>553</v>
      </c>
      <c r="AC96" s="411">
        <v>127</v>
      </c>
      <c r="AD96" s="105">
        <v>16500</v>
      </c>
      <c r="AE96" s="139">
        <v>259</v>
      </c>
      <c r="AF96" s="150">
        <v>3256</v>
      </c>
      <c r="AG96" s="105">
        <v>4815</v>
      </c>
      <c r="AH96" s="139">
        <v>37</v>
      </c>
      <c r="AI96" s="150">
        <v>728</v>
      </c>
      <c r="AJ96" s="105">
        <v>1485</v>
      </c>
      <c r="AK96" s="139">
        <v>35</v>
      </c>
      <c r="AL96" s="150">
        <v>88</v>
      </c>
      <c r="AM96" s="105">
        <v>467</v>
      </c>
      <c r="AN96" s="412">
        <v>2</v>
      </c>
      <c r="AO96" s="150">
        <v>18</v>
      </c>
      <c r="AP96" s="105">
        <v>350</v>
      </c>
      <c r="AQ96" s="139">
        <v>9</v>
      </c>
      <c r="AR96" s="150">
        <v>18</v>
      </c>
      <c r="AS96" s="410">
        <v>1</v>
      </c>
      <c r="AT96" s="139">
        <v>1</v>
      </c>
      <c r="AU96" s="375">
        <v>0</v>
      </c>
      <c r="AV96" s="410">
        <v>14</v>
      </c>
      <c r="AW96" s="374">
        <v>0</v>
      </c>
      <c r="AX96" s="375">
        <v>0</v>
      </c>
      <c r="AY96" s="105">
        <v>69</v>
      </c>
      <c r="AZ96" s="139">
        <v>4</v>
      </c>
      <c r="BA96" s="150">
        <v>5</v>
      </c>
      <c r="BB96" s="105">
        <v>3747</v>
      </c>
      <c r="BC96" s="139">
        <v>191</v>
      </c>
      <c r="BD96" s="411">
        <v>100</v>
      </c>
      <c r="BE96" s="105">
        <v>362759</v>
      </c>
      <c r="BF96" s="139">
        <v>10689</v>
      </c>
      <c r="BG96" s="150">
        <v>18999</v>
      </c>
      <c r="BH96" s="410">
        <v>12</v>
      </c>
      <c r="BI96" s="374">
        <v>0</v>
      </c>
      <c r="BJ96" s="375">
        <v>0</v>
      </c>
      <c r="BK96" s="410">
        <v>5</v>
      </c>
      <c r="BL96" s="374">
        <v>0</v>
      </c>
      <c r="BM96" s="411">
        <v>2</v>
      </c>
      <c r="BN96" s="410">
        <v>134</v>
      </c>
      <c r="BO96" s="139">
        <v>8</v>
      </c>
      <c r="BP96" s="150">
        <v>36</v>
      </c>
      <c r="BQ96" s="105">
        <v>70</v>
      </c>
      <c r="BR96" s="139">
        <v>3</v>
      </c>
      <c r="BS96" s="411">
        <v>15</v>
      </c>
      <c r="BT96" s="105">
        <v>29</v>
      </c>
      <c r="BU96" s="412">
        <v>4</v>
      </c>
      <c r="BV96" s="375">
        <v>0</v>
      </c>
      <c r="BW96" s="410">
        <v>18</v>
      </c>
      <c r="BX96" s="374">
        <v>0</v>
      </c>
      <c r="BY96" s="411">
        <v>6</v>
      </c>
      <c r="BZ96" s="105">
        <v>24</v>
      </c>
      <c r="CA96" s="139">
        <v>1</v>
      </c>
      <c r="CB96" s="317">
        <v>0</v>
      </c>
      <c r="CC96" s="105">
        <v>298</v>
      </c>
      <c r="CD96" s="139">
        <v>22</v>
      </c>
      <c r="CE96" s="150">
        <v>6</v>
      </c>
      <c r="CF96" s="410">
        <v>1</v>
      </c>
      <c r="CG96" s="374">
        <v>0</v>
      </c>
      <c r="CH96" s="375">
        <v>0</v>
      </c>
      <c r="CI96" s="105">
        <v>58</v>
      </c>
      <c r="CJ96" s="412">
        <v>3</v>
      </c>
      <c r="CK96" s="150">
        <v>8</v>
      </c>
      <c r="CL96" s="410">
        <v>37</v>
      </c>
      <c r="CM96" s="412">
        <v>3</v>
      </c>
      <c r="CN96" s="150">
        <v>35</v>
      </c>
      <c r="CO96" s="105">
        <v>2143</v>
      </c>
      <c r="CP96" s="139">
        <v>94</v>
      </c>
      <c r="CQ96" s="411">
        <v>633</v>
      </c>
      <c r="CR96" s="105">
        <v>6</v>
      </c>
      <c r="CS96" s="412">
        <v>1</v>
      </c>
      <c r="CT96" s="375">
        <v>0</v>
      </c>
      <c r="CU96" s="105">
        <v>1988</v>
      </c>
      <c r="CV96" s="139">
        <v>54</v>
      </c>
      <c r="CW96" s="411">
        <v>13</v>
      </c>
      <c r="CX96" s="105">
        <v>113</v>
      </c>
      <c r="CY96" s="139">
        <v>5</v>
      </c>
      <c r="CZ96" s="411">
        <v>12</v>
      </c>
      <c r="DA96" s="105">
        <v>2561</v>
      </c>
      <c r="DB96" s="139">
        <v>92</v>
      </c>
      <c r="DC96" s="150">
        <v>997</v>
      </c>
      <c r="DD96" s="410">
        <v>3</v>
      </c>
      <c r="DE96" s="374">
        <v>0</v>
      </c>
      <c r="DF96" s="375">
        <v>0</v>
      </c>
      <c r="DG96" s="105">
        <v>1828</v>
      </c>
      <c r="DH96" s="139">
        <v>86</v>
      </c>
      <c r="DI96" s="150">
        <v>33</v>
      </c>
      <c r="DJ96" s="410">
        <v>6</v>
      </c>
      <c r="DK96" s="374">
        <v>0</v>
      </c>
      <c r="DL96" s="411">
        <v>2</v>
      </c>
      <c r="DM96" s="105">
        <v>10</v>
      </c>
      <c r="DN96" s="374">
        <v>0</v>
      </c>
      <c r="DO96" s="375">
        <v>0</v>
      </c>
      <c r="DP96" s="105">
        <v>14</v>
      </c>
      <c r="DQ96" s="374">
        <v>0</v>
      </c>
      <c r="DR96" s="411">
        <v>1</v>
      </c>
      <c r="DS96" s="410">
        <v>18</v>
      </c>
      <c r="DT96" s="139">
        <v>4</v>
      </c>
      <c r="DU96" s="411">
        <v>2</v>
      </c>
      <c r="DV96" s="226">
        <v>1</v>
      </c>
      <c r="DW96" s="374">
        <v>0</v>
      </c>
      <c r="DX96" s="317">
        <v>0</v>
      </c>
      <c r="DY96" s="410">
        <v>7</v>
      </c>
      <c r="DZ96" s="374">
        <v>0</v>
      </c>
      <c r="EA96" s="411">
        <v>1</v>
      </c>
      <c r="EB96" s="410">
        <v>10</v>
      </c>
      <c r="EC96" s="412">
        <v>1</v>
      </c>
      <c r="ED96" s="375">
        <v>0</v>
      </c>
      <c r="EE96" s="105">
        <v>105</v>
      </c>
      <c r="EF96" s="139">
        <v>8</v>
      </c>
      <c r="EG96" s="411">
        <v>1</v>
      </c>
      <c r="EH96" s="105">
        <v>406</v>
      </c>
      <c r="EI96" s="139">
        <v>6</v>
      </c>
      <c r="EJ96" s="150">
        <v>104</v>
      </c>
      <c r="EK96" s="105">
        <v>159</v>
      </c>
      <c r="EL96" s="412">
        <v>7</v>
      </c>
      <c r="EM96" s="411">
        <v>52</v>
      </c>
      <c r="EN96" s="652" t="s">
        <v>1070</v>
      </c>
      <c r="EO96" s="531"/>
      <c r="EP96" s="531"/>
      <c r="EQ96" s="531"/>
      <c r="ER96" s="531"/>
      <c r="ES96" s="531"/>
      <c r="ET96" s="531"/>
      <c r="EU96" s="413"/>
    </row>
    <row r="97" spans="1:151" ht="12.75">
      <c r="A97" s="409">
        <v>43928</v>
      </c>
      <c r="B97" s="293">
        <f t="shared" ref="B97:D97" si="93">SUM(F97,I97,L97,O97,R97,U97,X97,AA97,AD97,AG97,AJ97,AM97,AP97,AS97,AV97,AY97,BB97,BE97,BH97,BK97,BN97,BQ97,BT97,BW97,BZ97,CC97,CF97,CI97,CL97,CO97,CR97,CU97,CX97,DA97,DD97,DG97,DJ97,DP97,DS97,DM97,DV97,DY97,EB97,EE97,EH97,EK97,)</f>
        <v>441969</v>
      </c>
      <c r="C97" s="294">
        <f t="shared" si="93"/>
        <v>14135</v>
      </c>
      <c r="D97" s="295">
        <f t="shared" si="93"/>
        <v>27914</v>
      </c>
      <c r="E97" s="16">
        <f t="shared" si="2"/>
        <v>399920</v>
      </c>
      <c r="F97" s="410">
        <v>15</v>
      </c>
      <c r="G97" s="374">
        <v>0</v>
      </c>
      <c r="H97" s="375">
        <v>0</v>
      </c>
      <c r="I97" s="105">
        <v>1628</v>
      </c>
      <c r="J97" s="139">
        <v>56</v>
      </c>
      <c r="K97" s="150">
        <v>338</v>
      </c>
      <c r="L97" s="410">
        <v>4</v>
      </c>
      <c r="M97" s="374">
        <v>0</v>
      </c>
      <c r="N97" s="375">
        <v>0</v>
      </c>
      <c r="O97" s="105">
        <v>33</v>
      </c>
      <c r="P97" s="139">
        <v>5</v>
      </c>
      <c r="Q97" s="150">
        <v>4</v>
      </c>
      <c r="R97" s="105">
        <v>63</v>
      </c>
      <c r="S97" s="139">
        <v>3</v>
      </c>
      <c r="T97" s="150">
        <v>6</v>
      </c>
      <c r="U97" s="105">
        <v>7</v>
      </c>
      <c r="V97" s="139">
        <v>1</v>
      </c>
      <c r="W97" s="375">
        <v>0</v>
      </c>
      <c r="X97" s="105">
        <v>194</v>
      </c>
      <c r="Y97" s="139">
        <v>14</v>
      </c>
      <c r="Z97" s="150">
        <v>2</v>
      </c>
      <c r="AA97" s="105">
        <v>13717</v>
      </c>
      <c r="AB97" s="139">
        <v>667</v>
      </c>
      <c r="AC97" s="411">
        <v>127</v>
      </c>
      <c r="AD97" s="105">
        <v>17046</v>
      </c>
      <c r="AE97" s="139">
        <v>344</v>
      </c>
      <c r="AF97" s="150">
        <v>3791</v>
      </c>
      <c r="AG97" s="105">
        <v>5116</v>
      </c>
      <c r="AH97" s="139">
        <v>43</v>
      </c>
      <c r="AI97" s="150">
        <v>898</v>
      </c>
      <c r="AJ97" s="105">
        <v>1579</v>
      </c>
      <c r="AK97" s="139">
        <v>46</v>
      </c>
      <c r="AL97" s="150">
        <v>88</v>
      </c>
      <c r="AM97" s="105">
        <v>483</v>
      </c>
      <c r="AN97" s="412">
        <v>2</v>
      </c>
      <c r="AO97" s="150">
        <v>24</v>
      </c>
      <c r="AP97" s="105">
        <v>396</v>
      </c>
      <c r="AQ97" s="139">
        <v>11</v>
      </c>
      <c r="AR97" s="150">
        <v>27</v>
      </c>
      <c r="AS97" s="410">
        <v>1</v>
      </c>
      <c r="AT97" s="139">
        <v>1</v>
      </c>
      <c r="AU97" s="375">
        <v>0</v>
      </c>
      <c r="AV97" s="105">
        <v>15</v>
      </c>
      <c r="AW97" s="374">
        <v>0</v>
      </c>
      <c r="AX97" s="150">
        <v>1</v>
      </c>
      <c r="AY97" s="105">
        <v>78</v>
      </c>
      <c r="AZ97" s="139">
        <v>4</v>
      </c>
      <c r="BA97" s="150">
        <v>5</v>
      </c>
      <c r="BB97" s="105">
        <v>3747</v>
      </c>
      <c r="BC97" s="139">
        <v>191</v>
      </c>
      <c r="BD97" s="411">
        <v>100</v>
      </c>
      <c r="BE97" s="105">
        <v>386817</v>
      </c>
      <c r="BF97" s="139">
        <v>12285</v>
      </c>
      <c r="BG97" s="150">
        <v>20191</v>
      </c>
      <c r="BH97" s="410">
        <v>12</v>
      </c>
      <c r="BI97" s="374">
        <v>0</v>
      </c>
      <c r="BJ97" s="375">
        <v>0</v>
      </c>
      <c r="BK97" s="410">
        <v>5</v>
      </c>
      <c r="BL97" s="374">
        <v>0</v>
      </c>
      <c r="BM97" s="411">
        <v>2</v>
      </c>
      <c r="BN97" s="410">
        <v>134</v>
      </c>
      <c r="BO97" s="139">
        <v>8</v>
      </c>
      <c r="BP97" s="150">
        <v>36</v>
      </c>
      <c r="BQ97" s="105">
        <v>77</v>
      </c>
      <c r="BR97" s="139">
        <v>3</v>
      </c>
      <c r="BS97" s="150">
        <v>17</v>
      </c>
      <c r="BT97" s="105">
        <v>31</v>
      </c>
      <c r="BU97" s="139">
        <v>5</v>
      </c>
      <c r="BV97" s="150">
        <v>8</v>
      </c>
      <c r="BW97" s="410">
        <v>18</v>
      </c>
      <c r="BX97" s="374">
        <v>0</v>
      </c>
      <c r="BY97" s="411">
        <v>6</v>
      </c>
      <c r="BZ97" s="105">
        <v>25</v>
      </c>
      <c r="CA97" s="139">
        <v>1</v>
      </c>
      <c r="CB97" s="317">
        <v>0</v>
      </c>
      <c r="CC97" s="105">
        <v>305</v>
      </c>
      <c r="CD97" s="139">
        <v>22</v>
      </c>
      <c r="CE97" s="150">
        <v>6</v>
      </c>
      <c r="CF97" s="410">
        <v>1</v>
      </c>
      <c r="CG97" s="374">
        <v>0</v>
      </c>
      <c r="CH97" s="375">
        <v>0</v>
      </c>
      <c r="CI97" s="105">
        <v>59</v>
      </c>
      <c r="CJ97" s="412">
        <v>3</v>
      </c>
      <c r="CK97" s="150">
        <v>8</v>
      </c>
      <c r="CL97" s="410">
        <v>37</v>
      </c>
      <c r="CM97" s="412">
        <v>3</v>
      </c>
      <c r="CN97" s="150">
        <v>35</v>
      </c>
      <c r="CO97" s="105">
        <v>2439</v>
      </c>
      <c r="CP97" s="139">
        <v>125</v>
      </c>
      <c r="CQ97" s="411">
        <v>633</v>
      </c>
      <c r="CR97" s="105">
        <v>6</v>
      </c>
      <c r="CS97" s="412">
        <v>1</v>
      </c>
      <c r="CT97" s="375">
        <v>0</v>
      </c>
      <c r="CU97" s="105">
        <v>2100</v>
      </c>
      <c r="CV97" s="139">
        <v>55</v>
      </c>
      <c r="CW97" s="150">
        <v>14</v>
      </c>
      <c r="CX97" s="105">
        <v>115</v>
      </c>
      <c r="CY97" s="139">
        <v>5</v>
      </c>
      <c r="CZ97" s="150">
        <v>15</v>
      </c>
      <c r="DA97" s="105">
        <v>2954</v>
      </c>
      <c r="DB97" s="139">
        <v>107</v>
      </c>
      <c r="DC97" s="150">
        <v>1301</v>
      </c>
      <c r="DD97" s="410">
        <v>3</v>
      </c>
      <c r="DE97" s="374">
        <v>0</v>
      </c>
      <c r="DF97" s="375">
        <v>0</v>
      </c>
      <c r="DG97" s="105">
        <v>1956</v>
      </c>
      <c r="DH97" s="139">
        <v>98</v>
      </c>
      <c r="DI97" s="150">
        <v>36</v>
      </c>
      <c r="DJ97" s="410">
        <v>6</v>
      </c>
      <c r="DK97" s="374">
        <v>0</v>
      </c>
      <c r="DL97" s="411">
        <v>2</v>
      </c>
      <c r="DM97" s="105">
        <v>11</v>
      </c>
      <c r="DN97" s="374">
        <v>0</v>
      </c>
      <c r="DO97" s="375">
        <v>0</v>
      </c>
      <c r="DP97" s="105">
        <v>14</v>
      </c>
      <c r="DQ97" s="374">
        <v>0</v>
      </c>
      <c r="DR97" s="411">
        <v>1</v>
      </c>
      <c r="DS97" s="410">
        <v>18</v>
      </c>
      <c r="DT97" s="139">
        <v>4</v>
      </c>
      <c r="DU97" s="411">
        <v>2</v>
      </c>
      <c r="DV97" s="226">
        <v>1</v>
      </c>
      <c r="DW97" s="374">
        <v>0</v>
      </c>
      <c r="DX97" s="317">
        <v>0</v>
      </c>
      <c r="DY97" s="410">
        <v>7</v>
      </c>
      <c r="DZ97" s="374">
        <v>0</v>
      </c>
      <c r="EA97" s="411">
        <v>1</v>
      </c>
      <c r="EB97" s="410">
        <v>10</v>
      </c>
      <c r="EC97" s="412">
        <v>1</v>
      </c>
      <c r="ED97" s="375">
        <v>0</v>
      </c>
      <c r="EE97" s="105">
        <v>106</v>
      </c>
      <c r="EF97" s="139">
        <v>8</v>
      </c>
      <c r="EG97" s="411">
        <v>1</v>
      </c>
      <c r="EH97" s="105">
        <v>415</v>
      </c>
      <c r="EI97" s="139">
        <v>6</v>
      </c>
      <c r="EJ97" s="150">
        <v>123</v>
      </c>
      <c r="EK97" s="105">
        <v>165</v>
      </c>
      <c r="EL97" s="412">
        <v>7</v>
      </c>
      <c r="EM97" s="150">
        <v>65</v>
      </c>
      <c r="EN97" s="652"/>
      <c r="EO97" s="531"/>
      <c r="EP97" s="531"/>
      <c r="EQ97" s="531"/>
      <c r="ER97" s="531"/>
      <c r="ES97" s="531"/>
      <c r="ET97" s="531"/>
      <c r="EU97" s="413"/>
    </row>
    <row r="98" spans="1:151" ht="12.75">
      <c r="A98" s="415">
        <v>43929</v>
      </c>
      <c r="B98" s="293">
        <f t="shared" ref="B98:D98" si="94">SUM(F98,I98,L98,O98,R98,U98,X98,AA98,AD98,AG98,AJ98,AM98,AP98,AS98,AV98,AY98,BB98,BE98,BH98,BK98,BN98,BQ98,BT98,BW98,BZ98,CC98,CF98,CI98,CL98,CO98,CR98,CU98,CX98,DA98,DD98,DG98,DJ98,DP98,DS98,DM98,DV98,DY98,EB98,EE98,EH98,EK98,)</f>
        <v>488546</v>
      </c>
      <c r="C98" s="294">
        <f t="shared" si="94"/>
        <v>16867</v>
      </c>
      <c r="D98" s="295">
        <f t="shared" si="94"/>
        <v>31942</v>
      </c>
      <c r="E98" s="406">
        <f t="shared" si="2"/>
        <v>439737</v>
      </c>
      <c r="F98" s="226">
        <v>19</v>
      </c>
      <c r="G98" s="135">
        <v>2</v>
      </c>
      <c r="H98" s="342">
        <v>0</v>
      </c>
      <c r="I98" s="226">
        <v>1715</v>
      </c>
      <c r="J98" s="135">
        <v>63</v>
      </c>
      <c r="K98" s="229">
        <v>358</v>
      </c>
      <c r="L98" s="233">
        <v>4</v>
      </c>
      <c r="M98" s="341">
        <v>0</v>
      </c>
      <c r="N98" s="342">
        <v>0</v>
      </c>
      <c r="O98" s="226">
        <v>40</v>
      </c>
      <c r="P98" s="135">
        <v>7</v>
      </c>
      <c r="Q98" s="229">
        <v>5</v>
      </c>
      <c r="R98" s="233">
        <v>63</v>
      </c>
      <c r="S98" s="407">
        <v>3</v>
      </c>
      <c r="T98" s="229">
        <v>8</v>
      </c>
      <c r="U98" s="226">
        <v>8</v>
      </c>
      <c r="V98" s="407">
        <v>1</v>
      </c>
      <c r="W98" s="342">
        <v>0</v>
      </c>
      <c r="X98" s="226">
        <v>210</v>
      </c>
      <c r="Y98" s="135">
        <v>15</v>
      </c>
      <c r="Z98" s="235">
        <v>2</v>
      </c>
      <c r="AA98" s="226">
        <v>16170</v>
      </c>
      <c r="AB98" s="135">
        <v>800</v>
      </c>
      <c r="AC98" s="235">
        <v>127</v>
      </c>
      <c r="AD98" s="226">
        <v>19141</v>
      </c>
      <c r="AE98" s="135">
        <v>407</v>
      </c>
      <c r="AF98" s="229">
        <v>4047</v>
      </c>
      <c r="AG98" s="226">
        <v>5546</v>
      </c>
      <c r="AH98" s="135">
        <v>48</v>
      </c>
      <c r="AI98" s="229">
        <v>1115</v>
      </c>
      <c r="AJ98" s="226">
        <v>2054</v>
      </c>
      <c r="AK98" s="135">
        <v>54</v>
      </c>
      <c r="AL98" s="229">
        <v>123</v>
      </c>
      <c r="AM98" s="226">
        <v>502</v>
      </c>
      <c r="AN98" s="135">
        <v>3</v>
      </c>
      <c r="AO98" s="229">
        <v>29</v>
      </c>
      <c r="AP98" s="226">
        <v>457</v>
      </c>
      <c r="AQ98" s="135">
        <v>12</v>
      </c>
      <c r="AR98" s="235">
        <v>27</v>
      </c>
      <c r="AS98" s="233">
        <v>1</v>
      </c>
      <c r="AT98" s="407">
        <v>1</v>
      </c>
      <c r="AU98" s="342">
        <v>0</v>
      </c>
      <c r="AV98" s="233">
        <v>15</v>
      </c>
      <c r="AW98" s="341">
        <v>0</v>
      </c>
      <c r="AX98" s="235">
        <v>1</v>
      </c>
      <c r="AY98" s="226">
        <v>93</v>
      </c>
      <c r="AZ98" s="135">
        <v>5</v>
      </c>
      <c r="BA98" s="229">
        <v>9</v>
      </c>
      <c r="BB98" s="226">
        <v>4450</v>
      </c>
      <c r="BC98" s="135">
        <v>242</v>
      </c>
      <c r="BD98" s="229">
        <v>140</v>
      </c>
      <c r="BE98" s="226">
        <v>424945</v>
      </c>
      <c r="BF98" s="135">
        <v>14695</v>
      </c>
      <c r="BG98" s="229">
        <v>23559</v>
      </c>
      <c r="BH98" s="233">
        <v>12</v>
      </c>
      <c r="BI98" s="341">
        <v>0</v>
      </c>
      <c r="BJ98" s="342">
        <v>0</v>
      </c>
      <c r="BK98" s="233">
        <v>5</v>
      </c>
      <c r="BL98" s="341">
        <v>0</v>
      </c>
      <c r="BM98" s="235">
        <v>2</v>
      </c>
      <c r="BN98" s="233">
        <v>134</v>
      </c>
      <c r="BO98" s="407">
        <v>8</v>
      </c>
      <c r="BP98" s="235">
        <v>36</v>
      </c>
      <c r="BQ98" s="226">
        <v>87</v>
      </c>
      <c r="BR98" s="407">
        <v>3</v>
      </c>
      <c r="BS98" s="235">
        <v>17</v>
      </c>
      <c r="BT98" s="226">
        <v>37</v>
      </c>
      <c r="BU98" s="135">
        <v>6</v>
      </c>
      <c r="BV98" s="235">
        <v>8</v>
      </c>
      <c r="BW98" s="233">
        <v>18</v>
      </c>
      <c r="BX98" s="341">
        <v>0</v>
      </c>
      <c r="BY98" s="235">
        <v>6</v>
      </c>
      <c r="BZ98" s="226">
        <v>27</v>
      </c>
      <c r="CA98" s="407">
        <v>1</v>
      </c>
      <c r="CB98" s="342">
        <v>0</v>
      </c>
      <c r="CC98" s="226">
        <v>312</v>
      </c>
      <c r="CD98" s="407">
        <v>22</v>
      </c>
      <c r="CE98" s="235">
        <v>6</v>
      </c>
      <c r="CF98" s="233">
        <v>1</v>
      </c>
      <c r="CG98" s="341">
        <v>0</v>
      </c>
      <c r="CH98" s="342">
        <v>0</v>
      </c>
      <c r="CI98" s="226">
        <v>63</v>
      </c>
      <c r="CJ98" s="135">
        <v>4</v>
      </c>
      <c r="CK98" s="229">
        <v>10</v>
      </c>
      <c r="CL98" s="233">
        <v>37</v>
      </c>
      <c r="CM98" s="407">
        <v>3</v>
      </c>
      <c r="CN98" s="235">
        <v>35</v>
      </c>
      <c r="CO98" s="226">
        <v>2785</v>
      </c>
      <c r="CP98" s="135">
        <v>141</v>
      </c>
      <c r="CQ98" s="235">
        <v>633</v>
      </c>
      <c r="CR98" s="233">
        <v>6</v>
      </c>
      <c r="CS98" s="407">
        <v>1</v>
      </c>
      <c r="CT98" s="342">
        <v>0</v>
      </c>
      <c r="CU98" s="226">
        <v>2249</v>
      </c>
      <c r="CV98" s="135">
        <v>59</v>
      </c>
      <c r="CW98" s="229">
        <v>16</v>
      </c>
      <c r="CX98" s="226">
        <v>119</v>
      </c>
      <c r="CY98" s="407">
        <v>5</v>
      </c>
      <c r="CZ98" s="235">
        <v>15</v>
      </c>
      <c r="DA98" s="226">
        <v>4342</v>
      </c>
      <c r="DB98" s="135">
        <v>121</v>
      </c>
      <c r="DC98" s="229">
        <v>1333</v>
      </c>
      <c r="DD98" s="233">
        <v>3</v>
      </c>
      <c r="DE98" s="341">
        <v>0</v>
      </c>
      <c r="DF98" s="342">
        <v>0</v>
      </c>
      <c r="DG98" s="226">
        <v>2111</v>
      </c>
      <c r="DH98" s="135">
        <v>108</v>
      </c>
      <c r="DI98" s="229">
        <v>50</v>
      </c>
      <c r="DJ98" s="233">
        <v>6</v>
      </c>
      <c r="DK98" s="341">
        <v>0</v>
      </c>
      <c r="DL98" s="235">
        <v>2</v>
      </c>
      <c r="DM98" s="233">
        <v>11</v>
      </c>
      <c r="DN98" s="341">
        <v>0</v>
      </c>
      <c r="DO98" s="342">
        <v>0</v>
      </c>
      <c r="DP98" s="233">
        <v>14</v>
      </c>
      <c r="DQ98" s="341">
        <v>0</v>
      </c>
      <c r="DR98" s="235">
        <v>1</v>
      </c>
      <c r="DS98" s="233">
        <v>18</v>
      </c>
      <c r="DT98" s="407">
        <v>4</v>
      </c>
      <c r="DU98" s="235">
        <v>2</v>
      </c>
      <c r="DV98" s="226">
        <v>1</v>
      </c>
      <c r="DW98" s="341">
        <v>0</v>
      </c>
      <c r="DX98" s="317">
        <v>0</v>
      </c>
      <c r="DY98" s="226">
        <v>8</v>
      </c>
      <c r="DZ98" s="341">
        <v>0</v>
      </c>
      <c r="EA98" s="235">
        <v>1</v>
      </c>
      <c r="EB98" s="233">
        <v>10</v>
      </c>
      <c r="EC98" s="407">
        <v>1</v>
      </c>
      <c r="ED98" s="229">
        <v>3</v>
      </c>
      <c r="EE98" s="226">
        <v>107</v>
      </c>
      <c r="EF98" s="407">
        <v>8</v>
      </c>
      <c r="EG98" s="235">
        <v>1</v>
      </c>
      <c r="EH98" s="226">
        <v>424</v>
      </c>
      <c r="EI98" s="135">
        <v>7</v>
      </c>
      <c r="EJ98" s="229">
        <v>150</v>
      </c>
      <c r="EK98" s="226">
        <v>166</v>
      </c>
      <c r="EL98" s="407">
        <v>7</v>
      </c>
      <c r="EM98" s="235">
        <v>65</v>
      </c>
      <c r="EN98" s="652" t="s">
        <v>1072</v>
      </c>
      <c r="EO98" s="531"/>
      <c r="EP98" s="531"/>
      <c r="EQ98" s="531"/>
      <c r="ER98" s="531"/>
      <c r="ES98" s="531"/>
      <c r="ET98" s="531"/>
      <c r="EU98" s="77" t="s">
        <v>1073</v>
      </c>
    </row>
    <row r="99" spans="1:151" ht="12.75">
      <c r="A99" s="415">
        <v>43930</v>
      </c>
      <c r="B99" s="293">
        <f t="shared" ref="B99:D99" si="95">SUM(F99,I99,L99,O99,R99,U99,X99,AA99,AD99,AG99,AJ99,AM99,AP99,AS99,AV99,AY99,BB99,BE99,BH99,BK99,BN99,BQ99,BT99,BW99,BZ99,CC99,CF99,CI99,CL99,CO99,CR99,CU99,CX99,DA99,DD99,DG99,DJ99,DP99,DS99,DM99,DV99,DY99,EB99,EE99,EH99,EK99,)</f>
        <v>526020</v>
      </c>
      <c r="C99" s="294">
        <f t="shared" si="95"/>
        <v>18800</v>
      </c>
      <c r="D99" s="295">
        <f t="shared" si="95"/>
        <v>35006</v>
      </c>
      <c r="E99" s="406">
        <f t="shared" si="2"/>
        <v>472214</v>
      </c>
      <c r="F99" s="226">
        <v>19</v>
      </c>
      <c r="G99" s="135">
        <v>2</v>
      </c>
      <c r="H99" s="342">
        <v>0</v>
      </c>
      <c r="I99" s="226">
        <v>1795</v>
      </c>
      <c r="J99" s="135">
        <v>71</v>
      </c>
      <c r="K99" s="229">
        <v>365</v>
      </c>
      <c r="L99" s="233">
        <v>4</v>
      </c>
      <c r="M99" s="341">
        <v>0</v>
      </c>
      <c r="N99" s="342">
        <v>0</v>
      </c>
      <c r="O99" s="226">
        <v>41</v>
      </c>
      <c r="P99" s="135">
        <v>8</v>
      </c>
      <c r="Q99" s="229">
        <v>5</v>
      </c>
      <c r="R99" s="226">
        <v>66</v>
      </c>
      <c r="S99" s="407">
        <v>3</v>
      </c>
      <c r="T99" s="229">
        <v>11</v>
      </c>
      <c r="U99" s="226">
        <v>9</v>
      </c>
      <c r="V99" s="407">
        <v>1</v>
      </c>
      <c r="W99" s="342">
        <v>0</v>
      </c>
      <c r="X99" s="226">
        <v>264</v>
      </c>
      <c r="Y99" s="135">
        <v>18</v>
      </c>
      <c r="Z99" s="235">
        <v>2</v>
      </c>
      <c r="AA99" s="226">
        <v>17857</v>
      </c>
      <c r="AB99" s="135">
        <v>941</v>
      </c>
      <c r="AC99" s="229">
        <v>173</v>
      </c>
      <c r="AD99" s="226">
        <v>19773</v>
      </c>
      <c r="AE99" s="135">
        <v>462</v>
      </c>
      <c r="AF99" s="229">
        <v>4877</v>
      </c>
      <c r="AG99" s="226">
        <v>5972</v>
      </c>
      <c r="AH99" s="135">
        <v>57</v>
      </c>
      <c r="AI99" s="229">
        <v>1274</v>
      </c>
      <c r="AJ99" s="226">
        <v>2223</v>
      </c>
      <c r="AK99" s="135">
        <v>69</v>
      </c>
      <c r="AL99" s="229">
        <v>174</v>
      </c>
      <c r="AM99" s="226">
        <v>539</v>
      </c>
      <c r="AN99" s="135">
        <v>3</v>
      </c>
      <c r="AO99" s="229">
        <v>30</v>
      </c>
      <c r="AP99" s="226">
        <v>515</v>
      </c>
      <c r="AQ99" s="135">
        <v>15</v>
      </c>
      <c r="AR99" s="229">
        <v>28</v>
      </c>
      <c r="AS99" s="233">
        <v>1</v>
      </c>
      <c r="AT99" s="407">
        <v>1</v>
      </c>
      <c r="AU99" s="342">
        <v>0</v>
      </c>
      <c r="AV99" s="233">
        <v>15</v>
      </c>
      <c r="AW99" s="341">
        <v>0</v>
      </c>
      <c r="AX99" s="235">
        <v>1</v>
      </c>
      <c r="AY99" s="226">
        <v>103</v>
      </c>
      <c r="AZ99" s="135">
        <v>6</v>
      </c>
      <c r="BA99" s="229">
        <v>14</v>
      </c>
      <c r="BB99" s="226">
        <v>4965</v>
      </c>
      <c r="BC99" s="135">
        <v>272</v>
      </c>
      <c r="BD99" s="229">
        <v>339</v>
      </c>
      <c r="BE99" s="226">
        <v>456828</v>
      </c>
      <c r="BF99" s="135">
        <v>16294</v>
      </c>
      <c r="BG99" s="229">
        <v>25119</v>
      </c>
      <c r="BH99" s="233">
        <v>12</v>
      </c>
      <c r="BI99" s="341">
        <v>0</v>
      </c>
      <c r="BJ99" s="342">
        <v>0</v>
      </c>
      <c r="BK99" s="233">
        <v>5</v>
      </c>
      <c r="BL99" s="341">
        <v>0</v>
      </c>
      <c r="BM99" s="235">
        <v>2</v>
      </c>
      <c r="BN99" s="233">
        <v>134</v>
      </c>
      <c r="BO99" s="407">
        <v>8</v>
      </c>
      <c r="BP99" s="235">
        <v>36</v>
      </c>
      <c r="BQ99" s="226">
        <v>95</v>
      </c>
      <c r="BR99" s="407">
        <v>3</v>
      </c>
      <c r="BS99" s="235">
        <v>17</v>
      </c>
      <c r="BT99" s="226">
        <v>37</v>
      </c>
      <c r="BU99" s="135">
        <v>6</v>
      </c>
      <c r="BV99" s="235">
        <v>8</v>
      </c>
      <c r="BW99" s="233">
        <v>18</v>
      </c>
      <c r="BX99" s="341">
        <v>0</v>
      </c>
      <c r="BY99" s="235">
        <v>6</v>
      </c>
      <c r="BZ99" s="226">
        <v>30</v>
      </c>
      <c r="CA99" s="135">
        <v>2</v>
      </c>
      <c r="CB99" s="342">
        <v>0</v>
      </c>
      <c r="CC99" s="226">
        <v>343</v>
      </c>
      <c r="CD99" s="135">
        <v>23</v>
      </c>
      <c r="CE99" s="235">
        <v>6</v>
      </c>
      <c r="CF99" s="233">
        <v>1</v>
      </c>
      <c r="CG99" s="341">
        <v>0</v>
      </c>
      <c r="CH99" s="342">
        <v>0</v>
      </c>
      <c r="CI99" s="226">
        <v>63</v>
      </c>
      <c r="CJ99" s="135">
        <v>4</v>
      </c>
      <c r="CK99" s="229">
        <v>12</v>
      </c>
      <c r="CL99" s="233">
        <v>37</v>
      </c>
      <c r="CM99" s="407">
        <v>3</v>
      </c>
      <c r="CN99" s="235">
        <v>35</v>
      </c>
      <c r="CO99" s="226">
        <v>3181</v>
      </c>
      <c r="CP99" s="135">
        <v>174</v>
      </c>
      <c r="CQ99" s="235">
        <v>633</v>
      </c>
      <c r="CR99" s="226">
        <v>7</v>
      </c>
      <c r="CS99" s="407">
        <v>1</v>
      </c>
      <c r="CT99" s="342">
        <v>0</v>
      </c>
      <c r="CU99" s="226">
        <v>2528</v>
      </c>
      <c r="CV99" s="135">
        <v>63</v>
      </c>
      <c r="CW99" s="229">
        <v>16</v>
      </c>
      <c r="CX99" s="226">
        <v>124</v>
      </c>
      <c r="CY99" s="407">
        <v>5</v>
      </c>
      <c r="CZ99" s="229">
        <v>18</v>
      </c>
      <c r="DA99" s="226">
        <v>5256</v>
      </c>
      <c r="DB99" s="135">
        <v>138</v>
      </c>
      <c r="DC99" s="229">
        <v>1438</v>
      </c>
      <c r="DD99" s="233">
        <v>3</v>
      </c>
      <c r="DE99" s="341">
        <v>0</v>
      </c>
      <c r="DF99" s="342">
        <v>0</v>
      </c>
      <c r="DG99" s="226">
        <v>2349</v>
      </c>
      <c r="DH99" s="135">
        <v>118</v>
      </c>
      <c r="DI99" s="229">
        <v>80</v>
      </c>
      <c r="DJ99" s="233">
        <v>6</v>
      </c>
      <c r="DK99" s="341">
        <v>0</v>
      </c>
      <c r="DL99" s="235">
        <v>2</v>
      </c>
      <c r="DM99" s="233">
        <v>11</v>
      </c>
      <c r="DN99" s="341">
        <v>0</v>
      </c>
      <c r="DO99" s="342">
        <v>0</v>
      </c>
      <c r="DP99" s="233">
        <v>14</v>
      </c>
      <c r="DQ99" s="341">
        <v>0</v>
      </c>
      <c r="DR99" s="235">
        <v>1</v>
      </c>
      <c r="DS99" s="233">
        <v>18</v>
      </c>
      <c r="DT99" s="407">
        <v>4</v>
      </c>
      <c r="DU99" s="235">
        <v>2</v>
      </c>
      <c r="DV99" s="226">
        <v>1</v>
      </c>
      <c r="DW99" s="341">
        <v>0</v>
      </c>
      <c r="DX99" s="317">
        <v>0</v>
      </c>
      <c r="DY99" s="226">
        <v>12</v>
      </c>
      <c r="DZ99" s="341">
        <v>0</v>
      </c>
      <c r="EA99" s="235">
        <v>1</v>
      </c>
      <c r="EB99" s="233">
        <v>10</v>
      </c>
      <c r="EC99" s="407">
        <v>1</v>
      </c>
      <c r="ED99" s="229">
        <v>4</v>
      </c>
      <c r="EE99" s="226">
        <v>109</v>
      </c>
      <c r="EF99" s="407">
        <v>8</v>
      </c>
      <c r="EG99" s="235">
        <v>1</v>
      </c>
      <c r="EH99" s="226">
        <v>456</v>
      </c>
      <c r="EI99" s="135">
        <v>7</v>
      </c>
      <c r="EJ99" s="229">
        <v>192</v>
      </c>
      <c r="EK99" s="226">
        <v>171</v>
      </c>
      <c r="EL99" s="135">
        <v>9</v>
      </c>
      <c r="EM99" s="229">
        <v>84</v>
      </c>
      <c r="EN99" s="652"/>
      <c r="EO99" s="531"/>
      <c r="EP99" s="531"/>
      <c r="EQ99" s="531"/>
      <c r="ER99" s="531"/>
      <c r="ES99" s="531"/>
      <c r="ET99" s="531"/>
      <c r="EU99" s="127"/>
    </row>
    <row r="100" spans="1:151" ht="12.75">
      <c r="A100" s="415">
        <v>43931</v>
      </c>
      <c r="B100" s="293">
        <f t="shared" ref="B100:D100" si="96">SUM(F100,I100,L100,O100,R100,U100,X100,AA100,AD100,AG100,AJ100,AM100,AP100,AS100,AV100,AY100,BB100,BE100,BH100,BK100,BN100,BQ100,BT100,BW100,BZ100,CC100,CF100,CI100,CL100,CO100,CR100,CU100,CX100,DA100,DD100,DG100,DJ100,DP100,DS100,DM100,DV100,DY100,EB100,EE100,EH100,EK100,)</f>
        <v>568455</v>
      </c>
      <c r="C100" s="294">
        <f t="shared" si="96"/>
        <v>21127</v>
      </c>
      <c r="D100" s="295">
        <f t="shared" si="96"/>
        <v>38898</v>
      </c>
      <c r="E100" s="406">
        <f t="shared" si="2"/>
        <v>508430</v>
      </c>
      <c r="F100" s="226">
        <v>19</v>
      </c>
      <c r="G100" s="135">
        <v>2</v>
      </c>
      <c r="H100" s="342">
        <v>0</v>
      </c>
      <c r="I100" s="226">
        <v>1894</v>
      </c>
      <c r="J100" s="135">
        <v>81</v>
      </c>
      <c r="K100" s="229">
        <v>375</v>
      </c>
      <c r="L100" s="233">
        <v>4</v>
      </c>
      <c r="M100" s="341">
        <v>0</v>
      </c>
      <c r="N100" s="342">
        <v>0</v>
      </c>
      <c r="O100" s="226">
        <v>41</v>
      </c>
      <c r="P100" s="135">
        <v>8</v>
      </c>
      <c r="Q100" s="229">
        <v>5</v>
      </c>
      <c r="R100" s="226">
        <v>67</v>
      </c>
      <c r="S100" s="135">
        <v>4</v>
      </c>
      <c r="T100" s="229">
        <v>11</v>
      </c>
      <c r="U100" s="226">
        <v>9</v>
      </c>
      <c r="V100" s="407">
        <v>1</v>
      </c>
      <c r="W100" s="342">
        <v>0</v>
      </c>
      <c r="X100" s="226">
        <v>268</v>
      </c>
      <c r="Y100" s="135">
        <v>19</v>
      </c>
      <c r="Z100" s="235">
        <v>2</v>
      </c>
      <c r="AA100" s="226">
        <v>19638</v>
      </c>
      <c r="AB100" s="135">
        <v>1057</v>
      </c>
      <c r="AC100" s="229">
        <v>173</v>
      </c>
      <c r="AD100" s="226">
        <v>21243</v>
      </c>
      <c r="AE100" s="135">
        <v>532</v>
      </c>
      <c r="AF100" s="229">
        <v>5580</v>
      </c>
      <c r="AG100" s="226">
        <v>6501</v>
      </c>
      <c r="AH100" s="135">
        <v>65</v>
      </c>
      <c r="AI100" s="229">
        <v>1571</v>
      </c>
      <c r="AJ100" s="226">
        <v>2473</v>
      </c>
      <c r="AK100" s="135">
        <v>80</v>
      </c>
      <c r="AL100" s="229">
        <v>197</v>
      </c>
      <c r="AM100" s="226">
        <v>558</v>
      </c>
      <c r="AN100" s="135">
        <v>3</v>
      </c>
      <c r="AO100" s="229">
        <v>42</v>
      </c>
      <c r="AP100" s="226">
        <v>564</v>
      </c>
      <c r="AQ100" s="135">
        <v>15</v>
      </c>
      <c r="AR100" s="229">
        <v>51</v>
      </c>
      <c r="AS100" s="233">
        <v>1</v>
      </c>
      <c r="AT100" s="407">
        <v>1</v>
      </c>
      <c r="AU100" s="342">
        <v>0</v>
      </c>
      <c r="AV100" s="226">
        <v>16</v>
      </c>
      <c r="AW100" s="341">
        <v>0</v>
      </c>
      <c r="AX100" s="229">
        <v>5</v>
      </c>
      <c r="AY100" s="226">
        <v>117</v>
      </c>
      <c r="AZ100" s="135">
        <v>6</v>
      </c>
      <c r="BA100" s="229">
        <v>15</v>
      </c>
      <c r="BB100" s="226">
        <v>7161</v>
      </c>
      <c r="BC100" s="135">
        <v>297</v>
      </c>
      <c r="BD100" s="229">
        <v>368</v>
      </c>
      <c r="BE100" s="226">
        <v>491358</v>
      </c>
      <c r="BF100" s="135">
        <v>18316</v>
      </c>
      <c r="BG100" s="229">
        <v>27744</v>
      </c>
      <c r="BH100" s="226">
        <v>14</v>
      </c>
      <c r="BI100" s="341">
        <v>0</v>
      </c>
      <c r="BJ100" s="342">
        <v>0</v>
      </c>
      <c r="BK100" s="233">
        <v>5</v>
      </c>
      <c r="BL100" s="341">
        <v>0</v>
      </c>
      <c r="BM100" s="235">
        <v>2</v>
      </c>
      <c r="BN100" s="233">
        <v>134</v>
      </c>
      <c r="BO100" s="407">
        <v>8</v>
      </c>
      <c r="BP100" s="235">
        <v>36</v>
      </c>
      <c r="BQ100" s="226">
        <v>126</v>
      </c>
      <c r="BR100" s="407">
        <v>3</v>
      </c>
      <c r="BS100" s="235">
        <v>17</v>
      </c>
      <c r="BT100" s="226">
        <v>37</v>
      </c>
      <c r="BU100" s="135">
        <v>6</v>
      </c>
      <c r="BV100" s="235">
        <v>8</v>
      </c>
      <c r="BW100" s="233">
        <v>18</v>
      </c>
      <c r="BX100" s="341">
        <v>0</v>
      </c>
      <c r="BY100" s="235">
        <v>6</v>
      </c>
      <c r="BZ100" s="226">
        <v>31</v>
      </c>
      <c r="CA100" s="135">
        <v>2</v>
      </c>
      <c r="CB100" s="342">
        <v>0</v>
      </c>
      <c r="CC100" s="226">
        <v>382</v>
      </c>
      <c r="CD100" s="135">
        <v>23</v>
      </c>
      <c r="CE100" s="229">
        <v>7</v>
      </c>
      <c r="CF100" s="233">
        <v>1</v>
      </c>
      <c r="CG100" s="341">
        <v>0</v>
      </c>
      <c r="CH100" s="342">
        <v>0</v>
      </c>
      <c r="CI100" s="226">
        <v>63</v>
      </c>
      <c r="CJ100" s="135">
        <v>4</v>
      </c>
      <c r="CK100" s="229">
        <v>13</v>
      </c>
      <c r="CL100" s="233">
        <v>37</v>
      </c>
      <c r="CM100" s="407">
        <v>3</v>
      </c>
      <c r="CN100" s="235">
        <v>35</v>
      </c>
      <c r="CO100" s="226">
        <v>3441</v>
      </c>
      <c r="CP100" s="135">
        <v>194</v>
      </c>
      <c r="CQ100" s="235">
        <v>633</v>
      </c>
      <c r="CR100" s="226">
        <v>7</v>
      </c>
      <c r="CS100" s="407">
        <v>1</v>
      </c>
      <c r="CT100" s="342">
        <v>0</v>
      </c>
      <c r="CU100" s="226">
        <v>2752</v>
      </c>
      <c r="CV100" s="135">
        <v>66</v>
      </c>
      <c r="CW100" s="229">
        <v>16</v>
      </c>
      <c r="CX100" s="226">
        <v>129</v>
      </c>
      <c r="CY100" s="135">
        <v>6</v>
      </c>
      <c r="CZ100" s="229">
        <v>18</v>
      </c>
      <c r="DA100" s="226">
        <v>5897</v>
      </c>
      <c r="DB100" s="135">
        <v>169</v>
      </c>
      <c r="DC100" s="229">
        <v>1569</v>
      </c>
      <c r="DD100" s="233">
        <v>3</v>
      </c>
      <c r="DE100" s="341">
        <v>0</v>
      </c>
      <c r="DF100" s="342">
        <v>0</v>
      </c>
      <c r="DG100" s="226">
        <v>2620</v>
      </c>
      <c r="DH100" s="135">
        <v>126</v>
      </c>
      <c r="DI100" s="229">
        <v>98</v>
      </c>
      <c r="DJ100" s="233">
        <v>6</v>
      </c>
      <c r="DK100" s="341">
        <v>0</v>
      </c>
      <c r="DL100" s="235">
        <v>2</v>
      </c>
      <c r="DM100" s="233">
        <v>11</v>
      </c>
      <c r="DN100" s="341">
        <v>0</v>
      </c>
      <c r="DO100" s="342">
        <v>0</v>
      </c>
      <c r="DP100" s="226">
        <v>15</v>
      </c>
      <c r="DQ100" s="341">
        <v>0</v>
      </c>
      <c r="DR100" s="235">
        <v>1</v>
      </c>
      <c r="DS100" s="233">
        <v>18</v>
      </c>
      <c r="DT100" s="407">
        <v>4</v>
      </c>
      <c r="DU100" s="235">
        <v>2</v>
      </c>
      <c r="DV100" s="226">
        <v>1</v>
      </c>
      <c r="DW100" s="341">
        <v>0</v>
      </c>
      <c r="DX100" s="317">
        <v>0</v>
      </c>
      <c r="DY100" s="226">
        <v>12</v>
      </c>
      <c r="DZ100" s="341">
        <v>0</v>
      </c>
      <c r="EA100" s="235">
        <v>1</v>
      </c>
      <c r="EB100" s="233">
        <v>10</v>
      </c>
      <c r="EC100" s="407">
        <v>1</v>
      </c>
      <c r="ED100" s="229">
        <v>4</v>
      </c>
      <c r="EE100" s="226">
        <v>109</v>
      </c>
      <c r="EF100" s="407">
        <v>8</v>
      </c>
      <c r="EG100" s="235">
        <v>1</v>
      </c>
      <c r="EH100" s="226">
        <v>473</v>
      </c>
      <c r="EI100" s="135">
        <v>7</v>
      </c>
      <c r="EJ100" s="229">
        <v>206</v>
      </c>
      <c r="EK100" s="226">
        <v>171</v>
      </c>
      <c r="EL100" s="135">
        <v>9</v>
      </c>
      <c r="EM100" s="229">
        <v>84</v>
      </c>
      <c r="EN100" s="652"/>
      <c r="EO100" s="531"/>
      <c r="EP100" s="531"/>
      <c r="EQ100" s="531"/>
      <c r="ER100" s="531"/>
      <c r="ES100" s="531"/>
      <c r="ET100" s="531"/>
      <c r="EU100" s="127"/>
    </row>
    <row r="101" spans="1:151" ht="12.75">
      <c r="A101" s="415">
        <v>43932</v>
      </c>
      <c r="B101" s="222">
        <f t="shared" ref="B101:D101" si="97">SUM(F101,I101,L101,O101,R101,U101,X101,AA101,AD101,AG101,AJ101,AM101,AP101,AS101,AV101,AY101,BB101,BE101,BH101,BK101,BN101,BQ101,BT101,BW101,BZ101,CC101,CF101,CI101,CL101,CO101,CR101,CU101,CX101,DA101,DD101,DG101,DJ101,DP101,DS101,DM101,DV101,DY101,EB101,EE101,EH101,EK101,)</f>
        <v>604903</v>
      </c>
      <c r="C101" s="223">
        <f t="shared" si="97"/>
        <v>23379</v>
      </c>
      <c r="D101" s="224">
        <f t="shared" si="97"/>
        <v>43366</v>
      </c>
      <c r="E101" s="406">
        <f t="shared" si="2"/>
        <v>538158</v>
      </c>
      <c r="F101" s="226">
        <v>21</v>
      </c>
      <c r="G101" s="135">
        <v>2</v>
      </c>
      <c r="H101" s="342">
        <v>0</v>
      </c>
      <c r="I101" s="226">
        <v>1975</v>
      </c>
      <c r="J101" s="135">
        <v>83</v>
      </c>
      <c r="K101" s="229">
        <v>440</v>
      </c>
      <c r="L101" s="233">
        <v>4</v>
      </c>
      <c r="M101" s="341">
        <v>0</v>
      </c>
      <c r="N101" s="342">
        <v>0</v>
      </c>
      <c r="O101" s="226">
        <v>42</v>
      </c>
      <c r="P101" s="135">
        <v>8</v>
      </c>
      <c r="Q101" s="229">
        <v>5</v>
      </c>
      <c r="R101" s="226">
        <v>68</v>
      </c>
      <c r="S101" s="135">
        <v>4</v>
      </c>
      <c r="T101" s="229">
        <v>11</v>
      </c>
      <c r="U101" s="226">
        <v>13</v>
      </c>
      <c r="V101" s="135">
        <v>2</v>
      </c>
      <c r="W101" s="342">
        <v>0</v>
      </c>
      <c r="X101" s="226">
        <v>275</v>
      </c>
      <c r="Y101" s="135">
        <v>20</v>
      </c>
      <c r="Z101" s="235">
        <v>2</v>
      </c>
      <c r="AA101" s="226">
        <v>20727</v>
      </c>
      <c r="AB101" s="135">
        <v>1124</v>
      </c>
      <c r="AC101" s="229">
        <v>173</v>
      </c>
      <c r="AD101" s="226">
        <v>23214</v>
      </c>
      <c r="AE101" s="135">
        <v>650</v>
      </c>
      <c r="AF101" s="229">
        <v>6563</v>
      </c>
      <c r="AG101" s="226">
        <v>6927</v>
      </c>
      <c r="AH101" s="135">
        <v>73</v>
      </c>
      <c r="AI101" s="229">
        <v>1864</v>
      </c>
      <c r="AJ101" s="226">
        <v>2473</v>
      </c>
      <c r="AK101" s="135">
        <v>80</v>
      </c>
      <c r="AL101" s="229">
        <v>197</v>
      </c>
      <c r="AM101" s="226">
        <v>577</v>
      </c>
      <c r="AN101" s="135">
        <v>3</v>
      </c>
      <c r="AO101" s="229">
        <v>49</v>
      </c>
      <c r="AP101" s="226">
        <v>620</v>
      </c>
      <c r="AQ101" s="135">
        <v>16</v>
      </c>
      <c r="AR101" s="229">
        <v>77</v>
      </c>
      <c r="AS101" s="233">
        <v>1</v>
      </c>
      <c r="AT101" s="407">
        <v>1</v>
      </c>
      <c r="AU101" s="342">
        <v>0</v>
      </c>
      <c r="AV101" s="226">
        <v>16</v>
      </c>
      <c r="AW101" s="341">
        <v>0</v>
      </c>
      <c r="AX101" s="229">
        <v>5</v>
      </c>
      <c r="AY101" s="226">
        <v>118</v>
      </c>
      <c r="AZ101" s="135">
        <v>6</v>
      </c>
      <c r="BA101" s="229">
        <v>19</v>
      </c>
      <c r="BB101" s="226">
        <v>7257</v>
      </c>
      <c r="BC101" s="135">
        <v>315</v>
      </c>
      <c r="BD101" s="229">
        <v>411</v>
      </c>
      <c r="BE101" s="226">
        <v>522286</v>
      </c>
      <c r="BF101" s="135">
        <v>20283</v>
      </c>
      <c r="BG101" s="229">
        <v>30580</v>
      </c>
      <c r="BH101" s="226">
        <v>14</v>
      </c>
      <c r="BI101" s="341">
        <v>0</v>
      </c>
      <c r="BJ101" s="342">
        <v>0</v>
      </c>
      <c r="BK101" s="233">
        <v>5</v>
      </c>
      <c r="BL101" s="341">
        <v>0</v>
      </c>
      <c r="BM101" s="235">
        <v>2</v>
      </c>
      <c r="BN101" s="233">
        <v>134</v>
      </c>
      <c r="BO101" s="407">
        <v>8</v>
      </c>
      <c r="BP101" s="235">
        <v>36</v>
      </c>
      <c r="BQ101" s="226">
        <v>137</v>
      </c>
      <c r="BR101" s="407">
        <v>3</v>
      </c>
      <c r="BS101" s="229">
        <v>19</v>
      </c>
      <c r="BT101" s="226">
        <v>40</v>
      </c>
      <c r="BU101" s="135">
        <v>6</v>
      </c>
      <c r="BV101" s="235">
        <v>8</v>
      </c>
      <c r="BW101" s="233">
        <v>18</v>
      </c>
      <c r="BX101" s="341">
        <v>0</v>
      </c>
      <c r="BY101" s="235">
        <v>6</v>
      </c>
      <c r="BZ101" s="226">
        <v>33</v>
      </c>
      <c r="CA101" s="135">
        <v>2</v>
      </c>
      <c r="CB101" s="342">
        <v>0</v>
      </c>
      <c r="CC101" s="226">
        <v>392</v>
      </c>
      <c r="CD101" s="135">
        <v>24</v>
      </c>
      <c r="CE101" s="229">
        <v>7</v>
      </c>
      <c r="CF101" s="233">
        <v>1</v>
      </c>
      <c r="CG101" s="341">
        <v>0</v>
      </c>
      <c r="CH101" s="342">
        <v>0</v>
      </c>
      <c r="CI101" s="226">
        <v>65</v>
      </c>
      <c r="CJ101" s="135">
        <v>4</v>
      </c>
      <c r="CK101" s="229">
        <v>13</v>
      </c>
      <c r="CL101" s="233">
        <v>37</v>
      </c>
      <c r="CM101" s="407">
        <v>3</v>
      </c>
      <c r="CN101" s="235">
        <v>35</v>
      </c>
      <c r="CO101" s="226">
        <v>3844</v>
      </c>
      <c r="CP101" s="135">
        <v>233</v>
      </c>
      <c r="CQ101" s="235">
        <v>633</v>
      </c>
      <c r="CR101" s="226">
        <v>8</v>
      </c>
      <c r="CS101" s="407">
        <v>1</v>
      </c>
      <c r="CT101" s="342">
        <v>0</v>
      </c>
      <c r="CU101" s="226">
        <v>2974</v>
      </c>
      <c r="CV101" s="135">
        <v>74</v>
      </c>
      <c r="CW101" s="229">
        <v>17</v>
      </c>
      <c r="CX101" s="226">
        <v>133</v>
      </c>
      <c r="CY101" s="135">
        <v>6</v>
      </c>
      <c r="CZ101" s="229">
        <v>18</v>
      </c>
      <c r="DA101" s="226">
        <v>6848</v>
      </c>
      <c r="DB101" s="135">
        <v>181</v>
      </c>
      <c r="DC101" s="229">
        <v>1739</v>
      </c>
      <c r="DD101" s="233">
        <v>3</v>
      </c>
      <c r="DE101" s="341">
        <v>0</v>
      </c>
      <c r="DF101" s="342">
        <v>0</v>
      </c>
      <c r="DG101" s="226">
        <v>2759</v>
      </c>
      <c r="DH101" s="135">
        <v>135</v>
      </c>
      <c r="DI101" s="229">
        <v>108</v>
      </c>
      <c r="DJ101" s="233">
        <v>6</v>
      </c>
      <c r="DK101" s="341">
        <v>0</v>
      </c>
      <c r="DL101" s="235">
        <v>2</v>
      </c>
      <c r="DM101" s="226">
        <v>12</v>
      </c>
      <c r="DN101" s="341">
        <v>0</v>
      </c>
      <c r="DO101" s="342">
        <v>0</v>
      </c>
      <c r="DP101" s="226">
        <v>15</v>
      </c>
      <c r="DQ101" s="341">
        <v>0</v>
      </c>
      <c r="DR101" s="235">
        <v>1</v>
      </c>
      <c r="DS101" s="233">
        <v>18</v>
      </c>
      <c r="DT101" s="407">
        <v>4</v>
      </c>
      <c r="DU101" s="235">
        <v>2</v>
      </c>
      <c r="DV101" s="226">
        <v>1</v>
      </c>
      <c r="DW101" s="341">
        <v>0</v>
      </c>
      <c r="DX101" s="317">
        <v>0</v>
      </c>
      <c r="DY101" s="226">
        <v>12</v>
      </c>
      <c r="DZ101" s="341">
        <v>0</v>
      </c>
      <c r="EA101" s="235">
        <v>1</v>
      </c>
      <c r="EB101" s="233">
        <v>10</v>
      </c>
      <c r="EC101" s="407">
        <v>1</v>
      </c>
      <c r="ED101" s="229">
        <v>4</v>
      </c>
      <c r="EE101" s="226">
        <v>112</v>
      </c>
      <c r="EF101" s="407">
        <v>8</v>
      </c>
      <c r="EG101" s="229">
        <v>12</v>
      </c>
      <c r="EH101" s="226">
        <v>483</v>
      </c>
      <c r="EI101" s="135">
        <v>7</v>
      </c>
      <c r="EJ101" s="229">
        <v>214</v>
      </c>
      <c r="EK101" s="226">
        <v>175</v>
      </c>
      <c r="EL101" s="135">
        <v>9</v>
      </c>
      <c r="EM101" s="229">
        <v>93</v>
      </c>
      <c r="EN101" s="652"/>
      <c r="EO101" s="531"/>
      <c r="EP101" s="531"/>
      <c r="EQ101" s="531"/>
      <c r="ER101" s="531"/>
      <c r="ES101" s="531"/>
      <c r="ET101" s="531"/>
      <c r="EU101" s="127"/>
    </row>
    <row r="102" spans="1:151" ht="12.75">
      <c r="A102" s="415">
        <v>43933</v>
      </c>
      <c r="B102" s="222">
        <f t="shared" ref="B102:D102" si="98">SUM(F102,I102,L102,O102,R102,U102,X102,AA102,AD102,AG102,AJ102,AM102,AP102,AS102,AV102,AY102,BB102,BE102,BH102,BK102,BN102,BQ102,BT102,BW102,BZ102,CC102,CF102,CI102,CL102,CO102,CR102,CU102,CX102,DA102,DD102,DG102,DJ102,DP102,DS102,DM102,DV102,DY102,EB102,EE102,EH102,EK102,)</f>
        <v>643206</v>
      </c>
      <c r="C102" s="223">
        <f t="shared" si="98"/>
        <v>25438</v>
      </c>
      <c r="D102" s="224">
        <f t="shared" si="98"/>
        <v>47902</v>
      </c>
      <c r="E102" s="406">
        <f t="shared" si="2"/>
        <v>569866</v>
      </c>
      <c r="F102" s="226">
        <v>21</v>
      </c>
      <c r="G102" s="135">
        <v>2</v>
      </c>
      <c r="H102" s="342">
        <v>0</v>
      </c>
      <c r="I102" s="226">
        <v>2142</v>
      </c>
      <c r="J102" s="135">
        <v>90</v>
      </c>
      <c r="K102" s="229">
        <v>468</v>
      </c>
      <c r="L102" s="233">
        <v>4</v>
      </c>
      <c r="M102" s="341">
        <v>0</v>
      </c>
      <c r="N102" s="342">
        <v>0</v>
      </c>
      <c r="O102" s="226">
        <v>46</v>
      </c>
      <c r="P102" s="135">
        <v>8</v>
      </c>
      <c r="Q102" s="229">
        <v>5</v>
      </c>
      <c r="R102" s="226">
        <v>71</v>
      </c>
      <c r="S102" s="135">
        <v>4</v>
      </c>
      <c r="T102" s="229">
        <v>11</v>
      </c>
      <c r="U102" s="226">
        <v>13</v>
      </c>
      <c r="V102" s="135">
        <v>2</v>
      </c>
      <c r="W102" s="342">
        <v>0</v>
      </c>
      <c r="X102" s="226">
        <v>300</v>
      </c>
      <c r="Y102" s="135">
        <v>24</v>
      </c>
      <c r="Z102" s="235">
        <v>2</v>
      </c>
      <c r="AA102" s="226">
        <v>22169</v>
      </c>
      <c r="AB102" s="135">
        <v>1223</v>
      </c>
      <c r="AC102" s="229">
        <v>173</v>
      </c>
      <c r="AD102" s="226">
        <v>24290</v>
      </c>
      <c r="AE102" s="135">
        <v>713</v>
      </c>
      <c r="AF102" s="229">
        <v>7106</v>
      </c>
      <c r="AG102" s="226">
        <v>7213</v>
      </c>
      <c r="AH102" s="135">
        <v>80</v>
      </c>
      <c r="AI102" s="229">
        <v>2059</v>
      </c>
      <c r="AJ102" s="226">
        <v>2709</v>
      </c>
      <c r="AK102" s="135">
        <v>100</v>
      </c>
      <c r="AL102" s="229">
        <v>214</v>
      </c>
      <c r="AM102" s="226">
        <v>595</v>
      </c>
      <c r="AN102" s="135">
        <v>3</v>
      </c>
      <c r="AO102" s="229">
        <v>56</v>
      </c>
      <c r="AP102" s="226">
        <v>669</v>
      </c>
      <c r="AQ102" s="135">
        <v>18</v>
      </c>
      <c r="AR102" s="229">
        <v>92</v>
      </c>
      <c r="AS102" s="233">
        <v>1</v>
      </c>
      <c r="AT102" s="407">
        <v>1</v>
      </c>
      <c r="AU102" s="342">
        <v>0</v>
      </c>
      <c r="AV102" s="226">
        <v>16</v>
      </c>
      <c r="AW102" s="341">
        <v>0</v>
      </c>
      <c r="AX102" s="229">
        <v>7</v>
      </c>
      <c r="AY102" s="226">
        <v>125</v>
      </c>
      <c r="AZ102" s="135">
        <v>6</v>
      </c>
      <c r="BA102" s="229">
        <v>21</v>
      </c>
      <c r="BB102" s="226">
        <v>7466</v>
      </c>
      <c r="BC102" s="135">
        <v>333</v>
      </c>
      <c r="BD102" s="229">
        <v>501</v>
      </c>
      <c r="BE102" s="226">
        <v>555313</v>
      </c>
      <c r="BF102" s="135">
        <v>22020</v>
      </c>
      <c r="BG102" s="229">
        <v>32988</v>
      </c>
      <c r="BH102" s="226">
        <v>14</v>
      </c>
      <c r="BI102" s="341">
        <v>0</v>
      </c>
      <c r="BJ102" s="342">
        <v>0</v>
      </c>
      <c r="BK102" s="233">
        <v>5</v>
      </c>
      <c r="BL102" s="341">
        <v>0</v>
      </c>
      <c r="BM102" s="235">
        <v>2</v>
      </c>
      <c r="BN102" s="226">
        <v>143</v>
      </c>
      <c r="BO102" s="407">
        <v>8</v>
      </c>
      <c r="BP102" s="235">
        <v>36</v>
      </c>
      <c r="BQ102" s="226">
        <v>155</v>
      </c>
      <c r="BR102" s="135">
        <v>5</v>
      </c>
      <c r="BS102" s="229">
        <v>19</v>
      </c>
      <c r="BT102" s="226">
        <v>45</v>
      </c>
      <c r="BU102" s="135">
        <v>6</v>
      </c>
      <c r="BV102" s="235">
        <v>8</v>
      </c>
      <c r="BW102" s="226">
        <v>86</v>
      </c>
      <c r="BX102" s="341">
        <v>0</v>
      </c>
      <c r="BY102" s="235">
        <v>6</v>
      </c>
      <c r="BZ102" s="226">
        <v>33</v>
      </c>
      <c r="CA102" s="135">
        <v>3</v>
      </c>
      <c r="CB102" s="342">
        <v>0</v>
      </c>
      <c r="CC102" s="226">
        <v>393</v>
      </c>
      <c r="CD102" s="135">
        <v>25</v>
      </c>
      <c r="CE102" s="229">
        <v>7</v>
      </c>
      <c r="CF102" s="233">
        <v>1</v>
      </c>
      <c r="CG102" s="341">
        <v>0</v>
      </c>
      <c r="CH102" s="342">
        <v>0</v>
      </c>
      <c r="CI102" s="226">
        <v>69</v>
      </c>
      <c r="CJ102" s="135">
        <v>4</v>
      </c>
      <c r="CK102" s="229">
        <v>13</v>
      </c>
      <c r="CL102" s="226">
        <v>155</v>
      </c>
      <c r="CM102" s="135">
        <v>6</v>
      </c>
      <c r="CN102" s="235">
        <v>35</v>
      </c>
      <c r="CO102" s="226">
        <v>4219</v>
      </c>
      <c r="CP102" s="135">
        <v>273</v>
      </c>
      <c r="CQ102" s="229">
        <v>1772</v>
      </c>
      <c r="CR102" s="226">
        <v>9</v>
      </c>
      <c r="CS102" s="407">
        <v>1</v>
      </c>
      <c r="CT102" s="229">
        <v>4</v>
      </c>
      <c r="CU102" s="226">
        <v>3234</v>
      </c>
      <c r="CV102" s="135">
        <v>79</v>
      </c>
      <c r="CW102" s="229">
        <v>23</v>
      </c>
      <c r="CX102" s="226">
        <v>134</v>
      </c>
      <c r="CY102" s="135">
        <v>6</v>
      </c>
      <c r="CZ102" s="229">
        <v>22</v>
      </c>
      <c r="DA102" s="226">
        <v>7519</v>
      </c>
      <c r="DB102" s="135">
        <v>193</v>
      </c>
      <c r="DC102" s="229">
        <v>1798</v>
      </c>
      <c r="DD102" s="233">
        <v>3</v>
      </c>
      <c r="DE102" s="341">
        <v>0</v>
      </c>
      <c r="DF102" s="342">
        <v>0</v>
      </c>
      <c r="DG102" s="226">
        <v>2967</v>
      </c>
      <c r="DH102" s="135">
        <v>173</v>
      </c>
      <c r="DI102" s="229">
        <v>108</v>
      </c>
      <c r="DJ102" s="233">
        <v>6</v>
      </c>
      <c r="DK102" s="341">
        <v>0</v>
      </c>
      <c r="DL102" s="235">
        <v>2</v>
      </c>
      <c r="DM102" s="226">
        <v>12</v>
      </c>
      <c r="DN102" s="341">
        <v>0</v>
      </c>
      <c r="DO102" s="342">
        <v>0</v>
      </c>
      <c r="DP102" s="226">
        <v>15</v>
      </c>
      <c r="DQ102" s="341">
        <v>0</v>
      </c>
      <c r="DR102" s="229">
        <v>4</v>
      </c>
      <c r="DS102" s="226">
        <v>32</v>
      </c>
      <c r="DT102" s="407">
        <v>4</v>
      </c>
      <c r="DU102" s="235">
        <v>2</v>
      </c>
      <c r="DV102" s="226">
        <v>1</v>
      </c>
      <c r="DW102" s="341">
        <v>0</v>
      </c>
      <c r="DX102" s="317">
        <v>0</v>
      </c>
      <c r="DY102" s="226">
        <v>12</v>
      </c>
      <c r="DZ102" s="341">
        <v>0</v>
      </c>
      <c r="EA102" s="235">
        <v>1</v>
      </c>
      <c r="EB102" s="233">
        <v>10</v>
      </c>
      <c r="EC102" s="407">
        <v>1</v>
      </c>
      <c r="ED102" s="229">
        <v>4</v>
      </c>
      <c r="EE102" s="226">
        <v>113</v>
      </c>
      <c r="EF102" s="407">
        <v>8</v>
      </c>
      <c r="EG102" s="229">
        <v>16</v>
      </c>
      <c r="EH102" s="226">
        <v>483</v>
      </c>
      <c r="EI102" s="135">
        <v>7</v>
      </c>
      <c r="EJ102" s="229">
        <v>224</v>
      </c>
      <c r="EK102" s="226">
        <v>175</v>
      </c>
      <c r="EL102" s="135">
        <v>9</v>
      </c>
      <c r="EM102" s="229">
        <v>93</v>
      </c>
      <c r="EN102" s="652"/>
      <c r="EO102" s="531"/>
      <c r="EP102" s="531"/>
      <c r="EQ102" s="531"/>
      <c r="ER102" s="531"/>
      <c r="ES102" s="531"/>
      <c r="ET102" s="531"/>
      <c r="EU102" s="127"/>
    </row>
    <row r="103" spans="1:151" ht="12.75">
      <c r="A103" s="415">
        <v>43934</v>
      </c>
      <c r="B103" s="222">
        <f t="shared" ref="B103:D103" si="99">SUM(F103,I103,L103,O103,R103,U103,X103,AA103,AD103,AG103,AJ103,AM103,AP103,AS103,AV103,AY103,BB103,BE103,BH103,BK103,BN103,BQ103,BT103,BW103,BZ103,CC103,CF103,CI103,CL103,CO103,CR103,CU103,CX103,DA103,DD103,DG103,DJ103,DP103,DS103,DM103,DV103,DY103,EB103,EE103,EH103,EK103,)</f>
        <v>671278</v>
      </c>
      <c r="C103" s="223">
        <f t="shared" si="99"/>
        <v>26801</v>
      </c>
      <c r="D103" s="224">
        <f t="shared" si="99"/>
        <v>58347</v>
      </c>
      <c r="E103" s="406">
        <f t="shared" si="2"/>
        <v>586130</v>
      </c>
      <c r="F103" s="226">
        <v>23</v>
      </c>
      <c r="G103" s="135">
        <v>2</v>
      </c>
      <c r="H103" s="342">
        <v>0</v>
      </c>
      <c r="I103" s="226">
        <v>2208</v>
      </c>
      <c r="J103" s="135">
        <v>97</v>
      </c>
      <c r="K103" s="229">
        <v>515</v>
      </c>
      <c r="L103" s="233">
        <v>4</v>
      </c>
      <c r="M103" s="341">
        <v>0</v>
      </c>
      <c r="N103" s="342">
        <v>0</v>
      </c>
      <c r="O103" s="226">
        <v>47</v>
      </c>
      <c r="P103" s="135">
        <v>8</v>
      </c>
      <c r="Q103" s="229">
        <v>6</v>
      </c>
      <c r="R103" s="226">
        <v>71</v>
      </c>
      <c r="S103" s="135">
        <v>4</v>
      </c>
      <c r="T103" s="229">
        <v>11</v>
      </c>
      <c r="U103" s="226">
        <v>18</v>
      </c>
      <c r="V103" s="135">
        <v>2</v>
      </c>
      <c r="W103" s="342">
        <v>0</v>
      </c>
      <c r="X103" s="226">
        <v>330</v>
      </c>
      <c r="Y103" s="135">
        <v>27</v>
      </c>
      <c r="Z103" s="235">
        <v>2</v>
      </c>
      <c r="AA103" s="226">
        <v>22720</v>
      </c>
      <c r="AB103" s="135">
        <v>1270</v>
      </c>
      <c r="AC103" s="229">
        <v>173</v>
      </c>
      <c r="AD103" s="226">
        <v>25543</v>
      </c>
      <c r="AE103" s="135">
        <v>735</v>
      </c>
      <c r="AF103" s="229">
        <v>7422</v>
      </c>
      <c r="AG103" s="226">
        <v>7525</v>
      </c>
      <c r="AH103" s="135">
        <v>82</v>
      </c>
      <c r="AI103" s="229">
        <v>2367</v>
      </c>
      <c r="AJ103" s="226">
        <v>2776</v>
      </c>
      <c r="AK103" s="135">
        <v>109</v>
      </c>
      <c r="AL103" s="229">
        <v>270</v>
      </c>
      <c r="AM103" s="226">
        <v>612</v>
      </c>
      <c r="AN103" s="135">
        <v>3</v>
      </c>
      <c r="AO103" s="229">
        <v>62</v>
      </c>
      <c r="AP103" s="226">
        <v>726</v>
      </c>
      <c r="AQ103" s="135">
        <v>21</v>
      </c>
      <c r="AR103" s="229">
        <v>121</v>
      </c>
      <c r="AS103" s="233">
        <v>1</v>
      </c>
      <c r="AT103" s="407">
        <v>1</v>
      </c>
      <c r="AU103" s="342">
        <v>0</v>
      </c>
      <c r="AV103" s="226">
        <v>16</v>
      </c>
      <c r="AW103" s="341">
        <v>0</v>
      </c>
      <c r="AX103" s="229">
        <v>8</v>
      </c>
      <c r="AY103" s="226">
        <v>137</v>
      </c>
      <c r="AZ103" s="135">
        <v>6</v>
      </c>
      <c r="BA103" s="229">
        <v>22</v>
      </c>
      <c r="BB103" s="226">
        <v>7529</v>
      </c>
      <c r="BC103" s="135">
        <v>355</v>
      </c>
      <c r="BD103" s="229">
        <v>597</v>
      </c>
      <c r="BE103" s="226">
        <v>577842</v>
      </c>
      <c r="BF103" s="135">
        <v>23232</v>
      </c>
      <c r="BG103" s="229">
        <v>42422</v>
      </c>
      <c r="BH103" s="226">
        <v>14</v>
      </c>
      <c r="BI103" s="341">
        <v>0</v>
      </c>
      <c r="BJ103" s="342">
        <v>0</v>
      </c>
      <c r="BK103" s="233">
        <v>5</v>
      </c>
      <c r="BL103" s="341">
        <v>0</v>
      </c>
      <c r="BM103" s="235">
        <v>2</v>
      </c>
      <c r="BN103" s="226">
        <v>143</v>
      </c>
      <c r="BO103" s="407">
        <v>8</v>
      </c>
      <c r="BP103" s="235">
        <v>36</v>
      </c>
      <c r="BQ103" s="226">
        <v>156</v>
      </c>
      <c r="BR103" s="135">
        <v>5</v>
      </c>
      <c r="BS103" s="229">
        <v>19</v>
      </c>
      <c r="BT103" s="226">
        <v>45</v>
      </c>
      <c r="BU103" s="135">
        <v>6</v>
      </c>
      <c r="BV103" s="235">
        <v>8</v>
      </c>
      <c r="BW103" s="226">
        <v>86</v>
      </c>
      <c r="BX103" s="341">
        <v>0</v>
      </c>
      <c r="BY103" s="235">
        <v>6</v>
      </c>
      <c r="BZ103" s="226">
        <v>40</v>
      </c>
      <c r="CA103" s="135">
        <v>3</v>
      </c>
      <c r="CB103" s="342">
        <v>0</v>
      </c>
      <c r="CC103" s="226">
        <v>397</v>
      </c>
      <c r="CD103" s="135">
        <v>25</v>
      </c>
      <c r="CE103" s="229">
        <v>7</v>
      </c>
      <c r="CF103" s="233">
        <v>1</v>
      </c>
      <c r="CG103" s="341">
        <v>0</v>
      </c>
      <c r="CH103" s="342">
        <v>0</v>
      </c>
      <c r="CI103" s="226">
        <v>72</v>
      </c>
      <c r="CJ103" s="135">
        <v>4</v>
      </c>
      <c r="CK103" s="229">
        <v>16</v>
      </c>
      <c r="CL103" s="226">
        <v>155</v>
      </c>
      <c r="CM103" s="135">
        <v>6</v>
      </c>
      <c r="CN103" s="235">
        <v>35</v>
      </c>
      <c r="CO103" s="226">
        <v>4661</v>
      </c>
      <c r="CP103" s="135">
        <v>296</v>
      </c>
      <c r="CQ103" s="229">
        <v>1843</v>
      </c>
      <c r="CR103" s="226">
        <v>9</v>
      </c>
      <c r="CS103" s="407">
        <v>1</v>
      </c>
      <c r="CT103" s="229">
        <v>4</v>
      </c>
      <c r="CU103" s="226">
        <v>3400</v>
      </c>
      <c r="CV103" s="135">
        <v>87</v>
      </c>
      <c r="CW103" s="229">
        <v>29</v>
      </c>
      <c r="CX103" s="226">
        <v>147</v>
      </c>
      <c r="CY103" s="135">
        <v>6</v>
      </c>
      <c r="CZ103" s="229">
        <v>22</v>
      </c>
      <c r="DA103" s="226">
        <v>9784</v>
      </c>
      <c r="DB103" s="135">
        <v>193</v>
      </c>
      <c r="DC103" s="229">
        <v>1798</v>
      </c>
      <c r="DD103" s="233">
        <v>3</v>
      </c>
      <c r="DE103" s="341">
        <v>0</v>
      </c>
      <c r="DF103" s="342">
        <v>0</v>
      </c>
      <c r="DG103" s="226">
        <v>3167</v>
      </c>
      <c r="DH103" s="135">
        <v>177</v>
      </c>
      <c r="DI103" s="229">
        <v>152</v>
      </c>
      <c r="DJ103" s="233">
        <v>6</v>
      </c>
      <c r="DK103" s="341">
        <v>0</v>
      </c>
      <c r="DL103" s="235">
        <v>2</v>
      </c>
      <c r="DM103" s="226">
        <v>12</v>
      </c>
      <c r="DN103" s="341">
        <v>0</v>
      </c>
      <c r="DO103" s="342">
        <v>0</v>
      </c>
      <c r="DP103" s="226">
        <v>15</v>
      </c>
      <c r="DQ103" s="341">
        <v>0</v>
      </c>
      <c r="DR103" s="229">
        <v>4</v>
      </c>
      <c r="DS103" s="226">
        <v>32</v>
      </c>
      <c r="DT103" s="407">
        <v>4</v>
      </c>
      <c r="DU103" s="235">
        <v>2</v>
      </c>
      <c r="DV103" s="226">
        <v>1</v>
      </c>
      <c r="DW103" s="341">
        <v>0</v>
      </c>
      <c r="DX103" s="317">
        <v>0</v>
      </c>
      <c r="DY103" s="226">
        <v>12</v>
      </c>
      <c r="DZ103" s="341">
        <v>0</v>
      </c>
      <c r="EA103" s="235">
        <v>1</v>
      </c>
      <c r="EB103" s="233">
        <v>10</v>
      </c>
      <c r="EC103" s="407">
        <v>1</v>
      </c>
      <c r="ED103" s="229">
        <v>6</v>
      </c>
      <c r="EE103" s="226">
        <v>113</v>
      </c>
      <c r="EF103" s="407">
        <v>8</v>
      </c>
      <c r="EG103" s="229">
        <v>16</v>
      </c>
      <c r="EH103" s="226">
        <v>483</v>
      </c>
      <c r="EI103" s="135">
        <v>8</v>
      </c>
      <c r="EJ103" s="229">
        <v>231</v>
      </c>
      <c r="EK103" s="226">
        <v>181</v>
      </c>
      <c r="EL103" s="135">
        <v>9</v>
      </c>
      <c r="EM103" s="229">
        <v>110</v>
      </c>
      <c r="EN103" s="652"/>
      <c r="EO103" s="531"/>
      <c r="EP103" s="531"/>
      <c r="EQ103" s="531"/>
      <c r="ER103" s="531"/>
      <c r="ES103" s="531"/>
      <c r="ET103" s="531"/>
      <c r="EU103" s="127"/>
    </row>
    <row r="104" spans="1:151" ht="12.75">
      <c r="A104" s="415">
        <v>43935</v>
      </c>
      <c r="B104" s="222">
        <f t="shared" ref="B104:D104" si="100">SUM(F104,I104,L104,O104,R104,U104,X104,AA104,AD104,AG104,AJ104,AM104,AP104,AS104,AV104,AY104,BB104,BE104,BH104,BK104,BN104,BQ104,BT104,BW104,BZ104,CC104,CF104,CI104,CL104,CO104,CR104,CU104,CX104,DA104,DD104,DG104,DJ104,DP104,DS104,DM104,DV104,DY104,EB104,EE104,EH104,EK104,)</f>
        <v>701782</v>
      </c>
      <c r="C104" s="223">
        <f t="shared" si="100"/>
        <v>29515</v>
      </c>
      <c r="D104" s="224">
        <f t="shared" si="100"/>
        <v>67800</v>
      </c>
      <c r="E104" s="406">
        <f t="shared" si="2"/>
        <v>604467</v>
      </c>
      <c r="F104" s="226">
        <v>23</v>
      </c>
      <c r="G104" s="135">
        <v>2</v>
      </c>
      <c r="H104" s="229">
        <v>3</v>
      </c>
      <c r="I104" s="226">
        <v>2277</v>
      </c>
      <c r="J104" s="135">
        <v>102</v>
      </c>
      <c r="K104" s="229">
        <v>559</v>
      </c>
      <c r="L104" s="233">
        <v>4</v>
      </c>
      <c r="M104" s="341">
        <v>0</v>
      </c>
      <c r="N104" s="342">
        <v>0</v>
      </c>
      <c r="O104" s="226">
        <v>49</v>
      </c>
      <c r="P104" s="135">
        <v>8</v>
      </c>
      <c r="Q104" s="229">
        <v>6</v>
      </c>
      <c r="R104" s="226">
        <v>72</v>
      </c>
      <c r="S104" s="135">
        <v>4</v>
      </c>
      <c r="T104" s="229">
        <v>13</v>
      </c>
      <c r="U104" s="226">
        <v>18</v>
      </c>
      <c r="V104" s="135">
        <v>2</v>
      </c>
      <c r="W104" s="342">
        <v>0</v>
      </c>
      <c r="X104" s="226">
        <v>354</v>
      </c>
      <c r="Y104" s="135">
        <v>28</v>
      </c>
      <c r="Z104" s="229">
        <v>6</v>
      </c>
      <c r="AA104" s="226">
        <v>24920</v>
      </c>
      <c r="AB104" s="135">
        <v>1378</v>
      </c>
      <c r="AC104" s="229">
        <v>3046</v>
      </c>
      <c r="AD104" s="226">
        <v>26897</v>
      </c>
      <c r="AE104" s="135">
        <v>898</v>
      </c>
      <c r="AF104" s="229">
        <v>8173</v>
      </c>
      <c r="AG104" s="226">
        <v>7917</v>
      </c>
      <c r="AH104" s="135">
        <v>92</v>
      </c>
      <c r="AI104" s="229">
        <v>2646</v>
      </c>
      <c r="AJ104" s="226">
        <v>2852</v>
      </c>
      <c r="AK104" s="135">
        <v>112</v>
      </c>
      <c r="AL104" s="229">
        <v>319</v>
      </c>
      <c r="AM104" s="226">
        <v>618</v>
      </c>
      <c r="AN104" s="135">
        <v>3</v>
      </c>
      <c r="AO104" s="229">
        <v>66</v>
      </c>
      <c r="AP104" s="226">
        <v>766</v>
      </c>
      <c r="AQ104" s="135">
        <v>21</v>
      </c>
      <c r="AR104" s="229">
        <v>132</v>
      </c>
      <c r="AS104" s="233">
        <v>1</v>
      </c>
      <c r="AT104" s="407">
        <v>1</v>
      </c>
      <c r="AU104" s="342">
        <v>0</v>
      </c>
      <c r="AV104" s="226">
        <v>16</v>
      </c>
      <c r="AW104" s="341">
        <v>0</v>
      </c>
      <c r="AX104" s="229">
        <v>8</v>
      </c>
      <c r="AY104" s="226">
        <v>149</v>
      </c>
      <c r="AZ104" s="135">
        <v>6</v>
      </c>
      <c r="BA104" s="229">
        <v>25</v>
      </c>
      <c r="BB104" s="226">
        <v>7603</v>
      </c>
      <c r="BC104" s="135">
        <v>355</v>
      </c>
      <c r="BD104" s="229">
        <v>696</v>
      </c>
      <c r="BE104" s="226">
        <v>602989</v>
      </c>
      <c r="BF104" s="135">
        <v>25575</v>
      </c>
      <c r="BG104" s="229">
        <v>46515</v>
      </c>
      <c r="BH104" s="226">
        <v>14</v>
      </c>
      <c r="BI104" s="341">
        <v>0</v>
      </c>
      <c r="BJ104" s="342">
        <v>0</v>
      </c>
      <c r="BK104" s="233">
        <v>5</v>
      </c>
      <c r="BL104" s="341">
        <v>0</v>
      </c>
      <c r="BM104" s="235">
        <v>2</v>
      </c>
      <c r="BN104" s="226">
        <v>143</v>
      </c>
      <c r="BO104" s="407">
        <v>8</v>
      </c>
      <c r="BP104" s="235">
        <v>36</v>
      </c>
      <c r="BQ104" s="226">
        <v>167</v>
      </c>
      <c r="BR104" s="135">
        <v>5</v>
      </c>
      <c r="BS104" s="229">
        <v>19</v>
      </c>
      <c r="BT104" s="226">
        <v>47</v>
      </c>
      <c r="BU104" s="135">
        <v>6</v>
      </c>
      <c r="BV104" s="235">
        <v>8</v>
      </c>
      <c r="BW104" s="226">
        <v>86</v>
      </c>
      <c r="BX104" s="341">
        <v>0</v>
      </c>
      <c r="BY104" s="235">
        <v>6</v>
      </c>
      <c r="BZ104" s="226">
        <v>40</v>
      </c>
      <c r="CA104" s="135">
        <v>3</v>
      </c>
      <c r="CB104" s="342">
        <v>0</v>
      </c>
      <c r="CC104" s="226">
        <v>407</v>
      </c>
      <c r="CD104" s="135">
        <v>26</v>
      </c>
      <c r="CE104" s="229">
        <v>7</v>
      </c>
      <c r="CF104" s="233">
        <v>1</v>
      </c>
      <c r="CG104" s="341">
        <v>0</v>
      </c>
      <c r="CH104" s="342">
        <v>0</v>
      </c>
      <c r="CI104" s="226">
        <v>73</v>
      </c>
      <c r="CJ104" s="135">
        <v>4</v>
      </c>
      <c r="CK104" s="229">
        <v>19</v>
      </c>
      <c r="CL104" s="226">
        <v>155</v>
      </c>
      <c r="CM104" s="135">
        <v>6</v>
      </c>
      <c r="CN104" s="235">
        <v>35</v>
      </c>
      <c r="CO104" s="226">
        <v>5014</v>
      </c>
      <c r="CP104" s="135">
        <v>332</v>
      </c>
      <c r="CQ104" s="229">
        <v>1964</v>
      </c>
      <c r="CR104" s="226">
        <v>9</v>
      </c>
      <c r="CS104" s="407">
        <v>1</v>
      </c>
      <c r="CT104" s="229">
        <v>4</v>
      </c>
      <c r="CU104" s="226">
        <v>3472</v>
      </c>
      <c r="CV104" s="135">
        <v>87</v>
      </c>
      <c r="CW104" s="229">
        <v>61</v>
      </c>
      <c r="CX104" s="226">
        <v>159</v>
      </c>
      <c r="CY104" s="135">
        <v>7</v>
      </c>
      <c r="CZ104" s="229">
        <v>22</v>
      </c>
      <c r="DA104" s="226">
        <v>10303</v>
      </c>
      <c r="DB104" s="135">
        <v>230</v>
      </c>
      <c r="DC104" s="229">
        <v>2869</v>
      </c>
      <c r="DD104" s="233">
        <v>3</v>
      </c>
      <c r="DE104" s="341">
        <v>0</v>
      </c>
      <c r="DF104" s="342">
        <v>0</v>
      </c>
      <c r="DG104" s="226">
        <v>3286</v>
      </c>
      <c r="DH104" s="135">
        <v>183</v>
      </c>
      <c r="DI104" s="229">
        <v>162</v>
      </c>
      <c r="DJ104" s="233">
        <v>6</v>
      </c>
      <c r="DK104" s="341">
        <v>0</v>
      </c>
      <c r="DL104" s="235">
        <v>2</v>
      </c>
      <c r="DM104" s="226">
        <v>12</v>
      </c>
      <c r="DN104" s="341">
        <v>0</v>
      </c>
      <c r="DO104" s="342">
        <v>0</v>
      </c>
      <c r="DP104" s="226">
        <v>15</v>
      </c>
      <c r="DQ104" s="341">
        <v>0</v>
      </c>
      <c r="DR104" s="229">
        <v>4</v>
      </c>
      <c r="DS104" s="226">
        <v>32</v>
      </c>
      <c r="DT104" s="407">
        <v>4</v>
      </c>
      <c r="DU104" s="235">
        <v>2</v>
      </c>
      <c r="DV104" s="226">
        <v>1</v>
      </c>
      <c r="DW104" s="341">
        <v>0</v>
      </c>
      <c r="DX104" s="317">
        <v>0</v>
      </c>
      <c r="DY104" s="226">
        <v>12</v>
      </c>
      <c r="DZ104" s="341">
        <v>0</v>
      </c>
      <c r="EA104" s="235">
        <v>1</v>
      </c>
      <c r="EB104" s="233">
        <v>10</v>
      </c>
      <c r="EC104" s="407">
        <v>1</v>
      </c>
      <c r="ED104" s="229">
        <v>6</v>
      </c>
      <c r="EE104" s="226">
        <v>113</v>
      </c>
      <c r="EF104" s="407">
        <v>8</v>
      </c>
      <c r="EG104" s="229">
        <v>17</v>
      </c>
      <c r="EH104" s="226">
        <v>483</v>
      </c>
      <c r="EI104" s="135">
        <v>8</v>
      </c>
      <c r="EJ104" s="229">
        <v>231</v>
      </c>
      <c r="EK104" s="226">
        <v>189</v>
      </c>
      <c r="EL104" s="135">
        <v>9</v>
      </c>
      <c r="EM104" s="229">
        <v>110</v>
      </c>
      <c r="EN104" s="652"/>
      <c r="EO104" s="531"/>
      <c r="EP104" s="531"/>
      <c r="EQ104" s="531"/>
      <c r="ER104" s="531"/>
      <c r="ES104" s="531"/>
      <c r="ET104" s="531"/>
      <c r="EU104" s="127"/>
    </row>
    <row r="105" spans="1:151" ht="12.75">
      <c r="A105" s="415">
        <v>43936</v>
      </c>
      <c r="B105" s="222">
        <f t="shared" ref="B105:D105" si="101">SUM(F105,I105,L105,O105,R105,U105,X105,AA105,AD105,AG105,AJ105,AM105,AP105,AS105,AV105,AY105,BB105,BE105,BH105,BK105,BN105,BQ105,BT105,BW105,BZ105,CC105,CF105,CI105,CL105,CO105,CR105,CU105,CX105,DA105,DD105,DG105,DJ105,DP105,DS105,DM105,DV105,DY105,EB105,EE105,EH105,EK105,)</f>
        <v>742940</v>
      </c>
      <c r="C105" s="223">
        <f t="shared" si="101"/>
        <v>32915</v>
      </c>
      <c r="D105" s="224">
        <f t="shared" si="101"/>
        <v>86102</v>
      </c>
      <c r="E105" s="406">
        <f t="shared" si="2"/>
        <v>623923</v>
      </c>
      <c r="F105" s="226">
        <v>23</v>
      </c>
      <c r="G105" s="135">
        <v>2</v>
      </c>
      <c r="H105" s="229">
        <v>3</v>
      </c>
      <c r="I105" s="226">
        <v>2443</v>
      </c>
      <c r="J105" s="135">
        <v>111</v>
      </c>
      <c r="K105" s="229">
        <v>596</v>
      </c>
      <c r="L105" s="233">
        <v>4</v>
      </c>
      <c r="M105" s="341">
        <v>0</v>
      </c>
      <c r="N105" s="342">
        <v>0</v>
      </c>
      <c r="O105" s="226">
        <v>49</v>
      </c>
      <c r="P105" s="135">
        <v>8</v>
      </c>
      <c r="Q105" s="229">
        <v>6</v>
      </c>
      <c r="R105" s="226">
        <v>73</v>
      </c>
      <c r="S105" s="135">
        <v>5</v>
      </c>
      <c r="T105" s="229">
        <v>15</v>
      </c>
      <c r="U105" s="226">
        <v>18</v>
      </c>
      <c r="V105" s="135">
        <v>2</v>
      </c>
      <c r="W105" s="342">
        <v>0</v>
      </c>
      <c r="X105" s="226">
        <v>397</v>
      </c>
      <c r="Y105" s="135">
        <v>28</v>
      </c>
      <c r="Z105" s="229">
        <v>7</v>
      </c>
      <c r="AA105" s="226">
        <v>28320</v>
      </c>
      <c r="AB105" s="135">
        <v>1736</v>
      </c>
      <c r="AC105" s="229">
        <v>14026</v>
      </c>
      <c r="AD105" s="226">
        <v>28205</v>
      </c>
      <c r="AE105" s="135">
        <v>1006</v>
      </c>
      <c r="AF105" s="229">
        <v>8939</v>
      </c>
      <c r="AG105" s="226">
        <v>8273</v>
      </c>
      <c r="AH105" s="135">
        <v>94</v>
      </c>
      <c r="AI105" s="229">
        <v>2937</v>
      </c>
      <c r="AJ105" s="226">
        <v>2979</v>
      </c>
      <c r="AK105" s="135">
        <v>127</v>
      </c>
      <c r="AL105" s="229">
        <v>354</v>
      </c>
      <c r="AM105" s="226">
        <v>626</v>
      </c>
      <c r="AN105" s="135">
        <v>4</v>
      </c>
      <c r="AO105" s="229">
        <v>67</v>
      </c>
      <c r="AP105" s="226">
        <v>814</v>
      </c>
      <c r="AQ105" s="135">
        <v>24</v>
      </c>
      <c r="AR105" s="229">
        <v>151</v>
      </c>
      <c r="AS105" s="233">
        <v>1</v>
      </c>
      <c r="AT105" s="407">
        <v>1</v>
      </c>
      <c r="AU105" s="342">
        <v>0</v>
      </c>
      <c r="AV105" s="226">
        <v>16</v>
      </c>
      <c r="AW105" s="341">
        <v>0</v>
      </c>
      <c r="AX105" s="229">
        <v>8</v>
      </c>
      <c r="AY105" s="226">
        <v>159</v>
      </c>
      <c r="AZ105" s="135">
        <v>6</v>
      </c>
      <c r="BA105" s="229">
        <v>30</v>
      </c>
      <c r="BB105" s="226">
        <v>7858</v>
      </c>
      <c r="BC105" s="135">
        <v>388</v>
      </c>
      <c r="BD105" s="229">
        <v>780</v>
      </c>
      <c r="BE105" s="226">
        <v>636350</v>
      </c>
      <c r="BF105" s="135">
        <v>28326</v>
      </c>
      <c r="BG105" s="229">
        <v>52096</v>
      </c>
      <c r="BH105" s="226">
        <v>14</v>
      </c>
      <c r="BI105" s="341">
        <v>0</v>
      </c>
      <c r="BJ105" s="342">
        <v>0</v>
      </c>
      <c r="BK105" s="233">
        <v>5</v>
      </c>
      <c r="BL105" s="341">
        <v>0</v>
      </c>
      <c r="BM105" s="235">
        <v>2</v>
      </c>
      <c r="BN105" s="226">
        <v>143</v>
      </c>
      <c r="BO105" s="407">
        <v>8</v>
      </c>
      <c r="BP105" s="235">
        <v>36</v>
      </c>
      <c r="BQ105" s="226">
        <v>180</v>
      </c>
      <c r="BR105" s="135">
        <v>5</v>
      </c>
      <c r="BS105" s="229">
        <v>19</v>
      </c>
      <c r="BT105" s="226">
        <v>55</v>
      </c>
      <c r="BU105" s="135">
        <v>6</v>
      </c>
      <c r="BV105" s="235">
        <v>8</v>
      </c>
      <c r="BW105" s="226">
        <v>86</v>
      </c>
      <c r="BX105" s="341">
        <v>0</v>
      </c>
      <c r="BY105" s="235">
        <v>6</v>
      </c>
      <c r="BZ105" s="226">
        <v>41</v>
      </c>
      <c r="CA105" s="135">
        <v>3</v>
      </c>
      <c r="CB105" s="342">
        <v>0</v>
      </c>
      <c r="CC105" s="226">
        <v>419</v>
      </c>
      <c r="CD105" s="135">
        <v>31</v>
      </c>
      <c r="CE105" s="229">
        <v>9</v>
      </c>
      <c r="CF105" s="233">
        <v>1</v>
      </c>
      <c r="CG105" s="341">
        <v>0</v>
      </c>
      <c r="CH105" s="342">
        <v>0</v>
      </c>
      <c r="CI105" s="226">
        <v>105</v>
      </c>
      <c r="CJ105" s="135">
        <v>5</v>
      </c>
      <c r="CK105" s="229">
        <v>21</v>
      </c>
      <c r="CL105" s="226">
        <v>155</v>
      </c>
      <c r="CM105" s="135">
        <v>6</v>
      </c>
      <c r="CN105" s="235">
        <v>35</v>
      </c>
      <c r="CO105" s="226">
        <v>5399</v>
      </c>
      <c r="CP105" s="135">
        <v>406</v>
      </c>
      <c r="CQ105" s="229">
        <v>2125</v>
      </c>
      <c r="CR105" s="226">
        <v>9</v>
      </c>
      <c r="CS105" s="407">
        <v>1</v>
      </c>
      <c r="CT105" s="229">
        <v>4</v>
      </c>
      <c r="CU105" s="226">
        <v>3574</v>
      </c>
      <c r="CV105" s="135">
        <v>95</v>
      </c>
      <c r="CW105" s="229">
        <v>72</v>
      </c>
      <c r="CX105" s="226">
        <v>161</v>
      </c>
      <c r="CY105" s="135">
        <v>8</v>
      </c>
      <c r="CZ105" s="229">
        <v>22</v>
      </c>
      <c r="DA105" s="226">
        <v>11475</v>
      </c>
      <c r="DB105" s="135">
        <v>254</v>
      </c>
      <c r="DC105" s="229">
        <v>3108</v>
      </c>
      <c r="DD105" s="233">
        <v>3</v>
      </c>
      <c r="DE105" s="341">
        <v>0</v>
      </c>
      <c r="DF105" s="342">
        <v>0</v>
      </c>
      <c r="DG105" s="226">
        <v>3614</v>
      </c>
      <c r="DH105" s="135">
        <v>189</v>
      </c>
      <c r="DI105" s="229">
        <v>208</v>
      </c>
      <c r="DJ105" s="233">
        <v>6</v>
      </c>
      <c r="DK105" s="341">
        <v>0</v>
      </c>
      <c r="DL105" s="235">
        <v>2</v>
      </c>
      <c r="DM105" s="226">
        <v>14</v>
      </c>
      <c r="DN105" s="341">
        <v>0</v>
      </c>
      <c r="DO105" s="342">
        <v>0</v>
      </c>
      <c r="DP105" s="226">
        <v>15</v>
      </c>
      <c r="DQ105" s="341">
        <v>0</v>
      </c>
      <c r="DR105" s="229">
        <v>11</v>
      </c>
      <c r="DS105" s="226">
        <v>32</v>
      </c>
      <c r="DT105" s="407">
        <v>4</v>
      </c>
      <c r="DU105" s="235">
        <v>2</v>
      </c>
      <c r="DV105" s="226">
        <v>1</v>
      </c>
      <c r="DW105" s="341">
        <v>0</v>
      </c>
      <c r="DX105" s="317">
        <v>0</v>
      </c>
      <c r="DY105" s="226">
        <v>12</v>
      </c>
      <c r="DZ105" s="341">
        <v>0</v>
      </c>
      <c r="EA105" s="235">
        <v>1</v>
      </c>
      <c r="EB105" s="233">
        <v>10</v>
      </c>
      <c r="EC105" s="407">
        <v>1</v>
      </c>
      <c r="ED105" s="229">
        <v>6</v>
      </c>
      <c r="EE105" s="226">
        <v>114</v>
      </c>
      <c r="EF105" s="407">
        <v>8</v>
      </c>
      <c r="EG105" s="229">
        <v>19</v>
      </c>
      <c r="EH105" s="226">
        <v>492</v>
      </c>
      <c r="EI105" s="135">
        <v>8</v>
      </c>
      <c r="EJ105" s="229">
        <v>260</v>
      </c>
      <c r="EK105" s="226">
        <v>197</v>
      </c>
      <c r="EL105" s="135">
        <v>9</v>
      </c>
      <c r="EM105" s="229">
        <v>111</v>
      </c>
      <c r="EN105" s="652"/>
      <c r="EO105" s="531"/>
      <c r="EP105" s="531"/>
      <c r="EQ105" s="531"/>
      <c r="ER105" s="531"/>
      <c r="ES105" s="531"/>
      <c r="ET105" s="531"/>
      <c r="EU105" s="127"/>
    </row>
    <row r="106" spans="1:151" ht="12.75">
      <c r="A106" s="415">
        <v>43937</v>
      </c>
      <c r="B106" s="222">
        <f t="shared" ref="B106:D106" si="102">SUM(F106,I106,L106,O106,R106,U106,X106,AA106,AD106,AG106,AJ106,AM106,AP106,AS106,AV106,AY106,BB106,BE106,BH106,BK106,BN106,BQ106,BT106,BW106,BZ106,CC106,CF106,CI106,CL106,CO106,CR106,CU106,CX106,DA106,DD106,DG106,DJ106,DP106,DS106,DM106,DV106,DY106,EB106,EE106,EH106,EK106,)</f>
        <v>781618</v>
      </c>
      <c r="C106" s="223">
        <f t="shared" si="102"/>
        <v>38018</v>
      </c>
      <c r="D106" s="224">
        <f t="shared" si="102"/>
        <v>92769</v>
      </c>
      <c r="E106" s="406">
        <f t="shared" si="2"/>
        <v>650831</v>
      </c>
      <c r="F106" s="226">
        <v>23</v>
      </c>
      <c r="G106" s="135">
        <v>2</v>
      </c>
      <c r="H106" s="229">
        <v>3</v>
      </c>
      <c r="I106" s="226">
        <v>2571</v>
      </c>
      <c r="J106" s="135">
        <v>115</v>
      </c>
      <c r="K106" s="229">
        <v>631</v>
      </c>
      <c r="L106" s="233">
        <v>4</v>
      </c>
      <c r="M106" s="341">
        <v>0</v>
      </c>
      <c r="N106" s="342">
        <v>0</v>
      </c>
      <c r="O106" s="226">
        <v>53</v>
      </c>
      <c r="P106" s="135">
        <v>8</v>
      </c>
      <c r="Q106" s="229">
        <v>6</v>
      </c>
      <c r="R106" s="226">
        <v>75</v>
      </c>
      <c r="S106" s="135">
        <v>5</v>
      </c>
      <c r="T106" s="229">
        <v>15</v>
      </c>
      <c r="U106" s="226">
        <v>18</v>
      </c>
      <c r="V106" s="135">
        <v>2</v>
      </c>
      <c r="W106" s="342">
        <v>0</v>
      </c>
      <c r="X106" s="226">
        <v>441</v>
      </c>
      <c r="Y106" s="135">
        <v>29</v>
      </c>
      <c r="Z106" s="229">
        <v>14</v>
      </c>
      <c r="AA106" s="226">
        <v>30425</v>
      </c>
      <c r="AB106" s="135">
        <v>1924</v>
      </c>
      <c r="AC106" s="229">
        <v>14026</v>
      </c>
      <c r="AD106" s="226">
        <v>30777</v>
      </c>
      <c r="AE106" s="135">
        <v>1258</v>
      </c>
      <c r="AF106" s="229">
        <v>9698</v>
      </c>
      <c r="AG106" s="226">
        <v>8807</v>
      </c>
      <c r="AH106" s="135">
        <v>105</v>
      </c>
      <c r="AI106" s="229">
        <v>3299</v>
      </c>
      <c r="AJ106" s="226">
        <v>3105</v>
      </c>
      <c r="AK106" s="135">
        <v>131</v>
      </c>
      <c r="AL106" s="229">
        <v>452</v>
      </c>
      <c r="AM106" s="226">
        <v>642</v>
      </c>
      <c r="AN106" s="135">
        <v>4</v>
      </c>
      <c r="AO106" s="229">
        <v>67</v>
      </c>
      <c r="AP106" s="226">
        <v>862</v>
      </c>
      <c r="AQ106" s="135">
        <v>27</v>
      </c>
      <c r="AR106" s="229">
        <v>171</v>
      </c>
      <c r="AS106" s="233">
        <v>1</v>
      </c>
      <c r="AT106" s="407">
        <v>1</v>
      </c>
      <c r="AU106" s="342">
        <v>0</v>
      </c>
      <c r="AV106" s="226">
        <v>16</v>
      </c>
      <c r="AW106" s="341">
        <v>0</v>
      </c>
      <c r="AX106" s="229">
        <v>8</v>
      </c>
      <c r="AY106" s="226">
        <v>159</v>
      </c>
      <c r="AZ106" s="135">
        <v>6</v>
      </c>
      <c r="BA106" s="229">
        <v>33</v>
      </c>
      <c r="BB106" s="226">
        <v>8225</v>
      </c>
      <c r="BC106" s="135">
        <v>403</v>
      </c>
      <c r="BD106" s="229">
        <v>838</v>
      </c>
      <c r="BE106" s="226">
        <v>667225</v>
      </c>
      <c r="BF106" s="135">
        <v>32868</v>
      </c>
      <c r="BG106" s="229">
        <v>54378</v>
      </c>
      <c r="BH106" s="226">
        <v>14</v>
      </c>
      <c r="BI106" s="341">
        <v>0</v>
      </c>
      <c r="BJ106" s="342">
        <v>0</v>
      </c>
      <c r="BK106" s="233">
        <v>5</v>
      </c>
      <c r="BL106" s="341">
        <v>0</v>
      </c>
      <c r="BM106" s="235">
        <v>2</v>
      </c>
      <c r="BN106" s="226">
        <v>143</v>
      </c>
      <c r="BO106" s="407">
        <v>8</v>
      </c>
      <c r="BP106" s="235">
        <v>36</v>
      </c>
      <c r="BQ106" s="226">
        <v>196</v>
      </c>
      <c r="BR106" s="135">
        <v>5</v>
      </c>
      <c r="BS106" s="229">
        <v>19</v>
      </c>
      <c r="BT106" s="226">
        <v>55</v>
      </c>
      <c r="BU106" s="135">
        <v>6</v>
      </c>
      <c r="BV106" s="235">
        <v>8</v>
      </c>
      <c r="BW106" s="226">
        <v>86</v>
      </c>
      <c r="BX106" s="341">
        <v>0</v>
      </c>
      <c r="BY106" s="235">
        <v>6</v>
      </c>
      <c r="BZ106" s="226">
        <v>41</v>
      </c>
      <c r="CA106" s="135">
        <v>3</v>
      </c>
      <c r="CB106" s="342">
        <v>0</v>
      </c>
      <c r="CC106" s="226">
        <v>426</v>
      </c>
      <c r="CD106" s="135">
        <v>35</v>
      </c>
      <c r="CE106" s="229">
        <v>9</v>
      </c>
      <c r="CF106" s="233">
        <v>1</v>
      </c>
      <c r="CG106" s="341">
        <v>0</v>
      </c>
      <c r="CH106" s="342">
        <v>0</v>
      </c>
      <c r="CI106" s="226">
        <v>143</v>
      </c>
      <c r="CJ106" s="135">
        <v>5</v>
      </c>
      <c r="CK106" s="229">
        <v>21</v>
      </c>
      <c r="CL106" s="226">
        <v>155</v>
      </c>
      <c r="CM106" s="135">
        <v>6</v>
      </c>
      <c r="CN106" s="235">
        <v>35</v>
      </c>
      <c r="CO106" s="226">
        <v>5847</v>
      </c>
      <c r="CP106" s="135">
        <v>449</v>
      </c>
      <c r="CQ106" s="229">
        <v>2125</v>
      </c>
      <c r="CR106" s="226">
        <v>9</v>
      </c>
      <c r="CS106" s="407">
        <v>1</v>
      </c>
      <c r="CT106" s="229">
        <v>4</v>
      </c>
      <c r="CU106" s="226">
        <v>3751</v>
      </c>
      <c r="CV106" s="135">
        <v>103</v>
      </c>
      <c r="CW106" s="229">
        <v>75</v>
      </c>
      <c r="CX106" s="226">
        <v>174</v>
      </c>
      <c r="CY106" s="135">
        <v>8</v>
      </c>
      <c r="CZ106" s="229">
        <v>30</v>
      </c>
      <c r="DA106" s="226">
        <v>12491</v>
      </c>
      <c r="DB106" s="135">
        <v>274</v>
      </c>
      <c r="DC106" s="229">
        <v>6120</v>
      </c>
      <c r="DD106" s="233">
        <v>3</v>
      </c>
      <c r="DE106" s="341">
        <v>0</v>
      </c>
      <c r="DF106" s="342">
        <v>0</v>
      </c>
      <c r="DG106" s="226">
        <v>3755</v>
      </c>
      <c r="DH106" s="135">
        <v>196</v>
      </c>
      <c r="DI106" s="229">
        <v>215</v>
      </c>
      <c r="DJ106" s="233">
        <v>6</v>
      </c>
      <c r="DK106" s="341">
        <v>0</v>
      </c>
      <c r="DL106" s="235">
        <v>2</v>
      </c>
      <c r="DM106" s="226">
        <v>14</v>
      </c>
      <c r="DN106" s="341">
        <v>0</v>
      </c>
      <c r="DO106" s="342">
        <v>0</v>
      </c>
      <c r="DP106" s="226">
        <v>15</v>
      </c>
      <c r="DQ106" s="341">
        <v>0</v>
      </c>
      <c r="DR106" s="229">
        <v>11</v>
      </c>
      <c r="DS106" s="226">
        <v>32</v>
      </c>
      <c r="DT106" s="407">
        <v>4</v>
      </c>
      <c r="DU106" s="235">
        <v>2</v>
      </c>
      <c r="DV106" s="226">
        <v>1</v>
      </c>
      <c r="DW106" s="341">
        <v>0</v>
      </c>
      <c r="DX106" s="317">
        <v>0</v>
      </c>
      <c r="DY106" s="226">
        <v>12</v>
      </c>
      <c r="DZ106" s="341">
        <v>0</v>
      </c>
      <c r="EA106" s="235">
        <v>1</v>
      </c>
      <c r="EB106" s="233">
        <v>10</v>
      </c>
      <c r="EC106" s="407">
        <v>1</v>
      </c>
      <c r="ED106" s="229">
        <v>6</v>
      </c>
      <c r="EE106" s="226">
        <v>114</v>
      </c>
      <c r="EF106" s="407">
        <v>8</v>
      </c>
      <c r="EG106" s="229">
        <v>20</v>
      </c>
      <c r="EH106" s="226">
        <v>493</v>
      </c>
      <c r="EI106" s="135">
        <v>9</v>
      </c>
      <c r="EJ106" s="229">
        <v>272</v>
      </c>
      <c r="EK106" s="226">
        <v>197</v>
      </c>
      <c r="EL106" s="135">
        <v>9</v>
      </c>
      <c r="EM106" s="229">
        <v>111</v>
      </c>
      <c r="EN106" s="652"/>
      <c r="EO106" s="531"/>
      <c r="EP106" s="531"/>
      <c r="EQ106" s="531"/>
      <c r="ER106" s="531"/>
      <c r="ES106" s="531"/>
      <c r="ET106" s="531"/>
      <c r="EU106" s="127"/>
    </row>
    <row r="107" spans="1:151" ht="12.75">
      <c r="A107" s="415">
        <v>43938</v>
      </c>
      <c r="B107" s="222">
        <f t="shared" ref="B107:D107" si="103">SUM(F107,I107,L107,O107,R107,U107,X107,AA107,AD107,AG107,AJ107,AM107,AP107,AS107,AV107,AY107,BB107,BE107,BH107,BK107,BN107,BQ107,BT107,BW107,BZ107,CC107,CF107,CI107,CL107,CO107,CR107,CU107,CX107,DA107,DD107,DG107,DJ107,DP107,DS107,DM107,DV107,DY107,EB107,EE107,EH107,EK107,)</f>
        <v>822536</v>
      </c>
      <c r="C107" s="223">
        <f t="shared" si="103"/>
        <v>42386</v>
      </c>
      <c r="D107" s="224">
        <f t="shared" si="103"/>
        <v>98334</v>
      </c>
      <c r="E107" s="406">
        <f t="shared" si="2"/>
        <v>681816</v>
      </c>
      <c r="F107" s="226">
        <v>23</v>
      </c>
      <c r="G107" s="135">
        <v>3</v>
      </c>
      <c r="H107" s="229">
        <v>3</v>
      </c>
      <c r="I107" s="226">
        <v>2669</v>
      </c>
      <c r="J107" s="135">
        <v>123</v>
      </c>
      <c r="K107" s="229">
        <v>666</v>
      </c>
      <c r="L107" s="233">
        <v>4</v>
      </c>
      <c r="M107" s="341">
        <v>0</v>
      </c>
      <c r="N107" s="342">
        <v>0</v>
      </c>
      <c r="O107" s="226">
        <v>54</v>
      </c>
      <c r="P107" s="135">
        <v>9</v>
      </c>
      <c r="Q107" s="229">
        <v>6</v>
      </c>
      <c r="R107" s="226">
        <v>75</v>
      </c>
      <c r="S107" s="135">
        <v>5</v>
      </c>
      <c r="T107" s="229">
        <v>15</v>
      </c>
      <c r="U107" s="226">
        <v>18</v>
      </c>
      <c r="V107" s="135">
        <v>2</v>
      </c>
      <c r="W107" s="342">
        <v>0</v>
      </c>
      <c r="X107" s="226">
        <v>465</v>
      </c>
      <c r="Y107" s="135">
        <v>31</v>
      </c>
      <c r="Z107" s="229">
        <v>26</v>
      </c>
      <c r="AA107" s="226">
        <v>33682</v>
      </c>
      <c r="AB107" s="135">
        <v>2141</v>
      </c>
      <c r="AC107" s="229">
        <v>14026</v>
      </c>
      <c r="AD107" s="226">
        <v>32575</v>
      </c>
      <c r="AE107" s="135">
        <v>1355</v>
      </c>
      <c r="AF107" s="229">
        <v>9973</v>
      </c>
      <c r="AG107" s="226">
        <v>9252</v>
      </c>
      <c r="AH107" s="135">
        <v>116</v>
      </c>
      <c r="AI107" s="229">
        <v>3621</v>
      </c>
      <c r="AJ107" s="226">
        <v>3439</v>
      </c>
      <c r="AK107" s="135">
        <v>153</v>
      </c>
      <c r="AL107" s="229">
        <v>634</v>
      </c>
      <c r="AM107" s="226">
        <v>649</v>
      </c>
      <c r="AN107" s="135">
        <v>4</v>
      </c>
      <c r="AO107" s="229">
        <v>88</v>
      </c>
      <c r="AP107" s="226">
        <v>923</v>
      </c>
      <c r="AQ107" s="135">
        <v>31</v>
      </c>
      <c r="AR107" s="229">
        <v>192</v>
      </c>
      <c r="AS107" s="233">
        <v>1</v>
      </c>
      <c r="AT107" s="407">
        <v>1</v>
      </c>
      <c r="AU107" s="342">
        <v>0</v>
      </c>
      <c r="AV107" s="226">
        <v>16</v>
      </c>
      <c r="AW107" s="341">
        <v>0</v>
      </c>
      <c r="AX107" s="229">
        <v>8</v>
      </c>
      <c r="AY107" s="226">
        <v>177</v>
      </c>
      <c r="AZ107" s="135">
        <v>7</v>
      </c>
      <c r="BA107" s="229">
        <v>38</v>
      </c>
      <c r="BB107" s="226">
        <v>8450</v>
      </c>
      <c r="BC107" s="135">
        <v>421</v>
      </c>
      <c r="BD107" s="229">
        <v>838</v>
      </c>
      <c r="BE107" s="226">
        <v>699706</v>
      </c>
      <c r="BF107" s="135">
        <v>36773</v>
      </c>
      <c r="BG107" s="229">
        <v>58545</v>
      </c>
      <c r="BH107" s="226">
        <v>14</v>
      </c>
      <c r="BI107" s="341">
        <v>0</v>
      </c>
      <c r="BJ107" s="229">
        <v>6</v>
      </c>
      <c r="BK107" s="233">
        <v>5</v>
      </c>
      <c r="BL107" s="341">
        <v>0</v>
      </c>
      <c r="BM107" s="235">
        <v>2</v>
      </c>
      <c r="BN107" s="226">
        <v>143</v>
      </c>
      <c r="BO107" s="407">
        <v>8</v>
      </c>
      <c r="BP107" s="235">
        <v>36</v>
      </c>
      <c r="BQ107" s="226">
        <v>214</v>
      </c>
      <c r="BR107" s="135">
        <v>7</v>
      </c>
      <c r="BS107" s="229">
        <v>21</v>
      </c>
      <c r="BT107" s="226">
        <v>63</v>
      </c>
      <c r="BU107" s="135">
        <v>6</v>
      </c>
      <c r="BV107" s="229">
        <v>9</v>
      </c>
      <c r="BW107" s="226">
        <v>86</v>
      </c>
      <c r="BX107" s="341">
        <v>0</v>
      </c>
      <c r="BY107" s="235">
        <v>6</v>
      </c>
      <c r="BZ107" s="226">
        <v>43</v>
      </c>
      <c r="CA107" s="135">
        <v>3</v>
      </c>
      <c r="CB107" s="342">
        <v>0</v>
      </c>
      <c r="CC107" s="226">
        <v>442</v>
      </c>
      <c r="CD107" s="135">
        <v>41</v>
      </c>
      <c r="CE107" s="229">
        <v>10</v>
      </c>
      <c r="CF107" s="233">
        <v>1</v>
      </c>
      <c r="CG107" s="341">
        <v>0</v>
      </c>
      <c r="CH107" s="342">
        <v>0</v>
      </c>
      <c r="CI107" s="226">
        <v>143</v>
      </c>
      <c r="CJ107" s="135">
        <v>5</v>
      </c>
      <c r="CK107" s="229">
        <v>25</v>
      </c>
      <c r="CL107" s="226">
        <v>155</v>
      </c>
      <c r="CM107" s="135">
        <v>6</v>
      </c>
      <c r="CN107" s="235">
        <v>35</v>
      </c>
      <c r="CO107" s="226">
        <v>6297</v>
      </c>
      <c r="CP107" s="135">
        <v>486</v>
      </c>
      <c r="CQ107" s="229">
        <v>2125</v>
      </c>
      <c r="CR107" s="226">
        <v>9</v>
      </c>
      <c r="CS107" s="407">
        <v>1</v>
      </c>
      <c r="CT107" s="229">
        <v>4</v>
      </c>
      <c r="CU107" s="226">
        <v>4016</v>
      </c>
      <c r="CV107" s="135">
        <v>109</v>
      </c>
      <c r="CW107" s="229">
        <v>98</v>
      </c>
      <c r="CX107" s="226">
        <v>199</v>
      </c>
      <c r="CY107" s="135">
        <v>8</v>
      </c>
      <c r="CZ107" s="229">
        <v>30</v>
      </c>
      <c r="DA107" s="226">
        <v>13489</v>
      </c>
      <c r="DB107" s="135">
        <v>300</v>
      </c>
      <c r="DC107" s="229">
        <v>6541</v>
      </c>
      <c r="DD107" s="233">
        <v>3</v>
      </c>
      <c r="DE107" s="341">
        <v>0</v>
      </c>
      <c r="DF107" s="342">
        <v>0</v>
      </c>
      <c r="DG107" s="226">
        <v>4126</v>
      </c>
      <c r="DH107" s="135">
        <v>200</v>
      </c>
      <c r="DI107" s="229">
        <v>268</v>
      </c>
      <c r="DJ107" s="233">
        <v>6</v>
      </c>
      <c r="DK107" s="341">
        <v>0</v>
      </c>
      <c r="DL107" s="235">
        <v>2</v>
      </c>
      <c r="DM107" s="226">
        <v>14</v>
      </c>
      <c r="DN107" s="341">
        <v>0</v>
      </c>
      <c r="DO107" s="342">
        <v>0</v>
      </c>
      <c r="DP107" s="226">
        <v>15</v>
      </c>
      <c r="DQ107" s="341">
        <v>0</v>
      </c>
      <c r="DR107" s="229">
        <v>11</v>
      </c>
      <c r="DS107" s="226">
        <v>32</v>
      </c>
      <c r="DT107" s="407">
        <v>4</v>
      </c>
      <c r="DU107" s="235">
        <v>2</v>
      </c>
      <c r="DV107" s="226">
        <v>1</v>
      </c>
      <c r="DW107" s="341">
        <v>0</v>
      </c>
      <c r="DX107" s="317">
        <v>0</v>
      </c>
      <c r="DY107" s="226">
        <v>12</v>
      </c>
      <c r="DZ107" s="341">
        <v>0</v>
      </c>
      <c r="EA107" s="235">
        <v>1</v>
      </c>
      <c r="EB107" s="233">
        <v>10</v>
      </c>
      <c r="EC107" s="407">
        <v>1</v>
      </c>
      <c r="ED107" s="229">
        <v>6</v>
      </c>
      <c r="EE107" s="226">
        <v>114</v>
      </c>
      <c r="EF107" s="407">
        <v>8</v>
      </c>
      <c r="EG107" s="229">
        <v>20</v>
      </c>
      <c r="EH107" s="226">
        <v>502</v>
      </c>
      <c r="EI107" s="135">
        <v>9</v>
      </c>
      <c r="EJ107" s="229">
        <v>286</v>
      </c>
      <c r="EK107" s="226">
        <v>204</v>
      </c>
      <c r="EL107" s="135">
        <v>9</v>
      </c>
      <c r="EM107" s="229">
        <v>111</v>
      </c>
      <c r="EN107" s="652"/>
      <c r="EO107" s="531"/>
      <c r="EP107" s="531"/>
      <c r="EQ107" s="531"/>
      <c r="ER107" s="531"/>
      <c r="ES107" s="531"/>
      <c r="ET107" s="531"/>
      <c r="EU107" s="127"/>
    </row>
    <row r="108" spans="1:151" ht="12.75">
      <c r="A108" s="415">
        <v>43939</v>
      </c>
      <c r="B108" s="222">
        <f t="shared" ref="B108:D108" si="104">SUM(F108,I108,L108,O108,R108,U108,X108,AA108,AD108,AG108,AJ108,AM108,AP108,AS108,AV108,AY108,BB108,BE108,BH108,BK108,BN108,BQ108,BT108,BW108,BZ108,CC108,CF108,CI108,CL108,CO108,CR108,CU108,CX108,DA108,DD108,DG108,DJ108,DP108,DS108,DM108,DV108,DY108,EB108,EE108,EH108,EK108,)</f>
        <v>862242</v>
      </c>
      <c r="C108" s="223">
        <f t="shared" si="104"/>
        <v>44677</v>
      </c>
      <c r="D108" s="224">
        <f t="shared" si="104"/>
        <v>106140</v>
      </c>
      <c r="E108" s="406">
        <f t="shared" si="2"/>
        <v>711425</v>
      </c>
      <c r="F108" s="226">
        <v>23</v>
      </c>
      <c r="G108" s="135">
        <v>3</v>
      </c>
      <c r="H108" s="229">
        <v>3</v>
      </c>
      <c r="I108" s="226">
        <v>2758</v>
      </c>
      <c r="J108" s="135">
        <v>129</v>
      </c>
      <c r="K108" s="229">
        <v>685</v>
      </c>
      <c r="L108" s="233">
        <v>4</v>
      </c>
      <c r="M108" s="341">
        <v>0</v>
      </c>
      <c r="N108" s="342">
        <v>0</v>
      </c>
      <c r="O108" s="226">
        <v>55</v>
      </c>
      <c r="P108" s="135">
        <v>9</v>
      </c>
      <c r="Q108" s="229">
        <v>10</v>
      </c>
      <c r="R108" s="226">
        <v>75</v>
      </c>
      <c r="S108" s="135">
        <v>5</v>
      </c>
      <c r="T108" s="229">
        <v>17</v>
      </c>
      <c r="U108" s="226">
        <v>18</v>
      </c>
      <c r="V108" s="135">
        <v>2</v>
      </c>
      <c r="W108" s="342">
        <v>0</v>
      </c>
      <c r="X108" s="226">
        <v>493</v>
      </c>
      <c r="Y108" s="135">
        <v>31</v>
      </c>
      <c r="Z108" s="229">
        <v>31</v>
      </c>
      <c r="AA108" s="226">
        <v>36599</v>
      </c>
      <c r="AB108" s="135">
        <v>2347</v>
      </c>
      <c r="AC108" s="229">
        <v>14026</v>
      </c>
      <c r="AD108" s="226">
        <v>33628</v>
      </c>
      <c r="AE108" s="135">
        <v>1359</v>
      </c>
      <c r="AF108" s="229">
        <v>10601</v>
      </c>
      <c r="AG108" s="226">
        <v>9730</v>
      </c>
      <c r="AH108" s="135">
        <v>126</v>
      </c>
      <c r="AI108" s="229">
        <v>4035</v>
      </c>
      <c r="AJ108" s="226">
        <v>3439</v>
      </c>
      <c r="AK108" s="135">
        <v>153</v>
      </c>
      <c r="AL108" s="229">
        <v>634</v>
      </c>
      <c r="AM108" s="226">
        <v>649</v>
      </c>
      <c r="AN108" s="135">
        <v>4</v>
      </c>
      <c r="AO108" s="229">
        <v>88</v>
      </c>
      <c r="AP108" s="226">
        <v>986</v>
      </c>
      <c r="AQ108" s="135">
        <v>32</v>
      </c>
      <c r="AR108" s="229">
        <v>227</v>
      </c>
      <c r="AS108" s="233">
        <v>1</v>
      </c>
      <c r="AT108" s="407">
        <v>1</v>
      </c>
      <c r="AU108" s="342">
        <v>0</v>
      </c>
      <c r="AV108" s="226">
        <v>16</v>
      </c>
      <c r="AW108" s="341">
        <v>0</v>
      </c>
      <c r="AX108" s="229">
        <v>8</v>
      </c>
      <c r="AY108" s="226">
        <v>190</v>
      </c>
      <c r="AZ108" s="135">
        <v>7</v>
      </c>
      <c r="BA108" s="229">
        <v>43</v>
      </c>
      <c r="BB108" s="226">
        <v>9022</v>
      </c>
      <c r="BC108" s="135">
        <v>456</v>
      </c>
      <c r="BD108" s="229">
        <v>1008</v>
      </c>
      <c r="BE108" s="226">
        <v>732197</v>
      </c>
      <c r="BF108" s="135">
        <v>38664</v>
      </c>
      <c r="BG108" s="229">
        <v>64840</v>
      </c>
      <c r="BH108" s="226">
        <v>14</v>
      </c>
      <c r="BI108" s="341">
        <v>0</v>
      </c>
      <c r="BJ108" s="229">
        <v>6</v>
      </c>
      <c r="BK108" s="233">
        <v>5</v>
      </c>
      <c r="BL108" s="341">
        <v>0</v>
      </c>
      <c r="BM108" s="235">
        <v>2</v>
      </c>
      <c r="BN108" s="226">
        <v>143</v>
      </c>
      <c r="BO108" s="407">
        <v>8</v>
      </c>
      <c r="BP108" s="235">
        <v>36</v>
      </c>
      <c r="BQ108" s="226">
        <v>235</v>
      </c>
      <c r="BR108" s="135">
        <v>7</v>
      </c>
      <c r="BS108" s="229">
        <v>21</v>
      </c>
      <c r="BT108" s="226">
        <v>63</v>
      </c>
      <c r="BU108" s="135">
        <v>6</v>
      </c>
      <c r="BV108" s="229">
        <v>9</v>
      </c>
      <c r="BW108" s="226">
        <v>86</v>
      </c>
      <c r="BX108" s="341">
        <v>0</v>
      </c>
      <c r="BY108" s="235">
        <v>6</v>
      </c>
      <c r="BZ108" s="226">
        <v>44</v>
      </c>
      <c r="CA108" s="135">
        <v>3</v>
      </c>
      <c r="CB108" s="342">
        <v>0</v>
      </c>
      <c r="CC108" s="226">
        <v>457</v>
      </c>
      <c r="CD108" s="135">
        <v>46</v>
      </c>
      <c r="CE108" s="229">
        <v>10</v>
      </c>
      <c r="CF108" s="233">
        <v>1</v>
      </c>
      <c r="CG108" s="341">
        <v>0</v>
      </c>
      <c r="CH108" s="342">
        <v>0</v>
      </c>
      <c r="CI108" s="226">
        <v>163</v>
      </c>
      <c r="CJ108" s="135">
        <v>5</v>
      </c>
      <c r="CK108" s="229">
        <v>25</v>
      </c>
      <c r="CL108" s="226">
        <v>155</v>
      </c>
      <c r="CM108" s="135">
        <v>6</v>
      </c>
      <c r="CN108" s="235">
        <v>35</v>
      </c>
      <c r="CO108" s="226">
        <v>6875</v>
      </c>
      <c r="CP108" s="135">
        <v>546</v>
      </c>
      <c r="CQ108" s="229">
        <v>2125</v>
      </c>
      <c r="CR108" s="226">
        <v>9</v>
      </c>
      <c r="CS108" s="135">
        <v>2</v>
      </c>
      <c r="CT108" s="229">
        <v>6</v>
      </c>
      <c r="CU108" s="226">
        <v>4210</v>
      </c>
      <c r="CV108" s="135">
        <v>116</v>
      </c>
      <c r="CW108" s="229">
        <v>122</v>
      </c>
      <c r="CX108" s="226">
        <v>202</v>
      </c>
      <c r="CY108" s="135">
        <v>8</v>
      </c>
      <c r="CZ108" s="229">
        <v>35</v>
      </c>
      <c r="DA108" s="226">
        <v>14420</v>
      </c>
      <c r="DB108" s="135">
        <v>348</v>
      </c>
      <c r="DC108" s="229">
        <v>6684</v>
      </c>
      <c r="DD108" s="233">
        <v>3</v>
      </c>
      <c r="DE108" s="341">
        <v>0</v>
      </c>
      <c r="DF108" s="342">
        <v>0</v>
      </c>
      <c r="DG108" s="226">
        <v>4335</v>
      </c>
      <c r="DH108" s="135">
        <v>217</v>
      </c>
      <c r="DI108" s="229">
        <v>312</v>
      </c>
      <c r="DJ108" s="233">
        <v>6</v>
      </c>
      <c r="DK108" s="341">
        <v>0</v>
      </c>
      <c r="DL108" s="235">
        <v>2</v>
      </c>
      <c r="DM108" s="226">
        <v>14</v>
      </c>
      <c r="DN108" s="341">
        <v>0</v>
      </c>
      <c r="DO108" s="342">
        <v>0</v>
      </c>
      <c r="DP108" s="226">
        <v>15</v>
      </c>
      <c r="DQ108" s="341">
        <v>0</v>
      </c>
      <c r="DR108" s="229">
        <v>11</v>
      </c>
      <c r="DS108" s="226">
        <v>32</v>
      </c>
      <c r="DT108" s="407">
        <v>4</v>
      </c>
      <c r="DU108" s="235">
        <v>2</v>
      </c>
      <c r="DV108" s="226">
        <v>1</v>
      </c>
      <c r="DW108" s="341">
        <v>0</v>
      </c>
      <c r="DX108" s="317">
        <v>0</v>
      </c>
      <c r="DY108" s="226">
        <v>12</v>
      </c>
      <c r="DZ108" s="341">
        <v>0</v>
      </c>
      <c r="EA108" s="235">
        <v>1</v>
      </c>
      <c r="EB108" s="233">
        <v>10</v>
      </c>
      <c r="EC108" s="407">
        <v>1</v>
      </c>
      <c r="ED108" s="229">
        <v>6</v>
      </c>
      <c r="EE108" s="226">
        <v>114</v>
      </c>
      <c r="EF108" s="407">
        <v>8</v>
      </c>
      <c r="EG108" s="229">
        <v>21</v>
      </c>
      <c r="EH108" s="226">
        <v>508</v>
      </c>
      <c r="EI108" s="135">
        <v>9</v>
      </c>
      <c r="EJ108" s="229">
        <v>294</v>
      </c>
      <c r="EK108" s="226">
        <v>227</v>
      </c>
      <c r="EL108" s="135">
        <v>9</v>
      </c>
      <c r="EM108" s="229">
        <v>113</v>
      </c>
      <c r="EN108" s="652"/>
      <c r="EO108" s="531"/>
      <c r="EP108" s="531"/>
      <c r="EQ108" s="531"/>
      <c r="ER108" s="531"/>
      <c r="ES108" s="531"/>
      <c r="ET108" s="531"/>
      <c r="EU108" s="127"/>
    </row>
    <row r="109" spans="1:151" ht="12.75">
      <c r="A109" s="415">
        <v>43940</v>
      </c>
      <c r="B109" s="222">
        <f t="shared" ref="B109:D109" si="105">SUM(F109,I109,L109,O109,R109,U109,X109,AA109,AD109,AG109,AJ109,AM109,AP109,AS109,AV109,AY109,BB109,BE109,BH109,BK109,BN109,BQ109,BT109,BW109,BZ109,CC109,CF109,CI109,CL109,CO109,CR109,CU109,CX109,DA109,DD109,DG109,DJ109,DP109,DS109,DM109,DV109,DY109,EB109,EE109,EH109,EK109,)</f>
        <v>892450</v>
      </c>
      <c r="C109" s="223">
        <f t="shared" si="105"/>
        <v>46982</v>
      </c>
      <c r="D109" s="224">
        <f t="shared" si="105"/>
        <v>110314</v>
      </c>
      <c r="E109" s="406">
        <f t="shared" si="2"/>
        <v>735154</v>
      </c>
      <c r="F109" s="226">
        <v>23</v>
      </c>
      <c r="G109" s="135">
        <v>3</v>
      </c>
      <c r="H109" s="229">
        <v>3</v>
      </c>
      <c r="I109" s="226">
        <v>2839</v>
      </c>
      <c r="J109" s="135">
        <v>132</v>
      </c>
      <c r="K109" s="229">
        <v>709</v>
      </c>
      <c r="L109" s="233">
        <v>4</v>
      </c>
      <c r="M109" s="341">
        <v>0</v>
      </c>
      <c r="N109" s="342">
        <v>0</v>
      </c>
      <c r="O109" s="226">
        <v>55</v>
      </c>
      <c r="P109" s="135">
        <v>9</v>
      </c>
      <c r="Q109" s="229">
        <v>10</v>
      </c>
      <c r="R109" s="226">
        <v>75</v>
      </c>
      <c r="S109" s="135">
        <v>5</v>
      </c>
      <c r="T109" s="229">
        <v>17</v>
      </c>
      <c r="U109" s="226">
        <v>18</v>
      </c>
      <c r="V109" s="135">
        <v>2</v>
      </c>
      <c r="W109" s="229">
        <v>2</v>
      </c>
      <c r="X109" s="226">
        <v>520</v>
      </c>
      <c r="Y109" s="135">
        <v>32</v>
      </c>
      <c r="Z109" s="229">
        <v>31</v>
      </c>
      <c r="AA109" s="226">
        <v>38654</v>
      </c>
      <c r="AB109" s="135">
        <v>2462</v>
      </c>
      <c r="AC109" s="229">
        <v>14026</v>
      </c>
      <c r="AD109" s="226">
        <v>34981</v>
      </c>
      <c r="AE109" s="135">
        <v>1537</v>
      </c>
      <c r="AF109" s="229">
        <v>11232</v>
      </c>
      <c r="AG109" s="226">
        <v>10088</v>
      </c>
      <c r="AH109" s="135">
        <v>133</v>
      </c>
      <c r="AI109" s="229">
        <v>4338</v>
      </c>
      <c r="AJ109" s="226">
        <v>3621</v>
      </c>
      <c r="AK109" s="135">
        <v>166</v>
      </c>
      <c r="AL109" s="229">
        <v>691</v>
      </c>
      <c r="AM109" s="226">
        <v>660</v>
      </c>
      <c r="AN109" s="135">
        <v>4</v>
      </c>
      <c r="AO109" s="229">
        <v>112</v>
      </c>
      <c r="AP109" s="226">
        <v>1035</v>
      </c>
      <c r="AQ109" s="135">
        <v>34</v>
      </c>
      <c r="AR109" s="229">
        <v>255</v>
      </c>
      <c r="AS109" s="233">
        <v>1</v>
      </c>
      <c r="AT109" s="407">
        <v>1</v>
      </c>
      <c r="AU109" s="342">
        <v>0</v>
      </c>
      <c r="AV109" s="226">
        <v>16</v>
      </c>
      <c r="AW109" s="341">
        <v>0</v>
      </c>
      <c r="AX109" s="229">
        <v>8</v>
      </c>
      <c r="AY109" s="226">
        <v>201</v>
      </c>
      <c r="AZ109" s="135">
        <v>7</v>
      </c>
      <c r="BA109" s="229">
        <v>44</v>
      </c>
      <c r="BB109" s="226">
        <v>9468</v>
      </c>
      <c r="BC109" s="135">
        <v>474</v>
      </c>
      <c r="BD109" s="229">
        <v>1061</v>
      </c>
      <c r="BE109" s="226">
        <v>755533</v>
      </c>
      <c r="BF109" s="135">
        <v>40461</v>
      </c>
      <c r="BG109" s="229">
        <v>67172</v>
      </c>
      <c r="BH109" s="226">
        <v>14</v>
      </c>
      <c r="BI109" s="341">
        <v>0</v>
      </c>
      <c r="BJ109" s="229">
        <v>6</v>
      </c>
      <c r="BK109" s="233">
        <v>5</v>
      </c>
      <c r="BL109" s="341">
        <v>0</v>
      </c>
      <c r="BM109" s="235">
        <v>2</v>
      </c>
      <c r="BN109" s="226">
        <v>143</v>
      </c>
      <c r="BO109" s="407">
        <v>8</v>
      </c>
      <c r="BP109" s="235">
        <v>36</v>
      </c>
      <c r="BQ109" s="226">
        <v>257</v>
      </c>
      <c r="BR109" s="135">
        <v>7</v>
      </c>
      <c r="BS109" s="229">
        <v>21</v>
      </c>
      <c r="BT109" s="226">
        <v>63</v>
      </c>
      <c r="BU109" s="135">
        <v>7</v>
      </c>
      <c r="BV109" s="229">
        <v>9</v>
      </c>
      <c r="BW109" s="226">
        <v>86</v>
      </c>
      <c r="BX109" s="341">
        <v>0</v>
      </c>
      <c r="BY109" s="235">
        <v>6</v>
      </c>
      <c r="BZ109" s="226">
        <v>44</v>
      </c>
      <c r="CA109" s="135">
        <v>3</v>
      </c>
      <c r="CB109" s="342">
        <v>0</v>
      </c>
      <c r="CC109" s="226">
        <v>472</v>
      </c>
      <c r="CD109" s="135">
        <v>46</v>
      </c>
      <c r="CE109" s="229">
        <v>15</v>
      </c>
      <c r="CF109" s="233">
        <v>1</v>
      </c>
      <c r="CG109" s="341">
        <v>0</v>
      </c>
      <c r="CH109" s="342">
        <v>0</v>
      </c>
      <c r="CI109" s="226">
        <v>173</v>
      </c>
      <c r="CJ109" s="135">
        <v>5</v>
      </c>
      <c r="CK109" s="229">
        <v>27</v>
      </c>
      <c r="CL109" s="226">
        <v>155</v>
      </c>
      <c r="CM109" s="135">
        <v>6</v>
      </c>
      <c r="CN109" s="235">
        <v>35</v>
      </c>
      <c r="CO109" s="226">
        <v>7497</v>
      </c>
      <c r="CP109" s="135">
        <v>650</v>
      </c>
      <c r="CQ109" s="229">
        <v>2627</v>
      </c>
      <c r="CR109" s="226">
        <v>10</v>
      </c>
      <c r="CS109" s="135">
        <v>2</v>
      </c>
      <c r="CT109" s="229">
        <v>6</v>
      </c>
      <c r="CU109" s="226">
        <v>4273</v>
      </c>
      <c r="CV109" s="135">
        <v>120</v>
      </c>
      <c r="CW109" s="229">
        <v>140</v>
      </c>
      <c r="CX109" s="226">
        <v>206</v>
      </c>
      <c r="CY109" s="135">
        <v>8</v>
      </c>
      <c r="CZ109" s="229">
        <v>41</v>
      </c>
      <c r="DA109" s="226">
        <v>15628</v>
      </c>
      <c r="DB109" s="135">
        <v>400</v>
      </c>
      <c r="DC109" s="229">
        <v>6811</v>
      </c>
      <c r="DD109" s="233">
        <v>3</v>
      </c>
      <c r="DE109" s="341">
        <v>0</v>
      </c>
      <c r="DF109" s="342">
        <v>0</v>
      </c>
      <c r="DG109" s="226">
        <v>4680</v>
      </c>
      <c r="DH109" s="135">
        <v>226</v>
      </c>
      <c r="DI109" s="229">
        <v>363</v>
      </c>
      <c r="DJ109" s="233">
        <v>6</v>
      </c>
      <c r="DK109" s="341">
        <v>0</v>
      </c>
      <c r="DL109" s="235">
        <v>2</v>
      </c>
      <c r="DM109" s="226">
        <v>14</v>
      </c>
      <c r="DN109" s="341">
        <v>0</v>
      </c>
      <c r="DO109" s="342">
        <v>0</v>
      </c>
      <c r="DP109" s="226">
        <v>15</v>
      </c>
      <c r="DQ109" s="341">
        <v>0</v>
      </c>
      <c r="DR109" s="229">
        <v>11</v>
      </c>
      <c r="DS109" s="226">
        <v>32</v>
      </c>
      <c r="DT109" s="407">
        <v>4</v>
      </c>
      <c r="DU109" s="235">
        <v>2</v>
      </c>
      <c r="DV109" s="226">
        <v>1</v>
      </c>
      <c r="DW109" s="341">
        <v>0</v>
      </c>
      <c r="DX109" s="317">
        <v>0</v>
      </c>
      <c r="DY109" s="226">
        <v>12</v>
      </c>
      <c r="DZ109" s="341">
        <v>0</v>
      </c>
      <c r="EA109" s="235">
        <v>1</v>
      </c>
      <c r="EB109" s="233">
        <v>10</v>
      </c>
      <c r="EC109" s="407">
        <v>1</v>
      </c>
      <c r="ED109" s="229">
        <v>6</v>
      </c>
      <c r="EE109" s="226">
        <v>114</v>
      </c>
      <c r="EF109" s="407">
        <v>8</v>
      </c>
      <c r="EG109" s="229">
        <v>21</v>
      </c>
      <c r="EH109" s="226">
        <v>517</v>
      </c>
      <c r="EI109" s="135">
        <v>10</v>
      </c>
      <c r="EJ109" s="229">
        <v>298</v>
      </c>
      <c r="EK109" s="226">
        <v>227</v>
      </c>
      <c r="EL109" s="135">
        <v>9</v>
      </c>
      <c r="EM109" s="229">
        <v>117</v>
      </c>
      <c r="EN109" s="652"/>
      <c r="EO109" s="531"/>
      <c r="EP109" s="531"/>
      <c r="EQ109" s="531"/>
      <c r="ER109" s="531"/>
      <c r="ES109" s="531"/>
      <c r="ET109" s="531"/>
      <c r="EU109" s="127"/>
    </row>
    <row r="110" spans="1:151" ht="12.75">
      <c r="A110" s="418">
        <v>43941</v>
      </c>
      <c r="B110" s="419">
        <f t="shared" ref="B110:D110" si="106">SUM(F110,I110,L110,O110,R110,U110,X110,AA110,AD110,AG110,AJ110,AM110,AP110,AS110,AV110,AY110,BB110,BE110,BH110,BK110,BN110,BQ110,BT110,BW110,BZ110,CC110,CF110,CI110,CL110,CO110,CR110,CU110,CX110,DA110,DD110,DG110,DJ110,DP110,DS110,DM110,DV110,DY110,EB110,EE110,EH110,EK110,)</f>
        <v>928026</v>
      </c>
      <c r="C110" s="420">
        <f t="shared" si="106"/>
        <v>49103</v>
      </c>
      <c r="D110" s="421">
        <f t="shared" si="106"/>
        <v>125200</v>
      </c>
      <c r="E110" s="422">
        <f t="shared" si="2"/>
        <v>753723</v>
      </c>
      <c r="F110" s="423">
        <v>23</v>
      </c>
      <c r="G110" s="424">
        <v>3</v>
      </c>
      <c r="H110" s="425">
        <v>3</v>
      </c>
      <c r="I110" s="426">
        <v>2941</v>
      </c>
      <c r="J110" s="428">
        <v>136</v>
      </c>
      <c r="K110" s="430">
        <v>737</v>
      </c>
      <c r="L110" s="423">
        <v>4</v>
      </c>
      <c r="M110" s="432">
        <v>0</v>
      </c>
      <c r="N110" s="433">
        <v>0</v>
      </c>
      <c r="O110" s="426">
        <v>60</v>
      </c>
      <c r="P110" s="424">
        <v>9</v>
      </c>
      <c r="Q110" s="430">
        <v>11</v>
      </c>
      <c r="R110" s="423">
        <v>75</v>
      </c>
      <c r="S110" s="424">
        <v>5</v>
      </c>
      <c r="T110" s="430">
        <v>19</v>
      </c>
      <c r="U110" s="423">
        <v>18</v>
      </c>
      <c r="V110" s="424">
        <v>2</v>
      </c>
      <c r="W110" s="425">
        <v>2</v>
      </c>
      <c r="X110" s="426">
        <v>564</v>
      </c>
      <c r="Y110" s="428">
        <v>33</v>
      </c>
      <c r="Z110" s="425">
        <v>31</v>
      </c>
      <c r="AA110" s="426">
        <v>40581</v>
      </c>
      <c r="AB110" s="428">
        <v>2845</v>
      </c>
      <c r="AC110" s="430">
        <v>22130</v>
      </c>
      <c r="AD110" s="426">
        <v>37354</v>
      </c>
      <c r="AE110" s="428">
        <v>1707</v>
      </c>
      <c r="AF110" s="430">
        <v>12511</v>
      </c>
      <c r="AG110" s="426">
        <v>10507</v>
      </c>
      <c r="AH110" s="428">
        <v>139</v>
      </c>
      <c r="AI110" s="430">
        <v>4676</v>
      </c>
      <c r="AJ110" s="426">
        <v>3792</v>
      </c>
      <c r="AK110" s="428">
        <v>179</v>
      </c>
      <c r="AL110" s="430">
        <v>711</v>
      </c>
      <c r="AM110" s="426">
        <v>662</v>
      </c>
      <c r="AN110" s="428">
        <v>6</v>
      </c>
      <c r="AO110" s="430">
        <v>124</v>
      </c>
      <c r="AP110" s="426">
        <v>1087</v>
      </c>
      <c r="AQ110" s="428">
        <v>36</v>
      </c>
      <c r="AR110" s="430">
        <v>285</v>
      </c>
      <c r="AS110" s="423">
        <v>1</v>
      </c>
      <c r="AT110" s="424">
        <v>1</v>
      </c>
      <c r="AU110" s="433">
        <v>0</v>
      </c>
      <c r="AV110" s="423">
        <v>16</v>
      </c>
      <c r="AW110" s="432">
        <v>0</v>
      </c>
      <c r="AX110" s="425">
        <v>8</v>
      </c>
      <c r="AY110" s="426">
        <v>218</v>
      </c>
      <c r="AZ110" s="424">
        <v>7</v>
      </c>
      <c r="BA110" s="430">
        <v>46</v>
      </c>
      <c r="BB110" s="426">
        <v>10128</v>
      </c>
      <c r="BC110" s="428">
        <v>507</v>
      </c>
      <c r="BD110" s="425">
        <v>1061</v>
      </c>
      <c r="BE110" s="426">
        <v>783290</v>
      </c>
      <c r="BF110" s="428">
        <v>41872</v>
      </c>
      <c r="BG110" s="430">
        <v>72015</v>
      </c>
      <c r="BH110" s="423">
        <v>14</v>
      </c>
      <c r="BI110" s="432">
        <v>0</v>
      </c>
      <c r="BJ110" s="425">
        <v>6</v>
      </c>
      <c r="BK110" s="423">
        <v>5</v>
      </c>
      <c r="BL110" s="432">
        <v>0</v>
      </c>
      <c r="BM110" s="425">
        <v>2</v>
      </c>
      <c r="BN110" s="423">
        <v>143</v>
      </c>
      <c r="BO110" s="424">
        <v>8</v>
      </c>
      <c r="BP110" s="425">
        <v>36</v>
      </c>
      <c r="BQ110" s="426">
        <v>289</v>
      </c>
      <c r="BR110" s="424">
        <v>7</v>
      </c>
      <c r="BS110" s="425">
        <v>21</v>
      </c>
      <c r="BT110" s="426">
        <v>65</v>
      </c>
      <c r="BU110" s="424">
        <v>7</v>
      </c>
      <c r="BV110" s="425">
        <v>9</v>
      </c>
      <c r="BW110" s="423">
        <v>86</v>
      </c>
      <c r="BX110" s="432">
        <v>0</v>
      </c>
      <c r="BY110" s="425">
        <v>6</v>
      </c>
      <c r="BZ110" s="426">
        <v>47</v>
      </c>
      <c r="CA110" s="424">
        <v>3</v>
      </c>
      <c r="CB110" s="433">
        <v>0</v>
      </c>
      <c r="CC110" s="426">
        <v>477</v>
      </c>
      <c r="CD110" s="424">
        <v>46</v>
      </c>
      <c r="CE110" s="430">
        <v>25</v>
      </c>
      <c r="CF110" s="423">
        <v>1</v>
      </c>
      <c r="CG110" s="432">
        <v>0</v>
      </c>
      <c r="CH110" s="433">
        <v>0</v>
      </c>
      <c r="CI110" s="426">
        <v>196</v>
      </c>
      <c r="CJ110" s="424">
        <v>5</v>
      </c>
      <c r="CK110" s="425">
        <v>27</v>
      </c>
      <c r="CL110" s="423">
        <v>155</v>
      </c>
      <c r="CM110" s="424">
        <v>6</v>
      </c>
      <c r="CN110" s="425">
        <v>35</v>
      </c>
      <c r="CO110" s="426">
        <v>8261</v>
      </c>
      <c r="CP110" s="428">
        <v>686</v>
      </c>
      <c r="CQ110" s="425">
        <v>2627</v>
      </c>
      <c r="CR110" s="423">
        <v>10</v>
      </c>
      <c r="CS110" s="424">
        <v>2</v>
      </c>
      <c r="CT110" s="425">
        <v>6</v>
      </c>
      <c r="CU110" s="426">
        <v>4467</v>
      </c>
      <c r="CV110" s="428">
        <v>126</v>
      </c>
      <c r="CW110" s="425">
        <v>140</v>
      </c>
      <c r="CX110" s="426">
        <v>208</v>
      </c>
      <c r="CY110" s="424">
        <v>8</v>
      </c>
      <c r="CZ110" s="430">
        <v>46</v>
      </c>
      <c r="DA110" s="426">
        <v>16325</v>
      </c>
      <c r="DB110" s="428">
        <v>445</v>
      </c>
      <c r="DC110" s="430">
        <v>6968</v>
      </c>
      <c r="DD110" s="423">
        <v>3</v>
      </c>
      <c r="DE110" s="432">
        <v>0</v>
      </c>
      <c r="DF110" s="433">
        <v>0</v>
      </c>
      <c r="DG110" s="426">
        <v>4964</v>
      </c>
      <c r="DH110" s="428">
        <v>235</v>
      </c>
      <c r="DI110" s="430">
        <v>416</v>
      </c>
      <c r="DJ110" s="423">
        <v>6</v>
      </c>
      <c r="DK110" s="432">
        <v>0</v>
      </c>
      <c r="DL110" s="425">
        <v>2</v>
      </c>
      <c r="DM110" s="426">
        <v>15</v>
      </c>
      <c r="DN110" s="432">
        <v>0</v>
      </c>
      <c r="DO110" s="433">
        <v>0</v>
      </c>
      <c r="DP110" s="423">
        <v>15</v>
      </c>
      <c r="DQ110" s="432">
        <v>0</v>
      </c>
      <c r="DR110" s="430">
        <v>13</v>
      </c>
      <c r="DS110" s="423">
        <v>32</v>
      </c>
      <c r="DT110" s="424">
        <v>4</v>
      </c>
      <c r="DU110" s="425">
        <v>2</v>
      </c>
      <c r="DV110" s="423">
        <v>1</v>
      </c>
      <c r="DW110" s="432">
        <v>0</v>
      </c>
      <c r="DX110" s="348">
        <v>0</v>
      </c>
      <c r="DY110" s="423">
        <v>12</v>
      </c>
      <c r="DZ110" s="432">
        <v>0</v>
      </c>
      <c r="EA110" s="425">
        <v>1</v>
      </c>
      <c r="EB110" s="423">
        <v>10</v>
      </c>
      <c r="EC110" s="424">
        <v>1</v>
      </c>
      <c r="ED110" s="425">
        <v>6</v>
      </c>
      <c r="EE110" s="423">
        <v>114</v>
      </c>
      <c r="EF110" s="424">
        <v>8</v>
      </c>
      <c r="EG110" s="425">
        <v>21</v>
      </c>
      <c r="EH110" s="426">
        <v>528</v>
      </c>
      <c r="EI110" s="424">
        <v>10</v>
      </c>
      <c r="EJ110" s="425">
        <v>298</v>
      </c>
      <c r="EK110" s="426">
        <v>256</v>
      </c>
      <c r="EL110" s="424">
        <v>9</v>
      </c>
      <c r="EM110" s="425">
        <v>117</v>
      </c>
      <c r="EN110" s="652"/>
      <c r="EO110" s="531"/>
      <c r="EP110" s="531"/>
      <c r="EQ110" s="531"/>
      <c r="ER110" s="531"/>
      <c r="ES110" s="531"/>
      <c r="ET110" s="531"/>
      <c r="EU110" s="436"/>
    </row>
    <row r="111" spans="1:151" ht="7.5" customHeight="1">
      <c r="A111" s="177"/>
      <c r="B111" s="320"/>
      <c r="C111" s="320"/>
      <c r="D111" s="3"/>
      <c r="E111" s="25"/>
      <c r="F111" s="181"/>
      <c r="G111" s="181"/>
      <c r="H111" s="181"/>
      <c r="I111" s="181"/>
      <c r="J111" s="181"/>
      <c r="K111" s="181"/>
      <c r="L111" s="181"/>
      <c r="M111" s="181"/>
      <c r="N111" s="181"/>
      <c r="O111" s="181"/>
      <c r="P111" s="181"/>
      <c r="Q111" s="181"/>
      <c r="R111" s="181"/>
      <c r="S111" s="181"/>
      <c r="T111" s="181"/>
      <c r="U111" s="181"/>
      <c r="V111" s="181"/>
      <c r="W111" s="181"/>
      <c r="X111" s="181"/>
      <c r="Y111" s="181"/>
      <c r="Z111" s="181"/>
      <c r="AA111" s="181"/>
      <c r="AB111" s="181"/>
      <c r="AC111" s="181"/>
      <c r="AD111" s="181"/>
      <c r="AE111" s="181"/>
      <c r="AF111" s="181"/>
      <c r="AG111" s="181"/>
      <c r="AH111" s="181"/>
      <c r="AI111" s="181"/>
      <c r="AJ111" s="181"/>
      <c r="AK111" s="181"/>
      <c r="AL111" s="181"/>
      <c r="AM111" s="181"/>
      <c r="AN111" s="181"/>
      <c r="AO111" s="181"/>
      <c r="AP111" s="181"/>
      <c r="AQ111" s="181"/>
      <c r="AR111" s="181"/>
      <c r="AS111" s="181"/>
      <c r="AT111" s="181"/>
      <c r="AU111" s="181"/>
      <c r="AV111" s="181"/>
      <c r="AW111" s="181"/>
      <c r="AX111" s="181"/>
      <c r="AY111" s="181"/>
      <c r="AZ111" s="181"/>
      <c r="BA111" s="181"/>
      <c r="BB111" s="181"/>
      <c r="BC111" s="181"/>
      <c r="BD111" s="181"/>
      <c r="BE111" s="181"/>
      <c r="BF111" s="181"/>
      <c r="BG111" s="181"/>
      <c r="BH111" s="181"/>
      <c r="BI111" s="181"/>
      <c r="BJ111" s="181"/>
      <c r="BK111" s="181"/>
      <c r="BL111" s="181"/>
      <c r="BM111" s="181"/>
      <c r="BN111" s="181"/>
      <c r="BO111" s="181"/>
      <c r="BP111" s="181"/>
      <c r="BQ111" s="181"/>
      <c r="BR111" s="181"/>
      <c r="BS111" s="181"/>
      <c r="BT111" s="181"/>
      <c r="BU111" s="181"/>
      <c r="BV111" s="181"/>
      <c r="BW111" s="181"/>
      <c r="BX111" s="181"/>
      <c r="BY111" s="181"/>
      <c r="BZ111" s="181"/>
      <c r="CA111" s="181"/>
      <c r="CB111" s="181"/>
      <c r="CC111" s="181"/>
      <c r="CD111" s="181"/>
      <c r="CE111" s="181"/>
      <c r="CF111" s="181"/>
      <c r="CG111" s="181"/>
      <c r="CH111" s="181"/>
      <c r="CI111" s="181"/>
      <c r="CJ111" s="181"/>
      <c r="CK111" s="181"/>
      <c r="CL111" s="181"/>
      <c r="CM111" s="181"/>
      <c r="CN111" s="181"/>
      <c r="CO111" s="181"/>
      <c r="CP111" s="181"/>
      <c r="CQ111" s="181"/>
      <c r="CR111" s="181"/>
      <c r="CS111" s="181"/>
      <c r="CT111" s="181"/>
      <c r="CU111" s="181"/>
      <c r="CV111" s="181"/>
      <c r="CW111" s="181"/>
      <c r="CX111" s="181"/>
      <c r="CY111" s="181"/>
      <c r="CZ111" s="181"/>
      <c r="DA111" s="181"/>
      <c r="DB111" s="181"/>
      <c r="DC111" s="181"/>
      <c r="DD111" s="181"/>
      <c r="DE111" s="181"/>
      <c r="DF111" s="181"/>
      <c r="DG111" s="181"/>
      <c r="DH111" s="181"/>
      <c r="DI111" s="181"/>
      <c r="DJ111" s="181"/>
      <c r="DK111" s="181"/>
      <c r="DL111" s="181"/>
      <c r="DM111" s="181"/>
      <c r="DN111" s="181"/>
      <c r="DO111" s="181"/>
      <c r="DP111" s="181"/>
      <c r="DQ111" s="181"/>
      <c r="DR111" s="181"/>
      <c r="DS111" s="181"/>
      <c r="DT111" s="181"/>
      <c r="DU111" s="181"/>
      <c r="DV111" s="181"/>
      <c r="DW111" s="181"/>
      <c r="DX111" s="181"/>
      <c r="DY111" s="181"/>
      <c r="DZ111" s="181"/>
      <c r="EA111" s="181"/>
      <c r="EB111" s="181"/>
      <c r="EC111" s="181"/>
      <c r="ED111" s="181"/>
      <c r="EE111" s="181"/>
      <c r="EF111" s="181"/>
      <c r="EG111" s="181"/>
      <c r="EH111" s="181"/>
      <c r="EI111" s="181"/>
      <c r="EJ111" s="181"/>
      <c r="EK111" s="181"/>
      <c r="EL111" s="181"/>
      <c r="EM111" s="437"/>
      <c r="EN111" s="438"/>
      <c r="EO111" s="438"/>
      <c r="EP111" s="438"/>
      <c r="EQ111" s="438"/>
      <c r="ER111" s="438"/>
      <c r="ES111" s="438"/>
      <c r="ET111" s="438"/>
      <c r="EU111" s="438"/>
    </row>
    <row r="112" spans="1:151" ht="12.75">
      <c r="A112" s="416" t="s">
        <v>341</v>
      </c>
      <c r="B112" s="206" t="str">
        <f t="shared" ref="B112:EM112" ca="1" si="107">CONCATENATE("+",OFFSET(B112,-2,0,1,1)-OFFSET(B112,-3,0,1,1))</f>
        <v>+35576</v>
      </c>
      <c r="C112" s="207" t="str">
        <f t="shared" ca="1" si="107"/>
        <v>+2121</v>
      </c>
      <c r="D112" s="208" t="str">
        <f t="shared" ca="1" si="107"/>
        <v>+14886</v>
      </c>
      <c r="E112" s="322" t="str">
        <f t="shared" ca="1" si="107"/>
        <v>+18569</v>
      </c>
      <c r="F112" s="206" t="str">
        <f t="shared" ca="1" si="107"/>
        <v>+0</v>
      </c>
      <c r="G112" s="207" t="str">
        <f t="shared" ca="1" si="107"/>
        <v>+0</v>
      </c>
      <c r="H112" s="213" t="str">
        <f t="shared" ca="1" si="107"/>
        <v>+0</v>
      </c>
      <c r="I112" s="206" t="str">
        <f t="shared" ca="1" si="107"/>
        <v>+102</v>
      </c>
      <c r="J112" s="207" t="str">
        <f t="shared" ca="1" si="107"/>
        <v>+4</v>
      </c>
      <c r="K112" s="213" t="str">
        <f t="shared" ca="1" si="107"/>
        <v>+28</v>
      </c>
      <c r="L112" s="206" t="str">
        <f t="shared" ca="1" si="107"/>
        <v>+0</v>
      </c>
      <c r="M112" s="207" t="str">
        <f t="shared" ca="1" si="107"/>
        <v>+0</v>
      </c>
      <c r="N112" s="213" t="str">
        <f t="shared" ca="1" si="107"/>
        <v>+0</v>
      </c>
      <c r="O112" s="206" t="str">
        <f t="shared" ca="1" si="107"/>
        <v>+5</v>
      </c>
      <c r="P112" s="207" t="str">
        <f t="shared" ca="1" si="107"/>
        <v>+0</v>
      </c>
      <c r="Q112" s="213" t="str">
        <f t="shared" ca="1" si="107"/>
        <v>+1</v>
      </c>
      <c r="R112" s="206" t="str">
        <f t="shared" ca="1" si="107"/>
        <v>+0</v>
      </c>
      <c r="S112" s="207" t="str">
        <f t="shared" ca="1" si="107"/>
        <v>+0</v>
      </c>
      <c r="T112" s="213" t="str">
        <f t="shared" ca="1" si="107"/>
        <v>+2</v>
      </c>
      <c r="U112" s="206" t="str">
        <f t="shared" ca="1" si="107"/>
        <v>+0</v>
      </c>
      <c r="V112" s="207" t="str">
        <f t="shared" ca="1" si="107"/>
        <v>+0</v>
      </c>
      <c r="W112" s="213" t="str">
        <f t="shared" ca="1" si="107"/>
        <v>+0</v>
      </c>
      <c r="X112" s="206" t="str">
        <f t="shared" ca="1" si="107"/>
        <v>+44</v>
      </c>
      <c r="Y112" s="207" t="str">
        <f t="shared" ca="1" si="107"/>
        <v>+1</v>
      </c>
      <c r="Z112" s="213" t="str">
        <f t="shared" ca="1" si="107"/>
        <v>+0</v>
      </c>
      <c r="AA112" s="206" t="str">
        <f t="shared" ca="1" si="107"/>
        <v>+1927</v>
      </c>
      <c r="AB112" s="207" t="str">
        <f t="shared" ca="1" si="107"/>
        <v>+383</v>
      </c>
      <c r="AC112" s="213" t="str">
        <f t="shared" ca="1" si="107"/>
        <v>+8104</v>
      </c>
      <c r="AD112" s="206" t="str">
        <f t="shared" ca="1" si="107"/>
        <v>+2373</v>
      </c>
      <c r="AE112" s="207" t="str">
        <f t="shared" ca="1" si="107"/>
        <v>+170</v>
      </c>
      <c r="AF112" s="213" t="str">
        <f t="shared" ca="1" si="107"/>
        <v>+1279</v>
      </c>
      <c r="AG112" s="206" t="str">
        <f t="shared" ca="1" si="107"/>
        <v>+419</v>
      </c>
      <c r="AH112" s="207" t="str">
        <f t="shared" ca="1" si="107"/>
        <v>+6</v>
      </c>
      <c r="AI112" s="213" t="str">
        <f t="shared" ca="1" si="107"/>
        <v>+338</v>
      </c>
      <c r="AJ112" s="206" t="str">
        <f t="shared" ca="1" si="107"/>
        <v>+171</v>
      </c>
      <c r="AK112" s="207" t="str">
        <f t="shared" ca="1" si="107"/>
        <v>+13</v>
      </c>
      <c r="AL112" s="213" t="str">
        <f t="shared" ca="1" si="107"/>
        <v>+20</v>
      </c>
      <c r="AM112" s="206" t="str">
        <f t="shared" ca="1" si="107"/>
        <v>+2</v>
      </c>
      <c r="AN112" s="207" t="str">
        <f t="shared" ca="1" si="107"/>
        <v>+2</v>
      </c>
      <c r="AO112" s="213" t="str">
        <f t="shared" ca="1" si="107"/>
        <v>+12</v>
      </c>
      <c r="AP112" s="206" t="str">
        <f t="shared" ca="1" si="107"/>
        <v>+52</v>
      </c>
      <c r="AQ112" s="207" t="str">
        <f t="shared" ca="1" si="107"/>
        <v>+2</v>
      </c>
      <c r="AR112" s="213" t="str">
        <f t="shared" ca="1" si="107"/>
        <v>+30</v>
      </c>
      <c r="AS112" s="206" t="str">
        <f t="shared" ca="1" si="107"/>
        <v>+0</v>
      </c>
      <c r="AT112" s="207" t="str">
        <f t="shared" ca="1" si="107"/>
        <v>+0</v>
      </c>
      <c r="AU112" s="213" t="str">
        <f t="shared" ca="1" si="107"/>
        <v>+0</v>
      </c>
      <c r="AV112" s="206" t="str">
        <f t="shared" ca="1" si="107"/>
        <v>+0</v>
      </c>
      <c r="AW112" s="207" t="str">
        <f t="shared" ca="1" si="107"/>
        <v>+0</v>
      </c>
      <c r="AX112" s="213" t="str">
        <f t="shared" ca="1" si="107"/>
        <v>+0</v>
      </c>
      <c r="AY112" s="206" t="str">
        <f t="shared" ca="1" si="107"/>
        <v>+17</v>
      </c>
      <c r="AZ112" s="207" t="str">
        <f t="shared" ca="1" si="107"/>
        <v>+0</v>
      </c>
      <c r="BA112" s="213" t="str">
        <f t="shared" ca="1" si="107"/>
        <v>+2</v>
      </c>
      <c r="BB112" s="206" t="str">
        <f t="shared" ca="1" si="107"/>
        <v>+660</v>
      </c>
      <c r="BC112" s="207" t="str">
        <f t="shared" ca="1" si="107"/>
        <v>+33</v>
      </c>
      <c r="BD112" s="213" t="str">
        <f t="shared" ca="1" si="107"/>
        <v>+0</v>
      </c>
      <c r="BE112" s="206" t="str">
        <f t="shared" ca="1" si="107"/>
        <v>+27757</v>
      </c>
      <c r="BF112" s="207" t="str">
        <f t="shared" ca="1" si="107"/>
        <v>+1411</v>
      </c>
      <c r="BG112" s="213" t="str">
        <f t="shared" ca="1" si="107"/>
        <v>+4843</v>
      </c>
      <c r="BH112" s="206" t="str">
        <f t="shared" ca="1" si="107"/>
        <v>+0</v>
      </c>
      <c r="BI112" s="207" t="str">
        <f t="shared" ca="1" si="107"/>
        <v>+0</v>
      </c>
      <c r="BJ112" s="213" t="str">
        <f t="shared" ca="1" si="107"/>
        <v>+0</v>
      </c>
      <c r="BK112" s="206" t="str">
        <f t="shared" ca="1" si="107"/>
        <v>+0</v>
      </c>
      <c r="BL112" s="207" t="str">
        <f t="shared" ca="1" si="107"/>
        <v>+0</v>
      </c>
      <c r="BM112" s="213" t="str">
        <f t="shared" ca="1" si="107"/>
        <v>+0</v>
      </c>
      <c r="BN112" s="206" t="str">
        <f t="shared" ca="1" si="107"/>
        <v>+0</v>
      </c>
      <c r="BO112" s="207" t="str">
        <f t="shared" ca="1" si="107"/>
        <v>+0</v>
      </c>
      <c r="BP112" s="213" t="str">
        <f t="shared" ca="1" si="107"/>
        <v>+0</v>
      </c>
      <c r="BQ112" s="206" t="str">
        <f t="shared" ca="1" si="107"/>
        <v>+32</v>
      </c>
      <c r="BR112" s="207" t="str">
        <f t="shared" ca="1" si="107"/>
        <v>+0</v>
      </c>
      <c r="BS112" s="213" t="str">
        <f t="shared" ca="1" si="107"/>
        <v>+0</v>
      </c>
      <c r="BT112" s="206" t="str">
        <f t="shared" ca="1" si="107"/>
        <v>+2</v>
      </c>
      <c r="BU112" s="207" t="str">
        <f t="shared" ca="1" si="107"/>
        <v>+0</v>
      </c>
      <c r="BV112" s="213" t="str">
        <f t="shared" ca="1" si="107"/>
        <v>+0</v>
      </c>
      <c r="BW112" s="206" t="str">
        <f t="shared" ca="1" si="107"/>
        <v>+0</v>
      </c>
      <c r="BX112" s="207" t="str">
        <f t="shared" ca="1" si="107"/>
        <v>+0</v>
      </c>
      <c r="BY112" s="213" t="str">
        <f t="shared" ca="1" si="107"/>
        <v>+0</v>
      </c>
      <c r="BZ112" s="206" t="str">
        <f t="shared" ca="1" si="107"/>
        <v>+3</v>
      </c>
      <c r="CA112" s="207" t="str">
        <f t="shared" ca="1" si="107"/>
        <v>+0</v>
      </c>
      <c r="CB112" s="213" t="str">
        <f t="shared" ca="1" si="107"/>
        <v>+0</v>
      </c>
      <c r="CC112" s="206" t="str">
        <f t="shared" ca="1" si="107"/>
        <v>+5</v>
      </c>
      <c r="CD112" s="207" t="str">
        <f t="shared" ca="1" si="107"/>
        <v>+0</v>
      </c>
      <c r="CE112" s="213" t="str">
        <f t="shared" ca="1" si="107"/>
        <v>+10</v>
      </c>
      <c r="CF112" s="206" t="str">
        <f t="shared" ca="1" si="107"/>
        <v>+0</v>
      </c>
      <c r="CG112" s="207" t="str">
        <f t="shared" ca="1" si="107"/>
        <v>+0</v>
      </c>
      <c r="CH112" s="213" t="str">
        <f t="shared" ca="1" si="107"/>
        <v>+0</v>
      </c>
      <c r="CI112" s="206" t="str">
        <f t="shared" ca="1" si="107"/>
        <v>+23</v>
      </c>
      <c r="CJ112" s="207" t="str">
        <f t="shared" ca="1" si="107"/>
        <v>+0</v>
      </c>
      <c r="CK112" s="213" t="str">
        <f t="shared" ca="1" si="107"/>
        <v>+0</v>
      </c>
      <c r="CL112" s="206" t="str">
        <f t="shared" ca="1" si="107"/>
        <v>+0</v>
      </c>
      <c r="CM112" s="207" t="str">
        <f t="shared" ca="1" si="107"/>
        <v>+0</v>
      </c>
      <c r="CN112" s="213" t="str">
        <f t="shared" ca="1" si="107"/>
        <v>+0</v>
      </c>
      <c r="CO112" s="206" t="str">
        <f t="shared" ca="1" si="107"/>
        <v>+764</v>
      </c>
      <c r="CP112" s="207" t="str">
        <f t="shared" ca="1" si="107"/>
        <v>+36</v>
      </c>
      <c r="CQ112" s="213" t="str">
        <f t="shared" ca="1" si="107"/>
        <v>+0</v>
      </c>
      <c r="CR112" s="206" t="str">
        <f t="shared" ca="1" si="107"/>
        <v>+0</v>
      </c>
      <c r="CS112" s="207" t="str">
        <f t="shared" ca="1" si="107"/>
        <v>+0</v>
      </c>
      <c r="CT112" s="213" t="str">
        <f t="shared" ca="1" si="107"/>
        <v>+0</v>
      </c>
      <c r="CU112" s="206" t="str">
        <f t="shared" ca="1" si="107"/>
        <v>+194</v>
      </c>
      <c r="CV112" s="207" t="str">
        <f t="shared" ca="1" si="107"/>
        <v>+6</v>
      </c>
      <c r="CW112" s="213" t="str">
        <f t="shared" ca="1" si="107"/>
        <v>+0</v>
      </c>
      <c r="CX112" s="206" t="str">
        <f t="shared" ca="1" si="107"/>
        <v>+2</v>
      </c>
      <c r="CY112" s="207" t="str">
        <f t="shared" ca="1" si="107"/>
        <v>+0</v>
      </c>
      <c r="CZ112" s="213" t="str">
        <f t="shared" ca="1" si="107"/>
        <v>+5</v>
      </c>
      <c r="DA112" s="206" t="str">
        <f t="shared" ca="1" si="107"/>
        <v>+697</v>
      </c>
      <c r="DB112" s="207" t="str">
        <f t="shared" ca="1" si="107"/>
        <v>+45</v>
      </c>
      <c r="DC112" s="213" t="str">
        <f t="shared" ca="1" si="107"/>
        <v>+157</v>
      </c>
      <c r="DD112" s="206" t="str">
        <f t="shared" ca="1" si="107"/>
        <v>+0</v>
      </c>
      <c r="DE112" s="207" t="str">
        <f t="shared" ca="1" si="107"/>
        <v>+0</v>
      </c>
      <c r="DF112" s="213" t="str">
        <f t="shared" ca="1" si="107"/>
        <v>+0</v>
      </c>
      <c r="DG112" s="206" t="str">
        <f t="shared" ca="1" si="107"/>
        <v>+284</v>
      </c>
      <c r="DH112" s="207" t="str">
        <f t="shared" ca="1" si="107"/>
        <v>+9</v>
      </c>
      <c r="DI112" s="213" t="str">
        <f t="shared" ca="1" si="107"/>
        <v>+53</v>
      </c>
      <c r="DJ112" s="206" t="str">
        <f t="shared" ca="1" si="107"/>
        <v>+0</v>
      </c>
      <c r="DK112" s="207" t="str">
        <f t="shared" ca="1" si="107"/>
        <v>+0</v>
      </c>
      <c r="DL112" s="213" t="str">
        <f t="shared" ca="1" si="107"/>
        <v>+0</v>
      </c>
      <c r="DM112" s="206" t="str">
        <f t="shared" ca="1" si="107"/>
        <v>+1</v>
      </c>
      <c r="DN112" s="207" t="str">
        <f t="shared" ca="1" si="107"/>
        <v>+0</v>
      </c>
      <c r="DO112" s="213" t="str">
        <f t="shared" ca="1" si="107"/>
        <v>+0</v>
      </c>
      <c r="DP112" s="206" t="str">
        <f t="shared" ca="1" si="107"/>
        <v>+0</v>
      </c>
      <c r="DQ112" s="207" t="str">
        <f t="shared" ca="1" si="107"/>
        <v>+0</v>
      </c>
      <c r="DR112" s="213" t="str">
        <f t="shared" ca="1" si="107"/>
        <v>+2</v>
      </c>
      <c r="DS112" s="206" t="str">
        <f t="shared" ca="1" si="107"/>
        <v>+0</v>
      </c>
      <c r="DT112" s="207" t="str">
        <f t="shared" ca="1" si="107"/>
        <v>+0</v>
      </c>
      <c r="DU112" s="213" t="str">
        <f t="shared" ca="1" si="107"/>
        <v>+0</v>
      </c>
      <c r="DV112" s="206" t="str">
        <f t="shared" ca="1" si="107"/>
        <v>+0</v>
      </c>
      <c r="DW112" s="207" t="str">
        <f t="shared" ca="1" si="107"/>
        <v>+0</v>
      </c>
      <c r="DX112" s="213" t="str">
        <f t="shared" ca="1" si="107"/>
        <v>+0</v>
      </c>
      <c r="DY112" s="206" t="str">
        <f t="shared" ca="1" si="107"/>
        <v>+0</v>
      </c>
      <c r="DZ112" s="207" t="str">
        <f t="shared" ca="1" si="107"/>
        <v>+0</v>
      </c>
      <c r="EA112" s="213" t="str">
        <f t="shared" ca="1" si="107"/>
        <v>+0</v>
      </c>
      <c r="EB112" s="206" t="str">
        <f t="shared" ca="1" si="107"/>
        <v>+0</v>
      </c>
      <c r="EC112" s="207" t="str">
        <f t="shared" ca="1" si="107"/>
        <v>+0</v>
      </c>
      <c r="ED112" s="213" t="str">
        <f t="shared" ca="1" si="107"/>
        <v>+0</v>
      </c>
      <c r="EE112" s="206" t="str">
        <f t="shared" ca="1" si="107"/>
        <v>+0</v>
      </c>
      <c r="EF112" s="207" t="str">
        <f t="shared" ca="1" si="107"/>
        <v>+0</v>
      </c>
      <c r="EG112" s="213" t="str">
        <f t="shared" ca="1" si="107"/>
        <v>+0</v>
      </c>
      <c r="EH112" s="206" t="str">
        <f t="shared" ca="1" si="107"/>
        <v>+11</v>
      </c>
      <c r="EI112" s="207" t="str">
        <f t="shared" ca="1" si="107"/>
        <v>+0</v>
      </c>
      <c r="EJ112" s="213" t="str">
        <f t="shared" ca="1" si="107"/>
        <v>+0</v>
      </c>
      <c r="EK112" s="206" t="str">
        <f t="shared" ca="1" si="107"/>
        <v>+29</v>
      </c>
      <c r="EL112" s="207" t="str">
        <f t="shared" ca="1" si="107"/>
        <v>+0</v>
      </c>
      <c r="EM112" s="213" t="str">
        <f t="shared" ca="1" si="107"/>
        <v>+0</v>
      </c>
      <c r="EN112" s="183"/>
      <c r="EO112" s="184"/>
      <c r="EP112" s="185"/>
      <c r="EQ112" s="183"/>
      <c r="ER112" s="184"/>
      <c r="ES112" s="185"/>
      <c r="ET112" s="183"/>
      <c r="EU112" s="184"/>
    </row>
    <row r="113" spans="1:151" ht="12.75">
      <c r="A113" s="187" t="s">
        <v>395</v>
      </c>
      <c r="B113" s="578">
        <f ca="1">OFFSET(B113,-3,1,1,1)*100/OFFSET(B113,-3,0,1,1)</f>
        <v>5.2911233090452203</v>
      </c>
      <c r="C113" s="531"/>
      <c r="D113" s="531"/>
      <c r="E113" s="532"/>
      <c r="F113" s="578">
        <f ca="1">OFFSET(F113,-3,1,1,1)*100/OFFSET(F113,-3,0,1,1)</f>
        <v>13.043478260869565</v>
      </c>
      <c r="G113" s="531"/>
      <c r="H113" s="532"/>
      <c r="I113" s="578">
        <f ca="1">OFFSET(I113,-3,1,1,1)*100/OFFSET(I113,-3,0,1,1)</f>
        <v>4.6242774566473992</v>
      </c>
      <c r="J113" s="531"/>
      <c r="K113" s="532"/>
      <c r="O113" s="578">
        <f ca="1">OFFSET(O113,-3,1,1,1)*100/OFFSET(O113,-3,0,1,1)</f>
        <v>15</v>
      </c>
      <c r="P113" s="531"/>
      <c r="Q113" s="532"/>
      <c r="R113" s="578">
        <f ca="1">OFFSET(R113,-3,1,1,1)*100/OFFSET(R113,-3,0,1,1)</f>
        <v>6.666666666666667</v>
      </c>
      <c r="S113" s="531"/>
      <c r="T113" s="532"/>
      <c r="U113" s="578">
        <f ca="1">OFFSET(U113,-3,1,1,1)*100/OFFSET(U113,-3,0,1,1)</f>
        <v>11.111111111111111</v>
      </c>
      <c r="V113" s="531"/>
      <c r="W113" s="532"/>
      <c r="X113" s="578">
        <f ca="1">OFFSET(X113,-3,1,1,1)*100/OFFSET(X113,-3,0,1,1)</f>
        <v>5.8510638297872344</v>
      </c>
      <c r="Y113" s="531"/>
      <c r="Z113" s="532"/>
      <c r="AA113" s="578">
        <f ca="1">OFFSET(AA113,-3,1,1,1)*100/OFFSET(AA113,-3,0,1,1)</f>
        <v>7.0106700179887138</v>
      </c>
      <c r="AB113" s="531"/>
      <c r="AC113" s="532"/>
      <c r="AD113" s="578">
        <f ca="1">OFFSET(AD113,-3,1,1,1)*100/OFFSET(AD113,-3,0,1,1)</f>
        <v>4.5697917224393638</v>
      </c>
      <c r="AE113" s="531"/>
      <c r="AF113" s="532"/>
      <c r="AG113" s="578">
        <f ca="1">OFFSET(AG113,-3,1,1,1)*100/OFFSET(AG113,-3,0,1,1)</f>
        <v>1.3229275720947939</v>
      </c>
      <c r="AH113" s="531"/>
      <c r="AI113" s="532"/>
      <c r="AJ113" s="578">
        <f ca="1">OFFSET(AJ113,-3,1,1,1)*100/OFFSET(AJ113,-3,0,1,1)</f>
        <v>4.7204641350210972</v>
      </c>
      <c r="AK113" s="531"/>
      <c r="AL113" s="532"/>
      <c r="AM113" s="578">
        <f ca="1">OFFSET(AM113,-3,1,1,1)*100/OFFSET(AM113,-3,0,1,1)</f>
        <v>0.90634441087613293</v>
      </c>
      <c r="AN113" s="531"/>
      <c r="AO113" s="532"/>
      <c r="AP113" s="578">
        <f ca="1">OFFSET(AP113,-3,1,1,1)*100/OFFSET(AP113,-3,0,1,1)</f>
        <v>3.3118675252989882</v>
      </c>
      <c r="AQ113" s="531"/>
      <c r="AR113" s="532"/>
      <c r="AS113" s="578">
        <f ca="1">OFFSET(AS113,-3,1,1,1)*100/OFFSET(AS113,-3,0,1,1)</f>
        <v>100</v>
      </c>
      <c r="AT113" s="531"/>
      <c r="AU113" s="532"/>
      <c r="AY113" s="578">
        <f ca="1">OFFSET(AY113,-3,1,1,1)*100/OFFSET(AY113,-3,0,1,1)</f>
        <v>3.2110091743119265</v>
      </c>
      <c r="AZ113" s="531"/>
      <c r="BA113" s="532"/>
      <c r="BB113" s="578">
        <f ca="1">OFFSET(BB113,-3,1,1,1)*100/OFFSET(BB113,-3,0,1,1)</f>
        <v>5.0059241706161135</v>
      </c>
      <c r="BC113" s="531"/>
      <c r="BD113" s="532"/>
      <c r="BE113" s="578">
        <f ca="1">OFFSET(BE113,-3,1,1,1)*100/OFFSET(BE113,-3,0,1,1)</f>
        <v>5.345657419346602</v>
      </c>
      <c r="BF113" s="531"/>
      <c r="BG113" s="532"/>
      <c r="BN113" s="578">
        <f ca="1">OFFSET(BN113,-3,1,1,1)*100/OFFSET(BN113,-3,0,1,1)</f>
        <v>5.5944055944055942</v>
      </c>
      <c r="BO113" s="531"/>
      <c r="BP113" s="532"/>
      <c r="BQ113" s="578">
        <f ca="1">OFFSET(BQ113,-3,1,1,1)*100/OFFSET(BQ113,-3,0,1,1)</f>
        <v>2.422145328719723</v>
      </c>
      <c r="BR113" s="531"/>
      <c r="BS113" s="532"/>
      <c r="BT113" s="578">
        <f ca="1">OFFSET(BT113,-3,1,1,1)*100/OFFSET(BT113,-3,0,1,1)</f>
        <v>10.76923076923077</v>
      </c>
      <c r="BU113" s="531"/>
      <c r="BV113" s="532"/>
      <c r="BZ113" s="578">
        <f ca="1">OFFSET(BZ113,-3,1,1,1)*100/OFFSET(BZ113,-3,0,1,1)</f>
        <v>6.3829787234042552</v>
      </c>
      <c r="CA113" s="531"/>
      <c r="CB113" s="532"/>
      <c r="CC113" s="578">
        <f ca="1">OFFSET(CC113,-3,1,1,1)*100/OFFSET(CC113,-3,0,1,1)</f>
        <v>9.6436058700209646</v>
      </c>
      <c r="CD113" s="531"/>
      <c r="CE113" s="532"/>
      <c r="CI113" s="578">
        <f ca="1">OFFSET(CI113,-3,1,1,1)*100/OFFSET(CI113,-3,0,1,1)</f>
        <v>2.5510204081632653</v>
      </c>
      <c r="CJ113" s="531"/>
      <c r="CK113" s="532"/>
      <c r="CL113" s="578">
        <f ca="1">OFFSET(CL113,-3,1,1,1)*100/OFFSET(CL113,-3,0,1,1)</f>
        <v>3.870967741935484</v>
      </c>
      <c r="CM113" s="531"/>
      <c r="CN113" s="532"/>
      <c r="CO113" s="578">
        <f ca="1">OFFSET(CO113,-3,1,1,1)*100/OFFSET(CO113,-3,0,1,1)</f>
        <v>8.3040794092724859</v>
      </c>
      <c r="CP113" s="531"/>
      <c r="CQ113" s="532"/>
      <c r="CR113" s="578">
        <f ca="1">OFFSET(CR113,-3,1,1,1)*100/OFFSET(CR113,-3,0,1,1)</f>
        <v>20</v>
      </c>
      <c r="CS113" s="531"/>
      <c r="CT113" s="532"/>
      <c r="CU113" s="578">
        <f ca="1">OFFSET(CU113,-3,1,1,1)*100/OFFSET(CU113,-3,0,1,1)</f>
        <v>2.8206850235057086</v>
      </c>
      <c r="CV113" s="531"/>
      <c r="CW113" s="532"/>
      <c r="CX113" s="578">
        <f ca="1">OFFSET(CX113,-3,1,1,1)*100/OFFSET(CX113,-3,0,1,1)</f>
        <v>3.8461538461538463</v>
      </c>
      <c r="CY113" s="531"/>
      <c r="CZ113" s="532"/>
      <c r="DA113" s="578">
        <f ca="1">OFFSET(DA113,-3,1,1,1)*100/OFFSET(DA113,-3,0,1,1)</f>
        <v>2.7258805513016844</v>
      </c>
      <c r="DB113" s="531"/>
      <c r="DC113" s="532"/>
      <c r="DG113" s="578">
        <f ca="1">OFFSET(DG113,-3,1,1,1)*100/OFFSET(DG113,-3,0,1,1)</f>
        <v>4.7340854149879128</v>
      </c>
      <c r="DH113" s="531"/>
      <c r="DI113" s="532"/>
      <c r="DS113" s="578">
        <f ca="1">OFFSET(DS113,-3,1,1,1)*100/OFFSET(DS113,-3,0,1,1)</f>
        <v>12.5</v>
      </c>
      <c r="DT113" s="531"/>
      <c r="DU113" s="532"/>
      <c r="EB113" s="578">
        <f ca="1">OFFSET(EB113,-3,1,1,1)*100/OFFSET(EB113,-3,0,1,1)</f>
        <v>10</v>
      </c>
      <c r="EC113" s="531"/>
      <c r="ED113" s="532"/>
      <c r="EE113" s="578">
        <f ca="1">OFFSET(EE113,-3,1,1,1)*100/OFFSET(EE113,-3,0,1,1)</f>
        <v>7.0175438596491224</v>
      </c>
      <c r="EF113" s="531"/>
      <c r="EG113" s="532"/>
      <c r="EH113" s="578">
        <f ca="1">OFFSET(EH113,-3,1,1,1)*100/OFFSET(EH113,-3,0,1,1)</f>
        <v>1.893939393939394</v>
      </c>
      <c r="EI113" s="531"/>
      <c r="EJ113" s="532"/>
      <c r="EK113" s="578">
        <f ca="1">OFFSET(EK113,-3,1,1,1)*100/OFFSET(EK113,-3,0,1,1)</f>
        <v>3.515625</v>
      </c>
      <c r="EL113" s="531"/>
      <c r="EM113" s="532"/>
    </row>
    <row r="114" spans="1:151" ht="12.75">
      <c r="A114" s="576" t="s">
        <v>399</v>
      </c>
      <c r="B114" s="531"/>
      <c r="C114" s="531"/>
      <c r="D114" s="531"/>
      <c r="E114" s="531"/>
      <c r="I114" s="573">
        <f ca="1">OFFSET(I114,-4,0,1,1)*100/45603981</f>
        <v>6.4489983889783661E-3</v>
      </c>
      <c r="J114" s="574"/>
      <c r="K114" s="550"/>
      <c r="AA114" s="573">
        <f ca="1">OFFSET(AA114,-4,0,1,1)*100/217049060</f>
        <v>1.8696694655116222E-2</v>
      </c>
      <c r="AB114" s="574"/>
      <c r="AC114" s="550"/>
      <c r="AD114" s="573">
        <f ca="1">OFFSET(AD114,-4,0,1,1)*100/37751558</f>
        <v>9.8946909687806797E-2</v>
      </c>
      <c r="AE114" s="574"/>
      <c r="AF114" s="550"/>
      <c r="AG114" s="573">
        <f ca="1">OFFSET(AG114,-4,0,1,1)*100/18879146</f>
        <v>5.5654000451079724E-2</v>
      </c>
      <c r="AH114" s="574"/>
      <c r="AI114" s="550"/>
      <c r="AJ114" s="573">
        <f ca="1">OFFSET(AJ114,-4,0,1,1)*100/50536181</f>
        <v>7.503534942618636E-3</v>
      </c>
      <c r="AK114" s="574"/>
      <c r="AL114" s="550"/>
      <c r="AY114" s="565" t="s">
        <v>1092</v>
      </c>
      <c r="AZ114" s="531"/>
      <c r="BA114" s="531"/>
      <c r="BB114" s="573">
        <f ca="1">OFFSET(BB114,-4,0,1,1)*100/17377544</f>
        <v>5.8282113974218681E-2</v>
      </c>
      <c r="BC114" s="574"/>
      <c r="BD114" s="550"/>
      <c r="BE114" s="573">
        <f ca="1">OFFSET(BE114,-4,0,1,1)*100/333386877</f>
        <v>0.23494925986543855</v>
      </c>
      <c r="BF114" s="574"/>
      <c r="BG114" s="550"/>
      <c r="CO114" s="573">
        <f ca="1">OFFSET(CO114,-4,0,1,1)*100/135538633</f>
        <v>6.0949412113371392E-3</v>
      </c>
      <c r="CP114" s="574"/>
      <c r="CQ114" s="550"/>
      <c r="CU114" s="573">
        <f ca="1">OFFSET(CU114,-4,0,1,1)*100/4245252</f>
        <v>0.10522343549923538</v>
      </c>
      <c r="CV114" s="574"/>
      <c r="CW114" s="550"/>
      <c r="DA114" s="573">
        <f ca="1">OFFSET(DA114,-4,0,1,1)*100/33396456</f>
        <v>4.8882432315572648E-2</v>
      </c>
      <c r="DB114" s="574"/>
      <c r="DC114" s="550"/>
      <c r="DG114" s="573">
        <f ca="1">OFFSET(DG114,-4,0,1,1)*100/11163725</f>
        <v>4.4465445001556379E-2</v>
      </c>
      <c r="DH114" s="574"/>
      <c r="DI114" s="550"/>
    </row>
    <row r="115" spans="1:151" ht="12.75">
      <c r="A115" s="576" t="s">
        <v>697</v>
      </c>
      <c r="B115" s="531"/>
      <c r="C115" s="531"/>
      <c r="D115" s="531"/>
      <c r="E115" s="531"/>
      <c r="I115" s="575" t="s">
        <v>1094</v>
      </c>
      <c r="J115" s="540"/>
      <c r="K115" s="542"/>
      <c r="AA115" s="575" t="s">
        <v>1095</v>
      </c>
      <c r="AB115" s="540"/>
      <c r="AC115" s="542"/>
      <c r="AD115" s="575" t="s">
        <v>1096</v>
      </c>
      <c r="AE115" s="540"/>
      <c r="AF115" s="542"/>
      <c r="AG115" s="575" t="s">
        <v>1097</v>
      </c>
      <c r="AH115" s="540"/>
      <c r="AI115" s="542"/>
      <c r="AJ115" s="575" t="s">
        <v>1098</v>
      </c>
      <c r="AK115" s="540"/>
      <c r="AL115" s="542"/>
      <c r="BB115" s="575" t="s">
        <v>1099</v>
      </c>
      <c r="BC115" s="540"/>
      <c r="BD115" s="542"/>
      <c r="BE115" s="575" t="s">
        <v>1100</v>
      </c>
      <c r="BF115" s="540"/>
      <c r="BG115" s="542"/>
      <c r="CO115" s="575" t="s">
        <v>1101</v>
      </c>
      <c r="CP115" s="540"/>
      <c r="CQ115" s="542"/>
      <c r="CU115" s="575" t="s">
        <v>1102</v>
      </c>
      <c r="CV115" s="540"/>
      <c r="CW115" s="542"/>
      <c r="DA115" s="575" t="s">
        <v>1103</v>
      </c>
      <c r="DB115" s="540"/>
      <c r="DC115" s="542"/>
      <c r="DG115" s="575" t="s">
        <v>1104</v>
      </c>
      <c r="DH115" s="540"/>
      <c r="DI115" s="542"/>
    </row>
    <row r="116" spans="1:151" ht="12.75">
      <c r="A116" s="576" t="s">
        <v>722</v>
      </c>
      <c r="B116" s="531"/>
      <c r="C116" s="531"/>
      <c r="D116" s="531"/>
      <c r="E116" s="531"/>
      <c r="I116" s="327">
        <f ca="1">I114*1000</f>
        <v>6.4489983889783664</v>
      </c>
      <c r="J116" s="544" t="s">
        <v>431</v>
      </c>
      <c r="K116" s="532"/>
      <c r="AA116" s="327">
        <f ca="1">AA114*1000</f>
        <v>18.696694655116222</v>
      </c>
      <c r="AB116" s="544" t="s">
        <v>431</v>
      </c>
      <c r="AC116" s="532"/>
      <c r="AD116" s="327">
        <f ca="1">AD114*1000</f>
        <v>98.946909687806794</v>
      </c>
      <c r="AE116" s="544" t="s">
        <v>431</v>
      </c>
      <c r="AF116" s="532"/>
      <c r="AG116" s="327">
        <f ca="1">AG114*1000</f>
        <v>55.654000451079725</v>
      </c>
      <c r="AH116" s="544" t="s">
        <v>431</v>
      </c>
      <c r="AI116" s="532"/>
      <c r="AJ116" s="327">
        <f ca="1">AJ114*1000</f>
        <v>7.5035349426186357</v>
      </c>
      <c r="AK116" s="544" t="s">
        <v>431</v>
      </c>
      <c r="AL116" s="532"/>
      <c r="BB116" s="327">
        <f ca="1">BB114*1000</f>
        <v>58.282113974218682</v>
      </c>
      <c r="BC116" s="544" t="s">
        <v>431</v>
      </c>
      <c r="BD116" s="532"/>
      <c r="BE116" s="327">
        <f ca="1">BE114*1000</f>
        <v>234.94925986543853</v>
      </c>
      <c r="BF116" s="544" t="s">
        <v>431</v>
      </c>
      <c r="BG116" s="532"/>
      <c r="CO116" s="327">
        <f ca="1">CO114*1000</f>
        <v>6.0949412113371393</v>
      </c>
      <c r="CP116" s="544" t="s">
        <v>431</v>
      </c>
      <c r="CQ116" s="532"/>
      <c r="CU116" s="327">
        <f ca="1">CU114*1000</f>
        <v>105.22343549923538</v>
      </c>
      <c r="CV116" s="544" t="s">
        <v>431</v>
      </c>
      <c r="CW116" s="532"/>
      <c r="DA116" s="327">
        <f ca="1">DA114*1000</f>
        <v>48.88243231557265</v>
      </c>
      <c r="DB116" s="544" t="s">
        <v>431</v>
      </c>
      <c r="DC116" s="532"/>
      <c r="DG116" s="327">
        <f ca="1">DG114*1000</f>
        <v>44.465445001556382</v>
      </c>
      <c r="DH116" s="544" t="s">
        <v>431</v>
      </c>
      <c r="DI116" s="532"/>
    </row>
    <row r="117" spans="1:151" ht="12.75">
      <c r="A117" s="188"/>
    </row>
    <row r="118" spans="1:151" ht="12.75">
      <c r="A118" s="328" t="s">
        <v>1105</v>
      </c>
      <c r="D118" s="329">
        <f>COUNTA(F2:EM2)</f>
        <v>46</v>
      </c>
    </row>
    <row r="119" spans="1:151" ht="12.75">
      <c r="A119" s="188"/>
      <c r="BE119" s="135"/>
    </row>
    <row r="120" spans="1:151" ht="9" customHeight="1">
      <c r="A120" s="610" t="s">
        <v>351</v>
      </c>
      <c r="B120" s="536"/>
      <c r="C120" s="536"/>
      <c r="D120" s="536"/>
      <c r="E120" s="537"/>
      <c r="F120" s="555" t="s">
        <v>1106</v>
      </c>
      <c r="G120" s="536"/>
      <c r="H120" s="536"/>
      <c r="I120" s="536"/>
      <c r="J120" s="536"/>
      <c r="K120" s="536"/>
      <c r="L120" s="536"/>
      <c r="M120" s="536"/>
      <c r="N120" s="536"/>
      <c r="O120" s="536"/>
      <c r="P120" s="536"/>
      <c r="Q120" s="536"/>
      <c r="R120" s="536"/>
      <c r="S120" s="536"/>
      <c r="T120" s="536"/>
      <c r="U120" s="536"/>
      <c r="V120" s="536"/>
      <c r="W120" s="536"/>
      <c r="X120" s="536"/>
      <c r="Y120" s="536"/>
      <c r="Z120" s="536"/>
      <c r="AA120" s="536"/>
      <c r="AB120" s="536"/>
      <c r="AC120" s="536"/>
      <c r="AD120" s="536"/>
      <c r="AE120" s="536"/>
      <c r="AF120" s="536"/>
      <c r="AG120" s="536"/>
      <c r="AH120" s="536"/>
      <c r="AI120" s="536"/>
      <c r="AJ120" s="536"/>
      <c r="AK120" s="536"/>
      <c r="AL120" s="536"/>
      <c r="AM120" s="536"/>
      <c r="AN120" s="536"/>
      <c r="AO120" s="537"/>
      <c r="AP120" s="191"/>
      <c r="AQ120" s="191"/>
      <c r="AR120" s="191"/>
      <c r="AS120" s="191"/>
      <c r="AT120" s="191"/>
      <c r="AU120" s="191"/>
      <c r="AV120" s="191"/>
      <c r="AW120" s="191"/>
      <c r="AX120" s="191"/>
      <c r="AY120" s="191"/>
      <c r="AZ120" s="191"/>
      <c r="BA120" s="191"/>
      <c r="BB120" s="191"/>
      <c r="BC120" s="191"/>
      <c r="BD120" s="191"/>
      <c r="BE120" s="135"/>
      <c r="BF120" s="191"/>
      <c r="BG120" s="191"/>
      <c r="BH120" s="191"/>
      <c r="BI120" s="191"/>
      <c r="BJ120" s="191"/>
      <c r="BK120" s="191"/>
      <c r="BL120" s="191"/>
      <c r="BM120" s="191"/>
      <c r="BN120" s="191"/>
      <c r="BO120" s="191"/>
      <c r="BP120" s="191"/>
      <c r="BQ120" s="191"/>
      <c r="BR120" s="191"/>
      <c r="BS120" s="191"/>
      <c r="BT120" s="191"/>
      <c r="BU120" s="191"/>
      <c r="BV120" s="191"/>
      <c r="BW120" s="191"/>
      <c r="BX120" s="191"/>
      <c r="BY120" s="191"/>
      <c r="BZ120" s="191"/>
      <c r="CA120" s="191"/>
      <c r="CB120" s="191"/>
      <c r="CC120" s="191"/>
      <c r="CD120" s="191"/>
      <c r="CE120" s="191"/>
      <c r="CF120" s="191"/>
      <c r="CG120" s="191"/>
      <c r="CH120" s="191"/>
      <c r="CI120" s="191"/>
      <c r="CJ120" s="191"/>
      <c r="CK120" s="191"/>
      <c r="CL120" s="191"/>
      <c r="CM120" s="191"/>
      <c r="CN120" s="191"/>
      <c r="CO120" s="191"/>
      <c r="CP120" s="191"/>
      <c r="CQ120" s="191"/>
      <c r="CR120" s="191"/>
      <c r="CS120" s="191"/>
      <c r="CT120" s="191"/>
      <c r="CU120" s="191"/>
      <c r="CV120" s="191"/>
      <c r="CW120" s="191"/>
      <c r="CX120" s="191"/>
      <c r="CY120" s="191"/>
      <c r="CZ120" s="191"/>
      <c r="DA120" s="191"/>
      <c r="DB120" s="191"/>
      <c r="DC120" s="191"/>
      <c r="DD120" s="191"/>
      <c r="DE120" s="191"/>
      <c r="DF120" s="191"/>
      <c r="DG120" s="191"/>
      <c r="DH120" s="191"/>
      <c r="DI120" s="191"/>
      <c r="DJ120" s="191"/>
      <c r="DK120" s="191"/>
      <c r="DL120" s="191"/>
      <c r="DM120" s="191"/>
      <c r="DN120" s="191"/>
      <c r="DO120" s="191"/>
      <c r="DP120" s="191"/>
      <c r="DQ120" s="191"/>
      <c r="DR120" s="191"/>
      <c r="DS120" s="191"/>
      <c r="DT120" s="191"/>
    </row>
    <row r="121" spans="1:151" ht="6.75" customHeight="1">
      <c r="A121" s="543"/>
      <c r="B121" s="531"/>
      <c r="C121" s="531"/>
      <c r="D121" s="531"/>
      <c r="E121" s="532"/>
      <c r="F121" s="543"/>
      <c r="G121" s="531"/>
      <c r="H121" s="531"/>
      <c r="I121" s="531"/>
      <c r="J121" s="531"/>
      <c r="K121" s="531"/>
      <c r="L121" s="531"/>
      <c r="M121" s="531"/>
      <c r="N121" s="531"/>
      <c r="O121" s="531"/>
      <c r="P121" s="531"/>
      <c r="Q121" s="531"/>
      <c r="R121" s="531"/>
      <c r="S121" s="531"/>
      <c r="T121" s="531"/>
      <c r="U121" s="531"/>
      <c r="V121" s="531"/>
      <c r="W121" s="531"/>
      <c r="X121" s="531"/>
      <c r="Y121" s="531"/>
      <c r="Z121" s="531"/>
      <c r="AA121" s="531"/>
      <c r="AB121" s="531"/>
      <c r="AC121" s="531"/>
      <c r="AD121" s="531"/>
      <c r="AE121" s="531"/>
      <c r="AF121" s="531"/>
      <c r="AG121" s="531"/>
      <c r="AH121" s="531"/>
      <c r="AI121" s="531"/>
      <c r="AJ121" s="531"/>
      <c r="AK121" s="531"/>
      <c r="AL121" s="531"/>
      <c r="AM121" s="531"/>
      <c r="AN121" s="531"/>
      <c r="AO121" s="532"/>
      <c r="AP121" s="191"/>
      <c r="AQ121" s="191"/>
      <c r="AR121" s="191"/>
      <c r="AS121" s="191"/>
      <c r="AT121" s="191"/>
      <c r="AU121" s="191"/>
      <c r="AV121" s="191"/>
      <c r="AW121" s="191"/>
      <c r="AX121" s="191"/>
      <c r="AY121" s="191"/>
      <c r="AZ121" s="191"/>
      <c r="BA121" s="191"/>
      <c r="BB121" s="191"/>
      <c r="BC121" s="191"/>
      <c r="BD121" s="191"/>
      <c r="BE121" s="191"/>
      <c r="BF121" s="191"/>
      <c r="BG121" s="191"/>
      <c r="BH121" s="191"/>
      <c r="BI121" s="191"/>
      <c r="BJ121" s="191"/>
      <c r="BK121" s="191"/>
      <c r="BL121" s="191"/>
      <c r="BM121" s="191"/>
      <c r="BN121" s="191"/>
      <c r="BO121" s="191"/>
      <c r="BP121" s="191"/>
      <c r="BQ121" s="191"/>
      <c r="BR121" s="191"/>
      <c r="BS121" s="191"/>
      <c r="BT121" s="191"/>
      <c r="BU121" s="191"/>
      <c r="BV121" s="191"/>
      <c r="BW121" s="191"/>
      <c r="BX121" s="191"/>
      <c r="BY121" s="191"/>
      <c r="BZ121" s="191"/>
      <c r="CA121" s="191"/>
      <c r="CB121" s="191"/>
      <c r="CC121" s="191"/>
      <c r="CD121" s="191"/>
      <c r="CE121" s="191"/>
      <c r="CF121" s="191"/>
      <c r="CG121" s="191"/>
      <c r="CH121" s="191"/>
      <c r="CI121" s="191"/>
      <c r="CJ121" s="191"/>
      <c r="CK121" s="191"/>
      <c r="CL121" s="191"/>
      <c r="CM121" s="191"/>
      <c r="CN121" s="191"/>
      <c r="CO121" s="191"/>
      <c r="CP121" s="191"/>
      <c r="CQ121" s="191"/>
      <c r="CR121" s="191"/>
      <c r="CS121" s="191"/>
      <c r="CT121" s="191"/>
      <c r="CU121" s="191"/>
      <c r="CV121" s="191"/>
      <c r="CW121" s="191"/>
      <c r="CX121" s="191"/>
      <c r="CY121" s="191"/>
      <c r="CZ121" s="191"/>
      <c r="DA121" s="191"/>
      <c r="DB121" s="191"/>
      <c r="DC121" s="191"/>
      <c r="DD121" s="191"/>
      <c r="DE121" s="191"/>
      <c r="DF121" s="191"/>
      <c r="DG121" s="191"/>
      <c r="DH121" s="191"/>
      <c r="DI121" s="191"/>
      <c r="DJ121" s="191"/>
      <c r="DK121" s="191"/>
      <c r="DL121" s="191"/>
      <c r="DM121" s="191"/>
      <c r="DN121" s="191"/>
      <c r="DO121" s="191"/>
      <c r="DP121" s="191"/>
      <c r="DQ121" s="191"/>
      <c r="DR121" s="191"/>
      <c r="DS121" s="191"/>
      <c r="DT121" s="191"/>
    </row>
    <row r="122" spans="1:151" ht="12.75" customHeight="1">
      <c r="A122" s="621" t="s">
        <v>13</v>
      </c>
      <c r="B122" s="531"/>
      <c r="C122" s="611" t="s">
        <v>15</v>
      </c>
      <c r="D122" s="531"/>
      <c r="E122" s="532"/>
      <c r="F122" s="543"/>
      <c r="G122" s="531"/>
      <c r="H122" s="531"/>
      <c r="I122" s="531"/>
      <c r="J122" s="531"/>
      <c r="K122" s="531"/>
      <c r="L122" s="531"/>
      <c r="M122" s="531"/>
      <c r="N122" s="531"/>
      <c r="O122" s="531"/>
      <c r="P122" s="531"/>
      <c r="Q122" s="531"/>
      <c r="R122" s="531"/>
      <c r="S122" s="531"/>
      <c r="T122" s="531"/>
      <c r="U122" s="531"/>
      <c r="V122" s="531"/>
      <c r="W122" s="531"/>
      <c r="X122" s="531"/>
      <c r="Y122" s="531"/>
      <c r="Z122" s="531"/>
      <c r="AA122" s="531"/>
      <c r="AB122" s="531"/>
      <c r="AC122" s="531"/>
      <c r="AD122" s="531"/>
      <c r="AE122" s="531"/>
      <c r="AF122" s="531"/>
      <c r="AG122" s="531"/>
      <c r="AH122" s="531"/>
      <c r="AI122" s="531"/>
      <c r="AJ122" s="531"/>
      <c r="AK122" s="531"/>
      <c r="AL122" s="531"/>
      <c r="AM122" s="531"/>
      <c r="AN122" s="531"/>
      <c r="AO122" s="532"/>
      <c r="AP122" s="191"/>
      <c r="AQ122" s="191"/>
      <c r="AR122" s="191"/>
      <c r="AS122" s="191"/>
      <c r="AT122" s="191"/>
      <c r="AU122" s="191"/>
      <c r="AV122" s="191"/>
      <c r="AW122" s="191"/>
      <c r="AX122" s="191"/>
      <c r="AY122" s="191"/>
      <c r="AZ122" s="191"/>
      <c r="BA122" s="191"/>
      <c r="BB122" s="191"/>
      <c r="BC122" s="191"/>
      <c r="BD122" s="191"/>
      <c r="BE122" s="191"/>
      <c r="BF122" s="191"/>
      <c r="BG122" s="191"/>
      <c r="BH122" s="191"/>
      <c r="BI122" s="191"/>
      <c r="BJ122" s="191"/>
      <c r="BK122" s="191"/>
      <c r="BL122" s="191"/>
      <c r="BM122" s="191"/>
      <c r="BN122" s="191"/>
      <c r="BO122" s="191"/>
      <c r="BP122" s="191"/>
      <c r="BQ122" s="191"/>
      <c r="BR122" s="191"/>
      <c r="BS122" s="191"/>
      <c r="BT122" s="191"/>
      <c r="BU122" s="191"/>
      <c r="BV122" s="191"/>
      <c r="BW122" s="191"/>
      <c r="BX122" s="191"/>
      <c r="BY122" s="191"/>
      <c r="BZ122" s="191"/>
      <c r="CA122" s="191"/>
      <c r="CB122" s="191"/>
      <c r="CC122" s="191"/>
      <c r="CD122" s="191"/>
      <c r="CE122" s="191"/>
      <c r="CF122" s="191"/>
      <c r="CG122" s="191"/>
      <c r="CH122" s="191"/>
      <c r="CI122" s="191"/>
      <c r="CJ122" s="191"/>
      <c r="CK122" s="191"/>
      <c r="CL122" s="191"/>
      <c r="CM122" s="191"/>
      <c r="CN122" s="191"/>
      <c r="CO122" s="191"/>
      <c r="CP122" s="191"/>
      <c r="CQ122" s="191"/>
      <c r="CR122" s="191"/>
      <c r="CS122" s="191"/>
      <c r="CT122" s="191"/>
      <c r="CU122" s="191"/>
      <c r="CV122" s="191"/>
      <c r="CW122" s="191"/>
      <c r="CX122" s="191"/>
      <c r="CY122" s="191"/>
      <c r="CZ122" s="191"/>
      <c r="DA122" s="191"/>
      <c r="DB122" s="191"/>
      <c r="DC122" s="191"/>
      <c r="DD122" s="191"/>
      <c r="DE122" s="191"/>
      <c r="DF122" s="191"/>
      <c r="DG122" s="191"/>
      <c r="DH122" s="191"/>
      <c r="DI122" s="191"/>
      <c r="DJ122" s="191"/>
      <c r="DK122" s="191"/>
      <c r="DL122" s="191"/>
      <c r="DM122" s="191"/>
      <c r="DN122" s="191"/>
      <c r="DO122" s="191"/>
      <c r="DP122" s="191"/>
      <c r="DQ122" s="191"/>
      <c r="DR122" s="191"/>
      <c r="DS122" s="191"/>
      <c r="DT122" s="191"/>
    </row>
    <row r="123" spans="1:151" ht="9.75" customHeight="1">
      <c r="A123" s="543"/>
      <c r="B123" s="531"/>
      <c r="C123" s="531"/>
      <c r="D123" s="531"/>
      <c r="E123" s="532"/>
      <c r="F123" s="556"/>
      <c r="G123" s="531"/>
      <c r="H123" s="531"/>
      <c r="I123" s="531"/>
      <c r="J123" s="531"/>
      <c r="K123" s="531"/>
      <c r="L123" s="531"/>
      <c r="M123" s="531"/>
      <c r="N123" s="531"/>
      <c r="O123" s="531"/>
      <c r="P123" s="531"/>
      <c r="Q123" s="531"/>
      <c r="R123" s="531"/>
      <c r="S123" s="531"/>
      <c r="T123" s="531"/>
      <c r="U123" s="531"/>
      <c r="V123" s="531"/>
      <c r="W123" s="531"/>
      <c r="X123" s="531"/>
      <c r="Y123" s="531"/>
      <c r="Z123" s="531"/>
      <c r="AA123" s="531"/>
      <c r="AB123" s="531"/>
      <c r="AC123" s="531"/>
      <c r="AD123" s="531"/>
      <c r="AE123" s="531"/>
      <c r="AF123" s="531"/>
      <c r="AG123" s="531"/>
      <c r="AH123" s="531"/>
      <c r="AI123" s="531"/>
      <c r="AJ123" s="531"/>
      <c r="AK123" s="531"/>
      <c r="AL123" s="531"/>
      <c r="AM123" s="531"/>
      <c r="AN123" s="531"/>
      <c r="AO123" s="532"/>
      <c r="AP123" s="191"/>
      <c r="AQ123" s="191"/>
      <c r="AR123" s="191"/>
      <c r="AS123" s="191"/>
      <c r="AT123" s="191"/>
      <c r="AU123" s="191"/>
      <c r="AV123" s="191"/>
      <c r="AW123" s="191"/>
      <c r="AX123" s="191"/>
      <c r="AY123" s="191"/>
      <c r="AZ123" s="191"/>
      <c r="BA123" s="191"/>
      <c r="BB123" s="191"/>
      <c r="BC123" s="191"/>
      <c r="BD123" s="191"/>
      <c r="BE123" s="191"/>
      <c r="BF123" s="191"/>
      <c r="BG123" s="191"/>
      <c r="BH123" s="191"/>
      <c r="BI123" s="191"/>
      <c r="BJ123" s="191"/>
      <c r="BK123" s="191"/>
      <c r="BL123" s="191"/>
      <c r="BM123" s="191"/>
      <c r="BN123" s="191"/>
      <c r="BO123" s="191"/>
      <c r="BP123" s="191"/>
      <c r="BQ123" s="191"/>
      <c r="BR123" s="191"/>
      <c r="BS123" s="191"/>
      <c r="BT123" s="191"/>
      <c r="BU123" s="191"/>
      <c r="BV123" s="191"/>
      <c r="BW123" s="191"/>
      <c r="BX123" s="191"/>
      <c r="BY123" s="191"/>
      <c r="BZ123" s="191"/>
      <c r="CA123" s="191"/>
      <c r="CB123" s="191"/>
      <c r="CC123" s="191"/>
      <c r="CD123" s="191"/>
      <c r="CE123" s="191"/>
      <c r="CF123" s="191"/>
      <c r="CG123" s="191"/>
      <c r="CH123" s="191"/>
      <c r="CI123" s="191"/>
      <c r="CJ123" s="191"/>
      <c r="CK123" s="191"/>
      <c r="CL123" s="191"/>
      <c r="CM123" s="191"/>
      <c r="CN123" s="191"/>
      <c r="CO123" s="191"/>
      <c r="CP123" s="191"/>
      <c r="CQ123" s="191"/>
      <c r="CR123" s="191"/>
      <c r="CS123" s="191"/>
      <c r="CT123" s="191"/>
      <c r="CU123" s="191"/>
      <c r="CV123" s="191"/>
      <c r="CW123" s="191"/>
      <c r="CX123" s="191"/>
      <c r="CY123" s="191"/>
      <c r="CZ123" s="191"/>
      <c r="DA123" s="191"/>
      <c r="DB123" s="191"/>
      <c r="DC123" s="191"/>
      <c r="DD123" s="191"/>
      <c r="DE123" s="191"/>
      <c r="DF123" s="191"/>
      <c r="DG123" s="191"/>
      <c r="DH123" s="191"/>
      <c r="DI123" s="191"/>
      <c r="DJ123" s="191"/>
      <c r="DK123" s="191"/>
      <c r="DL123" s="191"/>
      <c r="DM123" s="191"/>
      <c r="DN123" s="191"/>
      <c r="DO123" s="191"/>
      <c r="DP123" s="191"/>
      <c r="DQ123" s="191"/>
      <c r="DR123" s="191"/>
      <c r="DS123" s="191"/>
      <c r="DT123" s="191"/>
    </row>
    <row r="124" spans="1:151" ht="36.75" customHeight="1">
      <c r="A124" s="543"/>
      <c r="B124" s="531"/>
      <c r="C124" s="531"/>
      <c r="D124" s="531"/>
      <c r="E124" s="532"/>
      <c r="F124" s="556" t="s">
        <v>1108</v>
      </c>
      <c r="G124" s="531"/>
      <c r="H124" s="531"/>
      <c r="I124" s="531"/>
      <c r="J124" s="531"/>
      <c r="K124" s="531"/>
      <c r="L124" s="531"/>
      <c r="M124" s="531"/>
      <c r="N124" s="531"/>
      <c r="O124" s="531"/>
      <c r="P124" s="531"/>
      <c r="Q124" s="531"/>
      <c r="R124" s="531"/>
      <c r="S124" s="531"/>
      <c r="T124" s="531"/>
      <c r="U124" s="531"/>
      <c r="V124" s="531"/>
      <c r="W124" s="531"/>
      <c r="X124" s="531"/>
      <c r="Y124" s="531"/>
      <c r="Z124" s="531"/>
      <c r="AA124" s="531"/>
      <c r="AB124" s="531"/>
      <c r="AC124" s="531"/>
      <c r="AD124" s="531"/>
      <c r="AE124" s="531"/>
      <c r="AF124" s="531"/>
      <c r="AG124" s="531"/>
      <c r="AH124" s="531"/>
      <c r="AI124" s="531"/>
      <c r="AJ124" s="531"/>
      <c r="AK124" s="531"/>
      <c r="AL124" s="531"/>
      <c r="AM124" s="531"/>
      <c r="AN124" s="531"/>
      <c r="AO124" s="532"/>
      <c r="AP124" s="191"/>
      <c r="AQ124" s="191"/>
      <c r="AR124" s="191"/>
      <c r="AS124" s="191"/>
      <c r="AT124" s="191"/>
      <c r="AU124" s="191"/>
      <c r="AV124" s="191"/>
      <c r="AW124" s="191"/>
      <c r="AX124" s="191"/>
      <c r="AY124" s="191"/>
      <c r="AZ124" s="191"/>
      <c r="BA124" s="191"/>
      <c r="BB124" s="191"/>
      <c r="BC124" s="191"/>
      <c r="BD124" s="191"/>
      <c r="BE124" s="191"/>
      <c r="BF124" s="191"/>
      <c r="BG124" s="191"/>
      <c r="BH124" s="191"/>
      <c r="BI124" s="191"/>
      <c r="BJ124" s="191"/>
      <c r="BK124" s="191"/>
      <c r="BL124" s="191"/>
      <c r="BM124" s="191"/>
      <c r="BN124" s="191"/>
      <c r="BO124" s="191"/>
      <c r="BP124" s="191"/>
      <c r="BQ124" s="191"/>
      <c r="BR124" s="191"/>
      <c r="BS124" s="191"/>
      <c r="BT124" s="191"/>
      <c r="BU124" s="191"/>
      <c r="BV124" s="191"/>
      <c r="BW124" s="191"/>
      <c r="BX124" s="191"/>
      <c r="BY124" s="191"/>
      <c r="BZ124" s="191"/>
      <c r="CA124" s="191"/>
      <c r="CB124" s="191"/>
      <c r="CC124" s="191"/>
      <c r="CD124" s="191"/>
      <c r="CE124" s="191"/>
      <c r="CF124" s="191"/>
      <c r="CG124" s="191"/>
      <c r="CH124" s="191"/>
      <c r="CI124" s="191"/>
      <c r="CJ124" s="191"/>
      <c r="CK124" s="191"/>
      <c r="CL124" s="191"/>
      <c r="CM124" s="191"/>
      <c r="CN124" s="191"/>
      <c r="CO124" s="191"/>
      <c r="CP124" s="191"/>
      <c r="CQ124" s="191"/>
      <c r="CR124" s="191"/>
      <c r="CS124" s="191"/>
      <c r="CT124" s="191"/>
      <c r="CU124" s="191"/>
      <c r="CV124" s="191"/>
      <c r="CW124" s="191"/>
      <c r="CX124" s="191"/>
      <c r="CY124" s="191"/>
      <c r="CZ124" s="191"/>
      <c r="DA124" s="191"/>
      <c r="DB124" s="191"/>
      <c r="DC124" s="191"/>
      <c r="DD124" s="191"/>
      <c r="DE124" s="191"/>
      <c r="DF124" s="191"/>
      <c r="DG124" s="191"/>
      <c r="DH124" s="191"/>
      <c r="DI124" s="191"/>
      <c r="DJ124" s="191"/>
      <c r="DK124" s="191"/>
      <c r="DL124" s="191"/>
      <c r="DM124" s="191"/>
      <c r="DN124" s="191"/>
      <c r="DO124" s="191"/>
      <c r="DP124" s="191"/>
      <c r="DQ124" s="191"/>
      <c r="DR124" s="191"/>
      <c r="DS124" s="191"/>
      <c r="DT124" s="191"/>
      <c r="EP124" s="191"/>
      <c r="EQ124" s="191"/>
      <c r="ER124" s="191"/>
      <c r="ES124" s="191"/>
      <c r="ET124" s="191"/>
      <c r="EU124" s="191"/>
    </row>
    <row r="125" spans="1:151" ht="9" customHeight="1">
      <c r="A125" s="618"/>
      <c r="B125" s="531"/>
      <c r="C125" s="531"/>
      <c r="D125" s="531"/>
      <c r="E125" s="531"/>
      <c r="F125" s="543"/>
      <c r="G125" s="531"/>
      <c r="H125" s="531"/>
      <c r="I125" s="531"/>
      <c r="J125" s="531"/>
      <c r="K125" s="531"/>
      <c r="L125" s="531"/>
      <c r="M125" s="531"/>
      <c r="N125" s="531"/>
      <c r="O125" s="531"/>
      <c r="P125" s="531"/>
      <c r="Q125" s="531"/>
      <c r="R125" s="531"/>
      <c r="S125" s="531"/>
      <c r="T125" s="531"/>
      <c r="U125" s="531"/>
      <c r="V125" s="531"/>
      <c r="W125" s="531"/>
      <c r="X125" s="531"/>
      <c r="Y125" s="531"/>
      <c r="Z125" s="531"/>
      <c r="AA125" s="531"/>
      <c r="AB125" s="531"/>
      <c r="AC125" s="531"/>
      <c r="AD125" s="531"/>
      <c r="AE125" s="531"/>
      <c r="AF125" s="531"/>
      <c r="AG125" s="531"/>
      <c r="AH125" s="531"/>
      <c r="AI125" s="531"/>
      <c r="AJ125" s="531"/>
      <c r="AK125" s="531"/>
      <c r="AL125" s="531"/>
      <c r="AM125" s="531"/>
      <c r="AN125" s="531"/>
      <c r="AO125" s="532"/>
      <c r="AP125" s="191"/>
      <c r="AQ125" s="191"/>
      <c r="AR125" s="191"/>
      <c r="AS125" s="191"/>
      <c r="AT125" s="191"/>
      <c r="AU125" s="191"/>
      <c r="AV125" s="191"/>
      <c r="AW125" s="191"/>
      <c r="AX125" s="191"/>
      <c r="AY125" s="191"/>
      <c r="AZ125" s="191"/>
      <c r="BA125" s="191"/>
      <c r="BB125" s="191"/>
      <c r="BC125" s="191"/>
      <c r="BD125" s="191"/>
      <c r="BE125" s="191"/>
      <c r="BF125" s="191"/>
      <c r="BG125" s="191"/>
      <c r="BH125" s="191"/>
      <c r="BI125" s="191"/>
      <c r="BJ125" s="191"/>
      <c r="BK125" s="191"/>
      <c r="BL125" s="191"/>
      <c r="BM125" s="191"/>
      <c r="BN125" s="191"/>
      <c r="BO125" s="191"/>
      <c r="BP125" s="191"/>
      <c r="BQ125" s="191"/>
      <c r="BR125" s="191"/>
      <c r="BS125" s="191"/>
      <c r="BT125" s="191"/>
      <c r="BU125" s="191"/>
      <c r="BV125" s="191"/>
      <c r="BW125" s="191"/>
      <c r="BX125" s="191"/>
      <c r="BY125" s="191"/>
      <c r="BZ125" s="191"/>
      <c r="CA125" s="191"/>
      <c r="CB125" s="191"/>
      <c r="CC125" s="191"/>
      <c r="CD125" s="191"/>
      <c r="CE125" s="191"/>
      <c r="CF125" s="191"/>
      <c r="CG125" s="191"/>
      <c r="CH125" s="191"/>
      <c r="CI125" s="191"/>
      <c r="CJ125" s="191"/>
      <c r="CK125" s="191"/>
      <c r="CL125" s="191"/>
      <c r="CM125" s="191"/>
      <c r="CN125" s="191"/>
      <c r="CO125" s="191"/>
      <c r="CP125" s="191"/>
      <c r="CQ125" s="191"/>
      <c r="CR125" s="191"/>
      <c r="CS125" s="191"/>
      <c r="CT125" s="191"/>
      <c r="CU125" s="191"/>
      <c r="CV125" s="191"/>
      <c r="CW125" s="191"/>
      <c r="CX125" s="191"/>
      <c r="CY125" s="191"/>
      <c r="CZ125" s="191"/>
      <c r="DA125" s="191"/>
      <c r="DB125" s="191"/>
      <c r="DC125" s="191"/>
      <c r="DD125" s="191"/>
      <c r="DE125" s="191"/>
      <c r="DF125" s="191"/>
      <c r="DG125" s="191"/>
      <c r="DH125" s="191"/>
      <c r="DI125" s="191"/>
      <c r="DJ125" s="191"/>
      <c r="DK125" s="191"/>
      <c r="DL125" s="191"/>
      <c r="DM125" s="191"/>
      <c r="DN125" s="191"/>
      <c r="DO125" s="191"/>
      <c r="DP125" s="191"/>
      <c r="DQ125" s="191"/>
      <c r="DR125" s="191"/>
      <c r="DS125" s="191"/>
      <c r="DT125" s="191"/>
      <c r="EP125" s="191"/>
      <c r="EQ125" s="191"/>
      <c r="ER125" s="191"/>
      <c r="ES125" s="191"/>
      <c r="ET125" s="191"/>
      <c r="EU125" s="191"/>
    </row>
    <row r="126" spans="1:151" ht="20.25" customHeight="1">
      <c r="A126" s="622" t="s">
        <v>352</v>
      </c>
      <c r="B126" s="531"/>
      <c r="C126" s="623" t="s">
        <v>353</v>
      </c>
      <c r="D126" s="531"/>
      <c r="E126" s="532"/>
      <c r="F126" s="543"/>
      <c r="G126" s="531"/>
      <c r="H126" s="531"/>
      <c r="I126" s="531"/>
      <c r="J126" s="531"/>
      <c r="K126" s="531"/>
      <c r="L126" s="531"/>
      <c r="M126" s="531"/>
      <c r="N126" s="531"/>
      <c r="O126" s="531"/>
      <c r="P126" s="531"/>
      <c r="Q126" s="531"/>
      <c r="R126" s="531"/>
      <c r="S126" s="531"/>
      <c r="T126" s="531"/>
      <c r="U126" s="531"/>
      <c r="V126" s="531"/>
      <c r="W126" s="531"/>
      <c r="X126" s="531"/>
      <c r="Y126" s="531"/>
      <c r="Z126" s="531"/>
      <c r="AA126" s="531"/>
      <c r="AB126" s="531"/>
      <c r="AC126" s="531"/>
      <c r="AD126" s="531"/>
      <c r="AE126" s="531"/>
      <c r="AF126" s="531"/>
      <c r="AG126" s="531"/>
      <c r="AH126" s="531"/>
      <c r="AI126" s="531"/>
      <c r="AJ126" s="531"/>
      <c r="AK126" s="531"/>
      <c r="AL126" s="531"/>
      <c r="AM126" s="531"/>
      <c r="AN126" s="531"/>
      <c r="AO126" s="532"/>
      <c r="AP126" s="191"/>
      <c r="AQ126" s="191"/>
      <c r="AR126" s="191"/>
      <c r="AS126" s="191"/>
      <c r="AT126" s="191"/>
      <c r="AU126" s="191"/>
      <c r="AV126" s="191"/>
      <c r="AW126" s="191"/>
      <c r="AX126" s="191"/>
      <c r="AY126" s="191"/>
      <c r="AZ126" s="191"/>
      <c r="BA126" s="191"/>
      <c r="BB126" s="191"/>
      <c r="BC126" s="191"/>
      <c r="BD126" s="191"/>
      <c r="BE126" s="191"/>
      <c r="BF126" s="191"/>
      <c r="BG126" s="191"/>
      <c r="BH126" s="191"/>
      <c r="BI126" s="191"/>
      <c r="BJ126" s="191"/>
      <c r="BK126" s="191"/>
      <c r="BL126" s="191"/>
      <c r="BM126" s="191"/>
      <c r="BN126" s="191"/>
      <c r="BO126" s="191"/>
      <c r="BP126" s="191"/>
      <c r="BQ126" s="191"/>
      <c r="BR126" s="191"/>
      <c r="BS126" s="191"/>
      <c r="BT126" s="191"/>
      <c r="BU126" s="191"/>
      <c r="BV126" s="191"/>
      <c r="BW126" s="191"/>
      <c r="BX126" s="191"/>
      <c r="BY126" s="191"/>
      <c r="BZ126" s="191"/>
      <c r="CA126" s="191"/>
      <c r="CB126" s="191"/>
      <c r="CC126" s="191"/>
      <c r="CD126" s="191"/>
      <c r="CE126" s="191"/>
      <c r="CF126" s="191"/>
      <c r="CG126" s="191"/>
      <c r="CH126" s="191"/>
      <c r="CI126" s="191"/>
      <c r="CJ126" s="191"/>
      <c r="CK126" s="191"/>
      <c r="CL126" s="191"/>
      <c r="CM126" s="191"/>
      <c r="CN126" s="191"/>
      <c r="CO126" s="191"/>
      <c r="CP126" s="191"/>
      <c r="CQ126" s="191"/>
      <c r="CR126" s="191"/>
      <c r="CS126" s="191"/>
      <c r="CT126" s="191"/>
      <c r="CU126" s="191"/>
      <c r="CV126" s="191"/>
      <c r="CW126" s="191"/>
      <c r="CX126" s="191"/>
      <c r="CY126" s="191"/>
      <c r="CZ126" s="191"/>
      <c r="DA126" s="191"/>
      <c r="DB126" s="191"/>
      <c r="DC126" s="191"/>
      <c r="DD126" s="191"/>
      <c r="DE126" s="191"/>
      <c r="DF126" s="191"/>
      <c r="DG126" s="191"/>
      <c r="DH126" s="191"/>
      <c r="DI126" s="191"/>
      <c r="DJ126" s="191"/>
      <c r="DK126" s="191"/>
      <c r="DL126" s="191"/>
      <c r="DM126" s="191"/>
      <c r="DN126" s="191"/>
      <c r="DO126" s="191"/>
      <c r="DP126" s="191"/>
      <c r="DQ126" s="191"/>
      <c r="DR126" s="191"/>
      <c r="DS126" s="191"/>
      <c r="DT126" s="191"/>
      <c r="EP126" s="191"/>
      <c r="EQ126" s="191"/>
      <c r="ER126" s="191"/>
      <c r="ES126" s="191"/>
      <c r="ET126" s="191"/>
      <c r="EU126" s="191"/>
    </row>
    <row r="127" spans="1:151" ht="8.25" customHeight="1">
      <c r="A127" s="543"/>
      <c r="B127" s="531"/>
      <c r="C127" s="531"/>
      <c r="D127" s="531"/>
      <c r="E127" s="532"/>
      <c r="F127" s="556"/>
      <c r="G127" s="531"/>
      <c r="H127" s="531"/>
      <c r="I127" s="531"/>
      <c r="J127" s="531"/>
      <c r="K127" s="531"/>
      <c r="L127" s="531"/>
      <c r="M127" s="531"/>
      <c r="N127" s="531"/>
      <c r="O127" s="531"/>
      <c r="P127" s="531"/>
      <c r="Q127" s="531"/>
      <c r="R127" s="531"/>
      <c r="S127" s="531"/>
      <c r="T127" s="531"/>
      <c r="U127" s="531"/>
      <c r="V127" s="531"/>
      <c r="W127" s="531"/>
      <c r="X127" s="531"/>
      <c r="Y127" s="531"/>
      <c r="Z127" s="531"/>
      <c r="AA127" s="531"/>
      <c r="AB127" s="531"/>
      <c r="AC127" s="531"/>
      <c r="AD127" s="531"/>
      <c r="AE127" s="531"/>
      <c r="AF127" s="531"/>
      <c r="AG127" s="531"/>
      <c r="AH127" s="531"/>
      <c r="AI127" s="531"/>
      <c r="AJ127" s="531"/>
      <c r="AK127" s="531"/>
      <c r="AL127" s="531"/>
      <c r="AM127" s="531"/>
      <c r="AN127" s="531"/>
      <c r="AO127" s="532"/>
      <c r="AP127" s="191"/>
      <c r="AQ127" s="191"/>
      <c r="AR127" s="191"/>
      <c r="AS127" s="191"/>
      <c r="AT127" s="191"/>
      <c r="AU127" s="191"/>
      <c r="AV127" s="191"/>
      <c r="AW127" s="191"/>
      <c r="AX127" s="191"/>
      <c r="AY127" s="191"/>
      <c r="AZ127" s="191"/>
      <c r="BA127" s="191"/>
      <c r="BB127" s="191"/>
      <c r="BC127" s="191"/>
      <c r="BD127" s="191"/>
      <c r="BE127" s="191"/>
      <c r="BF127" s="191"/>
      <c r="BG127" s="191"/>
      <c r="BH127" s="191"/>
      <c r="BI127" s="191"/>
      <c r="BJ127" s="191"/>
      <c r="BK127" s="191"/>
      <c r="BL127" s="191"/>
      <c r="BM127" s="191"/>
      <c r="BN127" s="191"/>
      <c r="BO127" s="191"/>
      <c r="BP127" s="191"/>
      <c r="BQ127" s="191"/>
      <c r="BR127" s="191"/>
      <c r="BS127" s="191"/>
      <c r="BT127" s="191"/>
      <c r="BU127" s="191"/>
      <c r="BV127" s="191"/>
      <c r="BW127" s="191"/>
      <c r="BX127" s="191"/>
      <c r="BY127" s="191"/>
      <c r="BZ127" s="191"/>
      <c r="CA127" s="191"/>
      <c r="CB127" s="191"/>
      <c r="CC127" s="191"/>
      <c r="CD127" s="191"/>
      <c r="CE127" s="191"/>
      <c r="CF127" s="191"/>
      <c r="CG127" s="191"/>
      <c r="CH127" s="191"/>
      <c r="CI127" s="191"/>
      <c r="CJ127" s="191"/>
      <c r="CK127" s="191"/>
      <c r="CL127" s="191"/>
      <c r="CM127" s="191"/>
      <c r="CN127" s="191"/>
      <c r="CO127" s="191"/>
      <c r="CP127" s="191"/>
      <c r="CQ127" s="191"/>
      <c r="CR127" s="191"/>
      <c r="CS127" s="191"/>
      <c r="CT127" s="191"/>
      <c r="CU127" s="191"/>
      <c r="CV127" s="191"/>
      <c r="CW127" s="191"/>
      <c r="CX127" s="191"/>
      <c r="CY127" s="191"/>
      <c r="CZ127" s="191"/>
      <c r="DA127" s="191"/>
      <c r="DB127" s="191"/>
      <c r="DC127" s="191"/>
      <c r="DD127" s="191"/>
      <c r="DE127" s="191"/>
      <c r="DF127" s="191"/>
      <c r="DG127" s="191"/>
      <c r="DH127" s="191"/>
      <c r="DI127" s="191"/>
      <c r="DJ127" s="191"/>
      <c r="DK127" s="191"/>
      <c r="DL127" s="191"/>
      <c r="DM127" s="191"/>
      <c r="DN127" s="191"/>
      <c r="DO127" s="191"/>
      <c r="DP127" s="191"/>
      <c r="DQ127" s="191"/>
      <c r="DR127" s="191"/>
      <c r="DS127" s="191"/>
      <c r="DT127" s="191"/>
      <c r="EP127" s="191"/>
      <c r="EQ127" s="191"/>
      <c r="ER127" s="191"/>
      <c r="ES127" s="191"/>
      <c r="ET127" s="191"/>
      <c r="EU127" s="191"/>
    </row>
    <row r="128" spans="1:151" ht="12.75">
      <c r="A128" s="543"/>
      <c r="B128" s="531"/>
      <c r="C128" s="531"/>
      <c r="D128" s="531"/>
      <c r="E128" s="532"/>
      <c r="F128" s="556" t="s">
        <v>1110</v>
      </c>
      <c r="G128" s="531"/>
      <c r="H128" s="531"/>
      <c r="I128" s="531"/>
      <c r="J128" s="531"/>
      <c r="K128" s="531"/>
      <c r="L128" s="531"/>
      <c r="M128" s="531"/>
      <c r="N128" s="531"/>
      <c r="O128" s="531"/>
      <c r="P128" s="531"/>
      <c r="Q128" s="531"/>
      <c r="R128" s="531"/>
      <c r="S128" s="531"/>
      <c r="T128" s="531"/>
      <c r="U128" s="531"/>
      <c r="V128" s="531"/>
      <c r="W128" s="531"/>
      <c r="X128" s="531"/>
      <c r="Y128" s="531"/>
      <c r="Z128" s="531"/>
      <c r="AA128" s="531"/>
      <c r="AB128" s="531"/>
      <c r="AC128" s="531"/>
      <c r="AD128" s="531"/>
      <c r="AE128" s="531"/>
      <c r="AF128" s="531"/>
      <c r="AG128" s="531"/>
      <c r="AH128" s="531"/>
      <c r="AI128" s="531"/>
      <c r="AJ128" s="531"/>
      <c r="AK128" s="531"/>
      <c r="AL128" s="531"/>
      <c r="AM128" s="531"/>
      <c r="AN128" s="531"/>
      <c r="AO128" s="532"/>
      <c r="AP128" s="191"/>
      <c r="AQ128" s="191"/>
      <c r="AR128" s="191"/>
      <c r="AS128" s="191"/>
      <c r="AT128" s="191"/>
      <c r="AU128" s="191"/>
      <c r="AV128" s="191"/>
      <c r="AW128" s="191"/>
      <c r="AX128" s="191"/>
      <c r="AY128" s="191"/>
      <c r="AZ128" s="191"/>
      <c r="BA128" s="191"/>
      <c r="BB128" s="191"/>
      <c r="BC128" s="191"/>
      <c r="BD128" s="191"/>
      <c r="BE128" s="191"/>
      <c r="BF128" s="191"/>
      <c r="BG128" s="191"/>
      <c r="BH128" s="191"/>
      <c r="BI128" s="191"/>
      <c r="BJ128" s="191"/>
      <c r="BK128" s="191"/>
      <c r="BL128" s="191"/>
      <c r="BM128" s="191"/>
      <c r="BN128" s="191"/>
      <c r="BO128" s="191"/>
      <c r="BP128" s="191"/>
      <c r="BQ128" s="191"/>
      <c r="BR128" s="191"/>
      <c r="BS128" s="191"/>
      <c r="BT128" s="191"/>
      <c r="BU128" s="191"/>
      <c r="BV128" s="191"/>
      <c r="BW128" s="191"/>
      <c r="BX128" s="191"/>
      <c r="BY128" s="191"/>
      <c r="BZ128" s="191"/>
      <c r="CA128" s="191"/>
      <c r="CB128" s="191"/>
      <c r="CC128" s="191"/>
      <c r="CD128" s="191"/>
      <c r="CE128" s="191"/>
      <c r="CF128" s="191"/>
      <c r="CG128" s="191"/>
      <c r="CH128" s="191"/>
      <c r="CI128" s="191"/>
      <c r="CJ128" s="191"/>
      <c r="CK128" s="191"/>
      <c r="CL128" s="191"/>
      <c r="CM128" s="191"/>
      <c r="CN128" s="191"/>
      <c r="CO128" s="191"/>
      <c r="CP128" s="191"/>
      <c r="CQ128" s="191"/>
      <c r="CR128" s="191"/>
      <c r="CS128" s="191"/>
      <c r="CT128" s="191"/>
      <c r="CU128" s="191"/>
      <c r="CV128" s="191"/>
      <c r="CW128" s="191"/>
      <c r="CX128" s="191"/>
      <c r="CY128" s="191"/>
      <c r="CZ128" s="191"/>
      <c r="DA128" s="191"/>
      <c r="DB128" s="191"/>
      <c r="DC128" s="191"/>
      <c r="DD128" s="191"/>
      <c r="DE128" s="191"/>
      <c r="DF128" s="191"/>
      <c r="DG128" s="191"/>
      <c r="DH128" s="191"/>
      <c r="DI128" s="191"/>
      <c r="DJ128" s="191"/>
      <c r="DK128" s="191"/>
      <c r="DL128" s="191"/>
      <c r="DM128" s="191"/>
      <c r="DN128" s="191"/>
      <c r="DO128" s="191"/>
      <c r="DP128" s="191"/>
      <c r="DQ128" s="191"/>
      <c r="DR128" s="191"/>
      <c r="DS128" s="191"/>
      <c r="DT128" s="191"/>
      <c r="EP128" s="191"/>
      <c r="EQ128" s="191"/>
      <c r="ER128" s="191"/>
      <c r="ES128" s="191"/>
      <c r="ET128" s="191"/>
      <c r="EU128" s="191"/>
    </row>
    <row r="129" spans="1:151" ht="8.25" customHeight="1">
      <c r="A129" s="621"/>
      <c r="B129" s="531"/>
      <c r="C129" s="531"/>
      <c r="D129" s="531"/>
      <c r="E129" s="532"/>
      <c r="F129" s="556"/>
      <c r="G129" s="531"/>
      <c r="H129" s="531"/>
      <c r="I129" s="531"/>
      <c r="J129" s="531"/>
      <c r="K129" s="531"/>
      <c r="L129" s="531"/>
      <c r="M129" s="531"/>
      <c r="N129" s="531"/>
      <c r="O129" s="531"/>
      <c r="P129" s="531"/>
      <c r="Q129" s="531"/>
      <c r="R129" s="531"/>
      <c r="S129" s="531"/>
      <c r="T129" s="531"/>
      <c r="U129" s="531"/>
      <c r="V129" s="531"/>
      <c r="W129" s="531"/>
      <c r="X129" s="531"/>
      <c r="Y129" s="531"/>
      <c r="Z129" s="531"/>
      <c r="AA129" s="531"/>
      <c r="AB129" s="531"/>
      <c r="AC129" s="531"/>
      <c r="AD129" s="531"/>
      <c r="AE129" s="531"/>
      <c r="AF129" s="531"/>
      <c r="AG129" s="531"/>
      <c r="AH129" s="531"/>
      <c r="AI129" s="531"/>
      <c r="AJ129" s="531"/>
      <c r="AK129" s="531"/>
      <c r="AL129" s="531"/>
      <c r="AM129" s="531"/>
      <c r="AN129" s="531"/>
      <c r="AO129" s="532"/>
      <c r="AP129" s="191"/>
      <c r="AQ129" s="191"/>
      <c r="AR129" s="191"/>
      <c r="AS129" s="191"/>
      <c r="AT129" s="191"/>
      <c r="AU129" s="191"/>
      <c r="AV129" s="191"/>
      <c r="AW129" s="191"/>
      <c r="AX129" s="191"/>
      <c r="AY129" s="191"/>
      <c r="AZ129" s="191"/>
      <c r="BA129" s="191"/>
      <c r="BB129" s="191"/>
      <c r="BC129" s="191"/>
      <c r="BD129" s="191"/>
      <c r="BE129" s="191"/>
      <c r="BF129" s="191"/>
      <c r="BG129" s="191"/>
      <c r="BH129" s="191"/>
      <c r="BI129" s="191"/>
      <c r="BJ129" s="191"/>
      <c r="BK129" s="191"/>
      <c r="BL129" s="191"/>
      <c r="BM129" s="191"/>
      <c r="BN129" s="191"/>
      <c r="BO129" s="191"/>
      <c r="BP129" s="191"/>
      <c r="BQ129" s="191"/>
      <c r="BR129" s="191"/>
      <c r="BS129" s="191"/>
      <c r="BT129" s="191"/>
      <c r="BU129" s="191"/>
      <c r="BV129" s="191"/>
      <c r="BW129" s="191"/>
      <c r="BX129" s="191"/>
      <c r="BY129" s="191"/>
      <c r="BZ129" s="191"/>
      <c r="CA129" s="191"/>
      <c r="CB129" s="191"/>
      <c r="CC129" s="191"/>
      <c r="CD129" s="191"/>
      <c r="CE129" s="191"/>
      <c r="CF129" s="191"/>
      <c r="CG129" s="191"/>
      <c r="CH129" s="191"/>
      <c r="CI129" s="191"/>
      <c r="CJ129" s="191"/>
      <c r="CK129" s="191"/>
      <c r="CL129" s="191"/>
      <c r="CM129" s="191"/>
      <c r="CN129" s="191"/>
      <c r="CO129" s="191"/>
      <c r="CP129" s="191"/>
      <c r="CQ129" s="191"/>
      <c r="CR129" s="191"/>
      <c r="CS129" s="191"/>
      <c r="CT129" s="191"/>
      <c r="CU129" s="191"/>
      <c r="CV129" s="191"/>
      <c r="CW129" s="191"/>
      <c r="CX129" s="191"/>
      <c r="CY129" s="191"/>
      <c r="CZ129" s="191"/>
      <c r="DA129" s="191"/>
      <c r="DB129" s="191"/>
      <c r="DC129" s="191"/>
      <c r="DD129" s="191"/>
      <c r="DE129" s="191"/>
      <c r="DF129" s="191"/>
      <c r="DG129" s="191"/>
      <c r="DH129" s="191"/>
      <c r="DI129" s="191"/>
      <c r="DJ129" s="191"/>
      <c r="DK129" s="191"/>
      <c r="DL129" s="191"/>
      <c r="DM129" s="191"/>
      <c r="DN129" s="191"/>
      <c r="DO129" s="191"/>
      <c r="DP129" s="191"/>
      <c r="DQ129" s="191"/>
      <c r="DR129" s="191"/>
      <c r="DS129" s="191"/>
      <c r="DT129" s="191"/>
      <c r="EP129" s="191"/>
      <c r="EQ129" s="191"/>
      <c r="ER129" s="191"/>
      <c r="ES129" s="191"/>
      <c r="ET129" s="191"/>
      <c r="EU129" s="191"/>
    </row>
    <row r="130" spans="1:151" ht="12.75">
      <c r="A130" s="621" t="s">
        <v>356</v>
      </c>
      <c r="B130" s="531"/>
      <c r="C130" s="611" t="s">
        <v>357</v>
      </c>
      <c r="D130" s="531"/>
      <c r="E130" s="532"/>
      <c r="F130" s="608" t="s">
        <v>1111</v>
      </c>
      <c r="G130" s="540"/>
      <c r="H130" s="540"/>
      <c r="I130" s="540"/>
      <c r="J130" s="540"/>
      <c r="K130" s="540"/>
      <c r="L130" s="540"/>
      <c r="M130" s="540"/>
      <c r="N130" s="540"/>
      <c r="O130" s="540"/>
      <c r="P130" s="540"/>
      <c r="Q130" s="540"/>
      <c r="R130" s="540"/>
      <c r="S130" s="540"/>
      <c r="T130" s="540"/>
      <c r="U130" s="540"/>
      <c r="V130" s="540"/>
      <c r="W130" s="540"/>
      <c r="X130" s="540"/>
      <c r="Y130" s="540"/>
      <c r="Z130" s="540"/>
      <c r="AA130" s="540"/>
      <c r="AB130" s="540"/>
      <c r="AC130" s="540"/>
      <c r="AD130" s="540"/>
      <c r="AE130" s="540"/>
      <c r="AF130" s="540"/>
      <c r="AG130" s="540"/>
      <c r="AH130" s="540"/>
      <c r="AI130" s="540"/>
      <c r="AJ130" s="540"/>
      <c r="AK130" s="540"/>
      <c r="AL130" s="540"/>
      <c r="AM130" s="540"/>
      <c r="AN130" s="540"/>
      <c r="AO130" s="542"/>
      <c r="AP130" s="191"/>
      <c r="AQ130" s="191"/>
      <c r="AR130" s="191"/>
      <c r="AS130" s="191"/>
      <c r="AT130" s="191"/>
      <c r="AU130" s="191"/>
      <c r="AV130" s="191"/>
      <c r="AW130" s="191"/>
      <c r="AX130" s="191"/>
      <c r="AY130" s="191"/>
      <c r="AZ130" s="191"/>
      <c r="BA130" s="191"/>
      <c r="BB130" s="191"/>
      <c r="BC130" s="191"/>
      <c r="BD130" s="191"/>
      <c r="BE130" s="191"/>
      <c r="BF130" s="191"/>
      <c r="BG130" s="191"/>
      <c r="BH130" s="191"/>
      <c r="BI130" s="191"/>
      <c r="BJ130" s="191"/>
      <c r="BK130" s="191"/>
      <c r="BL130" s="191"/>
      <c r="BM130" s="191"/>
      <c r="BN130" s="191"/>
      <c r="BO130" s="191"/>
    </row>
    <row r="131" spans="1:151" ht="8.25" customHeight="1">
      <c r="A131" s="621"/>
      <c r="B131" s="531"/>
      <c r="C131" s="531"/>
      <c r="D131" s="531"/>
      <c r="E131" s="532"/>
      <c r="F131" s="556"/>
      <c r="G131" s="531"/>
      <c r="H131" s="531"/>
      <c r="I131" s="531"/>
      <c r="J131" s="531"/>
      <c r="K131" s="531"/>
      <c r="L131" s="531"/>
      <c r="M131" s="531"/>
      <c r="N131" s="531"/>
      <c r="O131" s="531"/>
      <c r="P131" s="531"/>
      <c r="Q131" s="531"/>
      <c r="R131" s="531"/>
      <c r="S131" s="531"/>
      <c r="T131" s="531"/>
      <c r="U131" s="531"/>
      <c r="V131" s="531"/>
      <c r="W131" s="531"/>
      <c r="X131" s="531"/>
      <c r="Y131" s="531"/>
      <c r="Z131" s="531"/>
      <c r="AA131" s="531"/>
      <c r="AB131" s="531"/>
      <c r="AC131" s="531"/>
      <c r="AD131" s="531"/>
      <c r="AE131" s="531"/>
      <c r="AF131" s="531"/>
      <c r="AG131" s="531"/>
      <c r="AH131" s="531"/>
      <c r="AI131" s="531"/>
      <c r="AJ131" s="531"/>
      <c r="AK131" s="531"/>
      <c r="AL131" s="531"/>
      <c r="AM131" s="531"/>
      <c r="AN131" s="531"/>
      <c r="AO131" s="531"/>
      <c r="AP131" s="191"/>
      <c r="AQ131" s="191"/>
      <c r="AR131" s="191"/>
      <c r="AS131" s="191"/>
      <c r="AT131" s="191"/>
      <c r="AU131" s="191"/>
      <c r="AV131" s="191"/>
      <c r="AW131" s="191"/>
      <c r="AX131" s="191"/>
      <c r="AY131" s="191"/>
      <c r="AZ131" s="191"/>
      <c r="BA131" s="191"/>
      <c r="BB131" s="191"/>
      <c r="BC131" s="191"/>
      <c r="BD131" s="191"/>
      <c r="BE131" s="191"/>
      <c r="BF131" s="191"/>
      <c r="BG131" s="191"/>
      <c r="BH131" s="191"/>
      <c r="BI131" s="191"/>
      <c r="BJ131" s="191"/>
      <c r="BK131" s="191"/>
      <c r="BL131" s="191"/>
      <c r="BM131" s="191"/>
      <c r="BN131" s="191"/>
      <c r="BO131" s="191"/>
    </row>
    <row r="132" spans="1:151" ht="12.75">
      <c r="A132" s="616" t="s">
        <v>731</v>
      </c>
      <c r="B132" s="540"/>
      <c r="C132" s="617" t="s">
        <v>732</v>
      </c>
      <c r="D132" s="540"/>
      <c r="E132" s="542"/>
      <c r="F132" s="191"/>
      <c r="G132" s="191"/>
      <c r="H132" s="191"/>
      <c r="I132" s="191"/>
      <c r="J132" s="191"/>
      <c r="K132" s="191"/>
      <c r="L132" s="191"/>
      <c r="M132" s="191"/>
      <c r="N132" s="191"/>
      <c r="O132" s="191"/>
      <c r="P132" s="191"/>
      <c r="Q132" s="191"/>
      <c r="R132" s="191"/>
      <c r="S132" s="191"/>
      <c r="T132" s="191"/>
      <c r="U132" s="191"/>
      <c r="V132" s="191"/>
      <c r="W132" s="191"/>
      <c r="X132" s="191"/>
      <c r="Y132" s="191"/>
      <c r="Z132" s="191"/>
      <c r="AA132" s="191"/>
      <c r="AB132" s="191"/>
      <c r="AC132" s="191"/>
      <c r="AD132" s="191"/>
      <c r="AE132" s="191"/>
      <c r="AF132" s="191"/>
      <c r="AG132" s="191"/>
      <c r="AH132" s="191"/>
      <c r="AI132" s="191"/>
      <c r="AJ132" s="191"/>
      <c r="AK132" s="191"/>
      <c r="AL132" s="191"/>
      <c r="AM132" s="191"/>
      <c r="AN132" s="191"/>
      <c r="AO132" s="191"/>
      <c r="AP132" s="191"/>
      <c r="AQ132" s="191"/>
      <c r="AR132" s="191"/>
      <c r="AS132" s="191"/>
      <c r="AT132" s="191"/>
      <c r="AU132" s="191"/>
      <c r="AV132" s="191"/>
      <c r="AW132" s="191"/>
      <c r="AX132" s="191"/>
      <c r="AY132" s="191"/>
      <c r="AZ132" s="191"/>
      <c r="BA132" s="191"/>
      <c r="BB132" s="191"/>
      <c r="BC132" s="191"/>
      <c r="BD132" s="191"/>
      <c r="BE132" s="191"/>
      <c r="BF132" s="191"/>
      <c r="BG132" s="191"/>
      <c r="BH132" s="191"/>
      <c r="BI132" s="191"/>
      <c r="BJ132" s="191"/>
      <c r="BK132" s="191"/>
      <c r="BL132" s="191"/>
      <c r="BM132" s="191"/>
      <c r="BN132" s="191"/>
      <c r="BO132" s="191"/>
    </row>
    <row r="133" spans="1:151" ht="8.25" customHeight="1">
      <c r="A133" s="618"/>
      <c r="B133" s="531"/>
      <c r="C133" s="531"/>
      <c r="D133" s="531"/>
      <c r="E133" s="531"/>
    </row>
    <row r="134" spans="1:151" ht="12.75">
      <c r="A134" s="619"/>
      <c r="B134" s="531"/>
      <c r="C134" s="531"/>
      <c r="D134" s="531"/>
      <c r="E134" s="531"/>
    </row>
    <row r="135" spans="1:151" ht="9" customHeight="1">
      <c r="A135" s="531"/>
      <c r="B135" s="531"/>
      <c r="C135" s="531"/>
      <c r="D135" s="531"/>
      <c r="E135" s="531"/>
    </row>
    <row r="136" spans="1:151" ht="12.75">
      <c r="A136"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B136" s="531"/>
      <c r="C136" s="531"/>
      <c r="D136" s="531"/>
      <c r="E136" s="531"/>
    </row>
    <row r="137" spans="1:151" ht="12.75">
      <c r="A137" s="188"/>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row>
    <row r="138" spans="1:151" ht="12.75">
      <c r="A138" s="188"/>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row>
    <row r="139" spans="1:151" ht="12.75">
      <c r="A139" s="188"/>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row>
    <row r="140" spans="1:151" ht="12.75">
      <c r="A140" s="188"/>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row>
    <row r="141" spans="1:151" ht="12.75">
      <c r="A141" s="188"/>
    </row>
    <row r="142" spans="1:151" ht="12.75">
      <c r="A142" s="188"/>
    </row>
    <row r="143" spans="1:151" ht="12.75">
      <c r="A143" s="188"/>
    </row>
    <row r="144" spans="1:151" ht="12.75">
      <c r="A144" s="188"/>
    </row>
    <row r="145" spans="1:1" ht="12.75">
      <c r="A145" s="188"/>
    </row>
    <row r="146" spans="1:1" ht="12.75">
      <c r="A146" s="188"/>
    </row>
    <row r="147" spans="1:1" ht="12.75">
      <c r="A147" s="188"/>
    </row>
    <row r="148" spans="1:1" ht="12.75">
      <c r="A148" s="188"/>
    </row>
    <row r="149" spans="1:1" ht="12.75">
      <c r="A149" s="188"/>
    </row>
    <row r="150" spans="1:1" ht="12.75">
      <c r="A150" s="188"/>
    </row>
    <row r="151" spans="1:1" ht="12.75">
      <c r="A151" s="188"/>
    </row>
    <row r="152" spans="1:1" ht="12.75">
      <c r="A152" s="188"/>
    </row>
    <row r="153" spans="1:1" ht="12.75">
      <c r="A153" s="188"/>
    </row>
    <row r="154" spans="1:1" ht="12.75">
      <c r="A154" s="188"/>
    </row>
    <row r="155" spans="1:1" ht="12.75">
      <c r="A155" s="188"/>
    </row>
    <row r="156" spans="1:1" ht="12.75">
      <c r="A156" s="188"/>
    </row>
    <row r="157" spans="1:1" ht="12.75">
      <c r="A157" s="188"/>
    </row>
    <row r="158" spans="1:1" ht="12.75">
      <c r="A158" s="188"/>
    </row>
    <row r="159" spans="1:1" ht="12.75">
      <c r="A159" s="188"/>
    </row>
    <row r="160" spans="1:1" ht="12.75">
      <c r="A160" s="188"/>
    </row>
    <row r="161" spans="1:1" ht="12.75">
      <c r="A161" s="188"/>
    </row>
    <row r="162" spans="1:1" ht="12.75">
      <c r="A162" s="188"/>
    </row>
    <row r="163" spans="1:1" ht="12.75">
      <c r="A163" s="188"/>
    </row>
    <row r="164" spans="1:1" ht="12.75">
      <c r="A164" s="188"/>
    </row>
    <row r="165" spans="1:1" ht="12.75">
      <c r="A165" s="188"/>
    </row>
    <row r="166" spans="1:1" ht="12.75">
      <c r="A166" s="188"/>
    </row>
    <row r="167" spans="1:1" ht="12.75">
      <c r="A167" s="188"/>
    </row>
    <row r="168" spans="1:1" ht="12.75">
      <c r="A168" s="188"/>
    </row>
    <row r="169" spans="1:1" ht="12.75">
      <c r="A169" s="188"/>
    </row>
    <row r="170" spans="1:1" ht="12.75">
      <c r="A170" s="188"/>
    </row>
    <row r="171" spans="1:1" ht="12.75">
      <c r="A171" s="188"/>
    </row>
    <row r="172" spans="1:1" ht="12.75">
      <c r="A172" s="188"/>
    </row>
    <row r="173" spans="1:1" ht="12.75">
      <c r="A173" s="188"/>
    </row>
    <row r="174" spans="1:1" ht="12.75">
      <c r="A174" s="188"/>
    </row>
    <row r="175" spans="1:1" ht="12.75">
      <c r="A175" s="188"/>
    </row>
    <row r="176" spans="1:1" ht="12.75">
      <c r="A176" s="188"/>
    </row>
    <row r="177" spans="1:1" ht="12.75">
      <c r="A177" s="188"/>
    </row>
    <row r="178" spans="1:1" ht="12.75">
      <c r="A178" s="188"/>
    </row>
    <row r="179" spans="1:1" ht="12.75">
      <c r="A179" s="188"/>
    </row>
    <row r="180" spans="1:1" ht="12.75">
      <c r="A180" s="188"/>
    </row>
    <row r="181" spans="1:1" ht="12.75">
      <c r="A181" s="188"/>
    </row>
    <row r="182" spans="1:1" ht="12.75">
      <c r="A182" s="188"/>
    </row>
    <row r="183" spans="1:1" ht="12.75">
      <c r="A183" s="188"/>
    </row>
    <row r="184" spans="1:1" ht="12.75">
      <c r="A184" s="188"/>
    </row>
    <row r="185" spans="1:1" ht="12.75">
      <c r="A185" s="188"/>
    </row>
    <row r="186" spans="1:1" ht="12.75">
      <c r="A186" s="188"/>
    </row>
    <row r="187" spans="1:1" ht="12.75">
      <c r="A187" s="188"/>
    </row>
    <row r="188" spans="1:1" ht="12.75">
      <c r="A188" s="188"/>
    </row>
    <row r="189" spans="1:1" ht="12.75">
      <c r="A189" s="188"/>
    </row>
    <row r="190" spans="1:1" ht="12.75">
      <c r="A190" s="188"/>
    </row>
    <row r="191" spans="1:1" ht="12.75">
      <c r="A191" s="188"/>
    </row>
    <row r="192" spans="1:1" ht="12.75">
      <c r="A192" s="188"/>
    </row>
    <row r="193" spans="1:1" ht="12.75">
      <c r="A193" s="188"/>
    </row>
    <row r="194" spans="1:1" ht="12.75">
      <c r="A194" s="188"/>
    </row>
    <row r="195" spans="1:1" ht="12.75">
      <c r="A195" s="188"/>
    </row>
    <row r="196" spans="1:1" ht="12.75">
      <c r="A196" s="188"/>
    </row>
    <row r="197" spans="1:1" ht="12.75">
      <c r="A197" s="188"/>
    </row>
    <row r="198" spans="1:1" ht="12.75">
      <c r="A198" s="188"/>
    </row>
    <row r="199" spans="1:1" ht="12.75">
      <c r="A199" s="188"/>
    </row>
    <row r="200" spans="1:1" ht="12.75">
      <c r="A200" s="188"/>
    </row>
    <row r="201" spans="1:1" ht="12.75">
      <c r="A201" s="188"/>
    </row>
    <row r="202" spans="1:1" ht="12.75">
      <c r="A202" s="188"/>
    </row>
    <row r="203" spans="1:1" ht="12.75">
      <c r="A203" s="188"/>
    </row>
    <row r="204" spans="1:1" ht="12.75">
      <c r="A204" s="188"/>
    </row>
    <row r="205" spans="1:1" ht="12.75">
      <c r="A205" s="188"/>
    </row>
    <row r="206" spans="1:1" ht="12.75">
      <c r="A206" s="188"/>
    </row>
    <row r="207" spans="1:1" ht="12.75">
      <c r="A207" s="188"/>
    </row>
    <row r="208" spans="1:1" ht="12.75">
      <c r="A208" s="188"/>
    </row>
    <row r="209" spans="1:1" ht="12.75">
      <c r="A209" s="188"/>
    </row>
    <row r="210" spans="1:1" ht="12.75">
      <c r="A210" s="188"/>
    </row>
    <row r="211" spans="1:1" ht="12.75">
      <c r="A211" s="188"/>
    </row>
    <row r="212" spans="1:1" ht="12.75">
      <c r="A212" s="188"/>
    </row>
    <row r="213" spans="1:1" ht="12.75">
      <c r="A213" s="188"/>
    </row>
    <row r="214" spans="1:1" ht="12.75">
      <c r="A214" s="188"/>
    </row>
    <row r="215" spans="1:1" ht="12.75">
      <c r="A215" s="188"/>
    </row>
    <row r="216" spans="1:1" ht="12.75">
      <c r="A216" s="188"/>
    </row>
    <row r="217" spans="1:1" ht="12.75">
      <c r="A217" s="188"/>
    </row>
    <row r="218" spans="1:1" ht="12.75">
      <c r="A218" s="188"/>
    </row>
    <row r="219" spans="1:1" ht="12.75">
      <c r="A219" s="188"/>
    </row>
    <row r="220" spans="1:1" ht="12.75">
      <c r="A220" s="188"/>
    </row>
    <row r="221" spans="1:1" ht="12.75">
      <c r="A221" s="188"/>
    </row>
    <row r="222" spans="1:1" ht="12.75">
      <c r="A222" s="188"/>
    </row>
    <row r="223" spans="1:1" ht="12.75">
      <c r="A223" s="188"/>
    </row>
    <row r="224" spans="1:1" ht="12.75">
      <c r="A224" s="188"/>
    </row>
    <row r="225" spans="1:1" ht="12.75">
      <c r="A225" s="188"/>
    </row>
    <row r="226" spans="1:1" ht="12.75">
      <c r="A226" s="188"/>
    </row>
    <row r="227" spans="1:1" ht="12.75">
      <c r="A227" s="188"/>
    </row>
    <row r="228" spans="1:1" ht="12.75">
      <c r="A228" s="188"/>
    </row>
    <row r="229" spans="1:1" ht="12.75">
      <c r="A229" s="188"/>
    </row>
    <row r="230" spans="1:1" ht="12.75">
      <c r="A230" s="188"/>
    </row>
    <row r="231" spans="1:1" ht="12.75">
      <c r="A231" s="188"/>
    </row>
    <row r="232" spans="1:1" ht="12.75">
      <c r="A232" s="188"/>
    </row>
    <row r="233" spans="1:1" ht="12.75">
      <c r="A233" s="188"/>
    </row>
    <row r="234" spans="1:1" ht="12.75">
      <c r="A234" s="188"/>
    </row>
    <row r="235" spans="1:1" ht="12.75">
      <c r="A235" s="188"/>
    </row>
    <row r="236" spans="1:1" ht="12.75">
      <c r="A236" s="188"/>
    </row>
    <row r="237" spans="1:1" ht="12.75">
      <c r="A237" s="188"/>
    </row>
    <row r="238" spans="1:1" ht="12.75">
      <c r="A238" s="188"/>
    </row>
    <row r="239" spans="1:1" ht="12.75">
      <c r="A239" s="188"/>
    </row>
    <row r="240" spans="1:1" ht="12.75">
      <c r="A240" s="188"/>
    </row>
    <row r="241" spans="1:1" ht="12.75">
      <c r="A241" s="188"/>
    </row>
    <row r="242" spans="1:1" ht="12.75">
      <c r="A242" s="188"/>
    </row>
    <row r="243" spans="1:1" ht="12.75">
      <c r="A243" s="188"/>
    </row>
    <row r="244" spans="1:1" ht="12.75">
      <c r="A244" s="188"/>
    </row>
    <row r="245" spans="1:1" ht="12.75">
      <c r="A245" s="188"/>
    </row>
    <row r="246" spans="1:1" ht="12.75">
      <c r="A246" s="188"/>
    </row>
    <row r="247" spans="1:1" ht="12.75">
      <c r="A247" s="188"/>
    </row>
    <row r="248" spans="1:1" ht="12.75">
      <c r="A248" s="188"/>
    </row>
    <row r="249" spans="1:1" ht="12.75">
      <c r="A249" s="188"/>
    </row>
    <row r="250" spans="1:1" ht="12.75">
      <c r="A250" s="188"/>
    </row>
    <row r="251" spans="1:1" ht="12.75">
      <c r="A251" s="188"/>
    </row>
    <row r="252" spans="1:1" ht="12.75">
      <c r="A252" s="188"/>
    </row>
    <row r="253" spans="1:1" ht="12.75">
      <c r="A253" s="188"/>
    </row>
    <row r="254" spans="1:1" ht="12.75">
      <c r="A254" s="188"/>
    </row>
    <row r="255" spans="1:1" ht="12.75">
      <c r="A255" s="188"/>
    </row>
    <row r="256" spans="1:1" ht="12.75">
      <c r="A256" s="188"/>
    </row>
    <row r="257" spans="1:1" ht="12.75">
      <c r="A257" s="188"/>
    </row>
    <row r="258" spans="1:1" ht="12.75">
      <c r="A258" s="188"/>
    </row>
    <row r="259" spans="1:1" ht="12.75">
      <c r="A259" s="188"/>
    </row>
    <row r="260" spans="1:1" ht="12.75">
      <c r="A260" s="188"/>
    </row>
    <row r="261" spans="1:1" ht="12.75">
      <c r="A261" s="188"/>
    </row>
    <row r="262" spans="1:1" ht="12.75">
      <c r="A262" s="188"/>
    </row>
    <row r="263" spans="1:1" ht="12.75">
      <c r="A263" s="188"/>
    </row>
    <row r="264" spans="1:1" ht="12.75">
      <c r="A264" s="188"/>
    </row>
    <row r="265" spans="1:1" ht="12.75">
      <c r="A265" s="188"/>
    </row>
    <row r="266" spans="1:1" ht="12.75">
      <c r="A266" s="188"/>
    </row>
    <row r="267" spans="1:1" ht="12.75">
      <c r="A267" s="188"/>
    </row>
    <row r="268" spans="1:1" ht="12.75">
      <c r="A268" s="188"/>
    </row>
    <row r="269" spans="1:1" ht="12.75">
      <c r="A269" s="188"/>
    </row>
    <row r="270" spans="1:1" ht="12.75">
      <c r="A270" s="188"/>
    </row>
    <row r="271" spans="1:1" ht="12.75">
      <c r="A271" s="188"/>
    </row>
    <row r="272" spans="1:1" ht="12.75">
      <c r="A272" s="188"/>
    </row>
    <row r="273" spans="1:1" ht="12.75">
      <c r="A273" s="188"/>
    </row>
    <row r="274" spans="1:1" ht="12.75">
      <c r="A274" s="188"/>
    </row>
    <row r="275" spans="1:1" ht="12.75">
      <c r="A275" s="188"/>
    </row>
    <row r="276" spans="1:1" ht="12.75">
      <c r="A276" s="188"/>
    </row>
    <row r="277" spans="1:1" ht="12.75">
      <c r="A277" s="188"/>
    </row>
    <row r="278" spans="1:1" ht="12.75">
      <c r="A278" s="188"/>
    </row>
    <row r="279" spans="1:1" ht="12.75">
      <c r="A279" s="188"/>
    </row>
    <row r="280" spans="1:1" ht="12.75">
      <c r="A280" s="188"/>
    </row>
    <row r="281" spans="1:1" ht="12.75">
      <c r="A281" s="188"/>
    </row>
    <row r="282" spans="1:1" ht="12.75">
      <c r="A282" s="188"/>
    </row>
    <row r="283" spans="1:1" ht="12.75">
      <c r="A283" s="188"/>
    </row>
    <row r="284" spans="1:1" ht="12.75">
      <c r="A284" s="188"/>
    </row>
    <row r="285" spans="1:1" ht="12.75">
      <c r="A285" s="188"/>
    </row>
    <row r="286" spans="1:1" ht="12.75">
      <c r="A286" s="188"/>
    </row>
    <row r="287" spans="1:1" ht="12.75">
      <c r="A287" s="188"/>
    </row>
    <row r="288" spans="1:1" ht="12.75">
      <c r="A288" s="188"/>
    </row>
    <row r="289" spans="1:1" ht="12.75">
      <c r="A289" s="188"/>
    </row>
    <row r="290" spans="1:1" ht="12.75">
      <c r="A290" s="188"/>
    </row>
    <row r="291" spans="1:1" ht="12.75">
      <c r="A291" s="188"/>
    </row>
    <row r="292" spans="1:1" ht="12.75">
      <c r="A292" s="188"/>
    </row>
    <row r="293" spans="1:1" ht="12.75">
      <c r="A293" s="188"/>
    </row>
    <row r="294" spans="1:1" ht="12.75">
      <c r="A294" s="188"/>
    </row>
    <row r="295" spans="1:1" ht="12.75">
      <c r="A295" s="188"/>
    </row>
    <row r="296" spans="1:1" ht="12.75">
      <c r="A296" s="188"/>
    </row>
    <row r="297" spans="1:1" ht="12.75">
      <c r="A297" s="188"/>
    </row>
    <row r="298" spans="1:1" ht="12.75">
      <c r="A298" s="188"/>
    </row>
    <row r="299" spans="1:1" ht="12.75">
      <c r="A299" s="188"/>
    </row>
    <row r="300" spans="1:1" ht="12.75">
      <c r="A300" s="188"/>
    </row>
    <row r="301" spans="1:1" ht="12.75">
      <c r="A301" s="188"/>
    </row>
    <row r="302" spans="1:1" ht="12.75">
      <c r="A302" s="188"/>
    </row>
    <row r="303" spans="1:1" ht="12.75">
      <c r="A303" s="188"/>
    </row>
    <row r="304" spans="1:1" ht="12.75">
      <c r="A304" s="188"/>
    </row>
    <row r="305" spans="1:1" ht="12.75">
      <c r="A305" s="188"/>
    </row>
    <row r="306" spans="1:1" ht="12.75">
      <c r="A306" s="188"/>
    </row>
    <row r="307" spans="1:1" ht="12.75">
      <c r="A307" s="188"/>
    </row>
    <row r="308" spans="1:1" ht="12.75">
      <c r="A308" s="188"/>
    </row>
    <row r="309" spans="1:1" ht="12.75">
      <c r="A309" s="188"/>
    </row>
    <row r="310" spans="1:1" ht="12.75">
      <c r="A310" s="188"/>
    </row>
    <row r="311" spans="1:1" ht="12.75">
      <c r="A311" s="188"/>
    </row>
    <row r="312" spans="1:1" ht="12.75">
      <c r="A312" s="188"/>
    </row>
    <row r="313" spans="1:1" ht="12.75">
      <c r="A313" s="188"/>
    </row>
    <row r="314" spans="1:1" ht="12.75">
      <c r="A314" s="188"/>
    </row>
    <row r="315" spans="1:1" ht="12.75">
      <c r="A315" s="188"/>
    </row>
    <row r="316" spans="1:1" ht="12.75">
      <c r="A316" s="188"/>
    </row>
    <row r="317" spans="1:1" ht="12.75">
      <c r="A317" s="188"/>
    </row>
    <row r="318" spans="1:1" ht="12.75">
      <c r="A318" s="188"/>
    </row>
    <row r="319" spans="1:1" ht="12.75">
      <c r="A319" s="188"/>
    </row>
    <row r="320" spans="1:1" ht="12.75">
      <c r="A320" s="188"/>
    </row>
    <row r="321" spans="1:1" ht="12.75">
      <c r="A321" s="188"/>
    </row>
    <row r="322" spans="1:1" ht="12.75">
      <c r="A322" s="188"/>
    </row>
    <row r="323" spans="1:1" ht="12.75">
      <c r="A323" s="188"/>
    </row>
    <row r="324" spans="1:1" ht="12.75">
      <c r="A324" s="188"/>
    </row>
    <row r="325" spans="1:1" ht="12.75">
      <c r="A325" s="188"/>
    </row>
    <row r="326" spans="1:1" ht="12.75">
      <c r="A326" s="188"/>
    </row>
    <row r="327" spans="1:1" ht="12.75">
      <c r="A327" s="188"/>
    </row>
    <row r="328" spans="1:1" ht="12.75">
      <c r="A328" s="188"/>
    </row>
    <row r="329" spans="1:1" ht="12.75">
      <c r="A329" s="188"/>
    </row>
    <row r="330" spans="1:1" ht="12.75">
      <c r="A330" s="188"/>
    </row>
    <row r="331" spans="1:1" ht="12.75">
      <c r="A331" s="188"/>
    </row>
    <row r="332" spans="1:1" ht="12.75">
      <c r="A332" s="188"/>
    </row>
    <row r="333" spans="1:1" ht="12.75">
      <c r="A333" s="188"/>
    </row>
    <row r="334" spans="1:1" ht="12.75">
      <c r="A334" s="188"/>
    </row>
    <row r="335" spans="1:1" ht="12.75">
      <c r="A335" s="188"/>
    </row>
    <row r="336" spans="1:1" ht="12.75">
      <c r="A336" s="188"/>
    </row>
    <row r="337" spans="1:1" ht="12.75">
      <c r="A337" s="188"/>
    </row>
    <row r="338" spans="1:1" ht="12.75">
      <c r="A338" s="188"/>
    </row>
    <row r="339" spans="1:1" ht="12.75">
      <c r="A339" s="188"/>
    </row>
    <row r="340" spans="1:1" ht="12.75">
      <c r="A340" s="188"/>
    </row>
    <row r="341" spans="1:1" ht="12.75">
      <c r="A341" s="188"/>
    </row>
    <row r="342" spans="1:1" ht="12.75">
      <c r="A342" s="188"/>
    </row>
    <row r="343" spans="1:1" ht="12.75">
      <c r="A343" s="188"/>
    </row>
    <row r="344" spans="1:1" ht="12.75">
      <c r="A344" s="188"/>
    </row>
    <row r="345" spans="1:1" ht="12.75">
      <c r="A345" s="188"/>
    </row>
    <row r="346" spans="1:1" ht="12.75">
      <c r="A346" s="188"/>
    </row>
    <row r="347" spans="1:1" ht="12.75">
      <c r="A347" s="188"/>
    </row>
    <row r="348" spans="1:1" ht="12.75">
      <c r="A348" s="188"/>
    </row>
    <row r="349" spans="1:1" ht="12.75">
      <c r="A349" s="188"/>
    </row>
    <row r="350" spans="1:1" ht="12.75">
      <c r="A350" s="188"/>
    </row>
    <row r="351" spans="1:1" ht="12.75">
      <c r="A351" s="188"/>
    </row>
    <row r="352" spans="1:1" ht="12.75">
      <c r="A352" s="188"/>
    </row>
    <row r="353" spans="1:1" ht="12.75">
      <c r="A353" s="188"/>
    </row>
    <row r="354" spans="1:1" ht="12.75">
      <c r="A354" s="188"/>
    </row>
    <row r="355" spans="1:1" ht="12.75">
      <c r="A355" s="188"/>
    </row>
    <row r="356" spans="1:1" ht="12.75">
      <c r="A356" s="188"/>
    </row>
    <row r="357" spans="1:1" ht="12.75">
      <c r="A357" s="188"/>
    </row>
    <row r="358" spans="1:1" ht="12.75">
      <c r="A358" s="188"/>
    </row>
    <row r="359" spans="1:1" ht="12.75">
      <c r="A359" s="188"/>
    </row>
    <row r="360" spans="1:1" ht="12.75">
      <c r="A360" s="188"/>
    </row>
    <row r="361" spans="1:1" ht="12.75">
      <c r="A361" s="188"/>
    </row>
    <row r="362" spans="1:1" ht="12.75">
      <c r="A362" s="188"/>
    </row>
    <row r="363" spans="1:1" ht="12.75">
      <c r="A363" s="188"/>
    </row>
    <row r="364" spans="1:1" ht="12.75">
      <c r="A364" s="188"/>
    </row>
    <row r="365" spans="1:1" ht="12.75">
      <c r="A365" s="188"/>
    </row>
    <row r="366" spans="1:1" ht="12.75">
      <c r="A366" s="188"/>
    </row>
    <row r="367" spans="1:1" ht="12.75">
      <c r="A367" s="188"/>
    </row>
    <row r="368" spans="1:1" ht="12.75">
      <c r="A368" s="188"/>
    </row>
    <row r="369" spans="1:1" ht="12.75">
      <c r="A369" s="188"/>
    </row>
    <row r="370" spans="1:1" ht="12.75">
      <c r="A370" s="188"/>
    </row>
    <row r="371" spans="1:1" ht="12.75">
      <c r="A371" s="188"/>
    </row>
    <row r="372" spans="1:1" ht="12.75">
      <c r="A372" s="188"/>
    </row>
    <row r="373" spans="1:1" ht="12.75">
      <c r="A373" s="188"/>
    </row>
    <row r="374" spans="1:1" ht="12.75">
      <c r="A374" s="188"/>
    </row>
    <row r="375" spans="1:1" ht="12.75">
      <c r="A375" s="188"/>
    </row>
    <row r="376" spans="1:1" ht="12.75">
      <c r="A376" s="188"/>
    </row>
    <row r="377" spans="1:1" ht="12.75">
      <c r="A377" s="188"/>
    </row>
    <row r="378" spans="1:1" ht="12.75">
      <c r="A378" s="188"/>
    </row>
    <row r="379" spans="1:1" ht="12.75">
      <c r="A379" s="188"/>
    </row>
    <row r="380" spans="1:1" ht="12.75">
      <c r="A380" s="188"/>
    </row>
    <row r="381" spans="1:1" ht="12.75">
      <c r="A381" s="188"/>
    </row>
    <row r="382" spans="1:1" ht="12.75">
      <c r="A382" s="188"/>
    </row>
    <row r="383" spans="1:1" ht="12.75">
      <c r="A383" s="188"/>
    </row>
    <row r="384" spans="1:1" ht="12.75">
      <c r="A384" s="188"/>
    </row>
    <row r="385" spans="1:1" ht="12.75">
      <c r="A385" s="188"/>
    </row>
    <row r="386" spans="1:1" ht="12.75">
      <c r="A386" s="188"/>
    </row>
    <row r="387" spans="1:1" ht="12.75">
      <c r="A387" s="188"/>
    </row>
    <row r="388" spans="1:1" ht="12.75">
      <c r="A388" s="188"/>
    </row>
    <row r="389" spans="1:1" ht="12.75">
      <c r="A389" s="188"/>
    </row>
    <row r="390" spans="1:1" ht="12.75">
      <c r="A390" s="188"/>
    </row>
    <row r="391" spans="1:1" ht="12.75">
      <c r="A391" s="188"/>
    </row>
    <row r="392" spans="1:1" ht="12.75">
      <c r="A392" s="188"/>
    </row>
    <row r="393" spans="1:1" ht="12.75">
      <c r="A393" s="188"/>
    </row>
    <row r="394" spans="1:1" ht="12.75">
      <c r="A394" s="188"/>
    </row>
    <row r="395" spans="1:1" ht="12.75">
      <c r="A395" s="188"/>
    </row>
    <row r="396" spans="1:1" ht="12.75">
      <c r="A396" s="188"/>
    </row>
    <row r="397" spans="1:1" ht="12.75">
      <c r="A397" s="188"/>
    </row>
    <row r="398" spans="1:1" ht="12.75">
      <c r="A398" s="188"/>
    </row>
    <row r="399" spans="1:1" ht="12.75">
      <c r="A399" s="188"/>
    </row>
    <row r="400" spans="1:1" ht="12.75">
      <c r="A400" s="188"/>
    </row>
    <row r="401" spans="1:1" ht="12.75">
      <c r="A401" s="188"/>
    </row>
    <row r="402" spans="1:1" ht="12.75">
      <c r="A402" s="188"/>
    </row>
    <row r="403" spans="1:1" ht="12.75">
      <c r="A403" s="188"/>
    </row>
    <row r="404" spans="1:1" ht="12.75">
      <c r="A404" s="188"/>
    </row>
    <row r="405" spans="1:1" ht="12.75">
      <c r="A405" s="188"/>
    </row>
    <row r="406" spans="1:1" ht="12.75">
      <c r="A406" s="188"/>
    </row>
    <row r="407" spans="1:1" ht="12.75">
      <c r="A407" s="188"/>
    </row>
    <row r="408" spans="1:1" ht="12.75">
      <c r="A408" s="188"/>
    </row>
    <row r="409" spans="1:1" ht="12.75">
      <c r="A409" s="188"/>
    </row>
    <row r="410" spans="1:1" ht="12.75">
      <c r="A410" s="188"/>
    </row>
    <row r="411" spans="1:1" ht="12.75">
      <c r="A411" s="188"/>
    </row>
    <row r="412" spans="1:1" ht="12.75">
      <c r="A412" s="188"/>
    </row>
    <row r="413" spans="1:1" ht="12.75">
      <c r="A413" s="188"/>
    </row>
    <row r="414" spans="1:1" ht="12.75">
      <c r="A414" s="188"/>
    </row>
    <row r="415" spans="1:1" ht="12.75">
      <c r="A415" s="188"/>
    </row>
    <row r="416" spans="1:1" ht="12.75">
      <c r="A416" s="188"/>
    </row>
    <row r="417" spans="1:1" ht="12.75">
      <c r="A417" s="188"/>
    </row>
    <row r="418" spans="1:1" ht="12.75">
      <c r="A418" s="188"/>
    </row>
    <row r="419" spans="1:1" ht="12.75">
      <c r="A419" s="188"/>
    </row>
    <row r="420" spans="1:1" ht="12.75">
      <c r="A420" s="188"/>
    </row>
    <row r="421" spans="1:1" ht="12.75">
      <c r="A421" s="188"/>
    </row>
    <row r="422" spans="1:1" ht="12.75">
      <c r="A422" s="188"/>
    </row>
    <row r="423" spans="1:1" ht="12.75">
      <c r="A423" s="188"/>
    </row>
    <row r="424" spans="1:1" ht="12.75">
      <c r="A424" s="188"/>
    </row>
    <row r="425" spans="1:1" ht="12.75">
      <c r="A425" s="188"/>
    </row>
    <row r="426" spans="1:1" ht="12.75">
      <c r="A426" s="188"/>
    </row>
    <row r="427" spans="1:1" ht="12.75">
      <c r="A427" s="188"/>
    </row>
    <row r="428" spans="1:1" ht="12.75">
      <c r="A428" s="188"/>
    </row>
    <row r="429" spans="1:1" ht="12.75">
      <c r="A429" s="188"/>
    </row>
    <row r="430" spans="1:1" ht="12.75">
      <c r="A430" s="188"/>
    </row>
    <row r="431" spans="1:1" ht="12.75">
      <c r="A431" s="188"/>
    </row>
    <row r="432" spans="1:1" ht="12.75">
      <c r="A432" s="188"/>
    </row>
    <row r="433" spans="1:1" ht="12.75">
      <c r="A433" s="188"/>
    </row>
    <row r="434" spans="1:1" ht="12.75">
      <c r="A434" s="188"/>
    </row>
    <row r="435" spans="1:1" ht="12.75">
      <c r="A435" s="188"/>
    </row>
    <row r="436" spans="1:1" ht="12.75">
      <c r="A436" s="188"/>
    </row>
    <row r="437" spans="1:1" ht="12.75">
      <c r="A437" s="188"/>
    </row>
    <row r="438" spans="1:1" ht="12.75">
      <c r="A438" s="188"/>
    </row>
    <row r="439" spans="1:1" ht="12.75">
      <c r="A439" s="188"/>
    </row>
    <row r="440" spans="1:1" ht="12.75">
      <c r="A440" s="188"/>
    </row>
    <row r="441" spans="1:1" ht="12.75">
      <c r="A441" s="188"/>
    </row>
    <row r="442" spans="1:1" ht="12.75">
      <c r="A442" s="188"/>
    </row>
    <row r="443" spans="1:1" ht="12.75">
      <c r="A443" s="188"/>
    </row>
    <row r="444" spans="1:1" ht="12.75">
      <c r="A444" s="188"/>
    </row>
    <row r="445" spans="1:1" ht="12.75">
      <c r="A445" s="188"/>
    </row>
    <row r="446" spans="1:1" ht="12.75">
      <c r="A446" s="188"/>
    </row>
    <row r="447" spans="1:1" ht="12.75">
      <c r="A447" s="188"/>
    </row>
    <row r="448" spans="1:1" ht="12.75">
      <c r="A448" s="188"/>
    </row>
    <row r="449" spans="1:1" ht="12.75">
      <c r="A449" s="188"/>
    </row>
    <row r="450" spans="1:1" ht="12.75">
      <c r="A450" s="188"/>
    </row>
    <row r="451" spans="1:1" ht="12.75">
      <c r="A451" s="188"/>
    </row>
    <row r="452" spans="1:1" ht="12.75">
      <c r="A452" s="188"/>
    </row>
    <row r="453" spans="1:1" ht="12.75">
      <c r="A453" s="188"/>
    </row>
    <row r="454" spans="1:1" ht="12.75">
      <c r="A454" s="188"/>
    </row>
    <row r="455" spans="1:1" ht="12.75">
      <c r="A455" s="188"/>
    </row>
    <row r="456" spans="1:1" ht="12.75">
      <c r="A456" s="188"/>
    </row>
    <row r="457" spans="1:1" ht="12.75">
      <c r="A457" s="188"/>
    </row>
    <row r="458" spans="1:1" ht="12.75">
      <c r="A458" s="188"/>
    </row>
    <row r="459" spans="1:1" ht="12.75">
      <c r="A459" s="188"/>
    </row>
    <row r="460" spans="1:1" ht="12.75">
      <c r="A460" s="188"/>
    </row>
    <row r="461" spans="1:1" ht="12.75">
      <c r="A461" s="188"/>
    </row>
    <row r="462" spans="1:1" ht="12.75">
      <c r="A462" s="188"/>
    </row>
    <row r="463" spans="1:1" ht="12.75">
      <c r="A463" s="188"/>
    </row>
    <row r="464" spans="1:1" ht="12.75">
      <c r="A464" s="188"/>
    </row>
    <row r="465" spans="1:1" ht="12.75">
      <c r="A465" s="188"/>
    </row>
    <row r="466" spans="1:1" ht="12.75">
      <c r="A466" s="188"/>
    </row>
    <row r="467" spans="1:1" ht="12.75">
      <c r="A467" s="188"/>
    </row>
    <row r="468" spans="1:1" ht="12.75">
      <c r="A468" s="188"/>
    </row>
    <row r="469" spans="1:1" ht="12.75">
      <c r="A469" s="188"/>
    </row>
    <row r="470" spans="1:1" ht="12.75">
      <c r="A470" s="188"/>
    </row>
    <row r="471" spans="1:1" ht="12.75">
      <c r="A471" s="188"/>
    </row>
    <row r="472" spans="1:1" ht="12.75">
      <c r="A472" s="188"/>
    </row>
    <row r="473" spans="1:1" ht="12.75">
      <c r="A473" s="188"/>
    </row>
    <row r="474" spans="1:1" ht="12.75">
      <c r="A474" s="188"/>
    </row>
    <row r="475" spans="1:1" ht="12.75">
      <c r="A475" s="188"/>
    </row>
    <row r="476" spans="1:1" ht="12.75">
      <c r="A476" s="188"/>
    </row>
    <row r="477" spans="1:1" ht="12.75">
      <c r="A477" s="188"/>
    </row>
    <row r="478" spans="1:1" ht="12.75">
      <c r="A478" s="188"/>
    </row>
    <row r="479" spans="1:1" ht="12.75">
      <c r="A479" s="188"/>
    </row>
    <row r="480" spans="1:1" ht="12.75">
      <c r="A480" s="188"/>
    </row>
    <row r="481" spans="1:1" ht="12.75">
      <c r="A481" s="188"/>
    </row>
    <row r="482" spans="1:1" ht="12.75">
      <c r="A482" s="188"/>
    </row>
    <row r="483" spans="1:1" ht="12.75">
      <c r="A483" s="188"/>
    </row>
    <row r="484" spans="1:1" ht="12.75">
      <c r="A484" s="188"/>
    </row>
    <row r="485" spans="1:1" ht="12.75">
      <c r="A485" s="188"/>
    </row>
    <row r="486" spans="1:1" ht="12.75">
      <c r="A486" s="188"/>
    </row>
    <row r="487" spans="1:1" ht="12.75">
      <c r="A487" s="188"/>
    </row>
    <row r="488" spans="1:1" ht="12.75">
      <c r="A488" s="188"/>
    </row>
    <row r="489" spans="1:1" ht="12.75">
      <c r="A489" s="188"/>
    </row>
    <row r="490" spans="1:1" ht="12.75">
      <c r="A490" s="188"/>
    </row>
    <row r="491" spans="1:1" ht="12.75">
      <c r="A491" s="188"/>
    </row>
    <row r="492" spans="1:1" ht="12.75">
      <c r="A492" s="188"/>
    </row>
    <row r="493" spans="1:1" ht="12.75">
      <c r="A493" s="188"/>
    </row>
    <row r="494" spans="1:1" ht="12.75">
      <c r="A494" s="188"/>
    </row>
    <row r="495" spans="1:1" ht="12.75">
      <c r="A495" s="188"/>
    </row>
    <row r="496" spans="1:1" ht="12.75">
      <c r="A496" s="188"/>
    </row>
    <row r="497" spans="1:1" ht="12.75">
      <c r="A497" s="188"/>
    </row>
    <row r="498" spans="1:1" ht="12.75">
      <c r="A498" s="188"/>
    </row>
    <row r="499" spans="1:1" ht="12.75">
      <c r="A499" s="188"/>
    </row>
    <row r="500" spans="1:1" ht="12.75">
      <c r="A500" s="188"/>
    </row>
    <row r="501" spans="1:1" ht="12.75">
      <c r="A501" s="188"/>
    </row>
    <row r="502" spans="1:1" ht="12.75">
      <c r="A502" s="188"/>
    </row>
    <row r="503" spans="1:1" ht="12.75">
      <c r="A503" s="188"/>
    </row>
    <row r="504" spans="1:1" ht="12.75">
      <c r="A504" s="188"/>
    </row>
    <row r="505" spans="1:1" ht="12.75">
      <c r="A505" s="188"/>
    </row>
    <row r="506" spans="1:1" ht="12.75">
      <c r="A506" s="188"/>
    </row>
    <row r="507" spans="1:1" ht="12.75">
      <c r="A507" s="188"/>
    </row>
    <row r="508" spans="1:1" ht="12.75">
      <c r="A508" s="188"/>
    </row>
    <row r="509" spans="1:1" ht="12.75">
      <c r="A509" s="188"/>
    </row>
    <row r="510" spans="1:1" ht="12.75">
      <c r="A510" s="188"/>
    </row>
    <row r="511" spans="1:1" ht="12.75">
      <c r="A511" s="188"/>
    </row>
    <row r="512" spans="1:1" ht="12.75">
      <c r="A512" s="188"/>
    </row>
    <row r="513" spans="1:1" ht="12.75">
      <c r="A513" s="188"/>
    </row>
    <row r="514" spans="1:1" ht="12.75">
      <c r="A514" s="188"/>
    </row>
    <row r="515" spans="1:1" ht="12.75">
      <c r="A515" s="188"/>
    </row>
    <row r="516" spans="1:1" ht="12.75">
      <c r="A516" s="188"/>
    </row>
    <row r="517" spans="1:1" ht="12.75">
      <c r="A517" s="188"/>
    </row>
    <row r="518" spans="1:1" ht="12.75">
      <c r="A518" s="188"/>
    </row>
    <row r="519" spans="1:1" ht="12.75">
      <c r="A519" s="188"/>
    </row>
    <row r="520" spans="1:1" ht="12.75">
      <c r="A520" s="188"/>
    </row>
    <row r="521" spans="1:1" ht="12.75">
      <c r="A521" s="188"/>
    </row>
    <row r="522" spans="1:1" ht="12.75">
      <c r="A522" s="188"/>
    </row>
    <row r="523" spans="1:1" ht="12.75">
      <c r="A523" s="188"/>
    </row>
    <row r="524" spans="1:1" ht="12.75">
      <c r="A524" s="188"/>
    </row>
    <row r="525" spans="1:1" ht="12.75">
      <c r="A525" s="188"/>
    </row>
    <row r="526" spans="1:1" ht="12.75">
      <c r="A526" s="188"/>
    </row>
    <row r="527" spans="1:1" ht="12.75">
      <c r="A527" s="188"/>
    </row>
    <row r="528" spans="1:1" ht="12.75">
      <c r="A528" s="188"/>
    </row>
    <row r="529" spans="1:1" ht="12.75">
      <c r="A529" s="188"/>
    </row>
    <row r="530" spans="1:1" ht="12.75">
      <c r="A530" s="188"/>
    </row>
    <row r="531" spans="1:1" ht="12.75">
      <c r="A531" s="188"/>
    </row>
    <row r="532" spans="1:1" ht="12.75">
      <c r="A532" s="188"/>
    </row>
    <row r="533" spans="1:1" ht="12.75">
      <c r="A533" s="188"/>
    </row>
    <row r="534" spans="1:1" ht="12.75">
      <c r="A534" s="188"/>
    </row>
    <row r="535" spans="1:1" ht="12.75">
      <c r="A535" s="188"/>
    </row>
    <row r="536" spans="1:1" ht="12.75">
      <c r="A536" s="188"/>
    </row>
    <row r="537" spans="1:1" ht="12.75">
      <c r="A537" s="188"/>
    </row>
    <row r="538" spans="1:1" ht="12.75">
      <c r="A538" s="188"/>
    </row>
    <row r="539" spans="1:1" ht="12.75">
      <c r="A539" s="188"/>
    </row>
    <row r="540" spans="1:1" ht="12.75">
      <c r="A540" s="188"/>
    </row>
    <row r="541" spans="1:1" ht="12.75">
      <c r="A541" s="188"/>
    </row>
    <row r="542" spans="1:1" ht="12.75">
      <c r="A542" s="188"/>
    </row>
    <row r="543" spans="1:1" ht="12.75">
      <c r="A543" s="188"/>
    </row>
    <row r="544" spans="1:1" ht="12.75">
      <c r="A544" s="188"/>
    </row>
    <row r="545" spans="1:1" ht="12.75">
      <c r="A545" s="188"/>
    </row>
    <row r="546" spans="1:1" ht="12.75">
      <c r="A546" s="188"/>
    </row>
    <row r="547" spans="1:1" ht="12.75">
      <c r="A547" s="188"/>
    </row>
    <row r="548" spans="1:1" ht="12.75">
      <c r="A548" s="188"/>
    </row>
    <row r="549" spans="1:1" ht="12.75">
      <c r="A549" s="188"/>
    </row>
    <row r="550" spans="1:1" ht="12.75">
      <c r="A550" s="188"/>
    </row>
    <row r="551" spans="1:1" ht="12.75">
      <c r="A551" s="188"/>
    </row>
    <row r="552" spans="1:1" ht="12.75">
      <c r="A552" s="188"/>
    </row>
    <row r="553" spans="1:1" ht="12.75">
      <c r="A553" s="188"/>
    </row>
    <row r="554" spans="1:1" ht="12.75">
      <c r="A554" s="188"/>
    </row>
    <row r="555" spans="1:1" ht="12.75">
      <c r="A555" s="188"/>
    </row>
    <row r="556" spans="1:1" ht="12.75">
      <c r="A556" s="188"/>
    </row>
    <row r="557" spans="1:1" ht="12.75">
      <c r="A557" s="188"/>
    </row>
    <row r="558" spans="1:1" ht="12.75">
      <c r="A558" s="188"/>
    </row>
    <row r="559" spans="1:1" ht="12.75">
      <c r="A559" s="188"/>
    </row>
    <row r="560" spans="1:1" ht="12.75">
      <c r="A560" s="188"/>
    </row>
    <row r="561" spans="1:1" ht="12.75">
      <c r="A561" s="188"/>
    </row>
    <row r="562" spans="1:1" ht="12.75">
      <c r="A562" s="188"/>
    </row>
    <row r="563" spans="1:1" ht="12.75">
      <c r="A563" s="188"/>
    </row>
    <row r="564" spans="1:1" ht="12.75">
      <c r="A564" s="188"/>
    </row>
    <row r="565" spans="1:1" ht="12.75">
      <c r="A565" s="188"/>
    </row>
    <row r="566" spans="1:1" ht="12.75">
      <c r="A566" s="188"/>
    </row>
    <row r="567" spans="1:1" ht="12.75">
      <c r="A567" s="188"/>
    </row>
    <row r="568" spans="1:1" ht="12.75">
      <c r="A568" s="188"/>
    </row>
    <row r="569" spans="1:1" ht="12.75">
      <c r="A569" s="188"/>
    </row>
    <row r="570" spans="1:1" ht="12.75">
      <c r="A570" s="188"/>
    </row>
    <row r="571" spans="1:1" ht="12.75">
      <c r="A571" s="188"/>
    </row>
    <row r="572" spans="1:1" ht="12.75">
      <c r="A572" s="188"/>
    </row>
    <row r="573" spans="1:1" ht="12.75">
      <c r="A573" s="188"/>
    </row>
    <row r="574" spans="1:1" ht="12.75">
      <c r="A574" s="188"/>
    </row>
    <row r="575" spans="1:1" ht="12.75">
      <c r="A575" s="188"/>
    </row>
    <row r="576" spans="1:1" ht="12.75">
      <c r="A576" s="188"/>
    </row>
    <row r="577" spans="1:1" ht="12.75">
      <c r="A577" s="188"/>
    </row>
    <row r="578" spans="1:1" ht="12.75">
      <c r="A578" s="188"/>
    </row>
    <row r="579" spans="1:1" ht="12.75">
      <c r="A579" s="188"/>
    </row>
    <row r="580" spans="1:1" ht="12.75">
      <c r="A580" s="188"/>
    </row>
    <row r="581" spans="1:1" ht="12.75">
      <c r="A581" s="188"/>
    </row>
    <row r="582" spans="1:1" ht="12.75">
      <c r="A582" s="188"/>
    </row>
    <row r="583" spans="1:1" ht="12.75">
      <c r="A583" s="188"/>
    </row>
    <row r="584" spans="1:1" ht="12.75">
      <c r="A584" s="188"/>
    </row>
    <row r="585" spans="1:1" ht="12.75">
      <c r="A585" s="188"/>
    </row>
    <row r="586" spans="1:1" ht="12.75">
      <c r="A586" s="188"/>
    </row>
    <row r="587" spans="1:1" ht="12.75">
      <c r="A587" s="188"/>
    </row>
    <row r="588" spans="1:1" ht="12.75">
      <c r="A588" s="188"/>
    </row>
    <row r="589" spans="1:1" ht="12.75">
      <c r="A589" s="188"/>
    </row>
    <row r="590" spans="1:1" ht="12.75">
      <c r="A590" s="188"/>
    </row>
    <row r="591" spans="1:1" ht="12.75">
      <c r="A591" s="188"/>
    </row>
    <row r="592" spans="1:1" ht="12.75">
      <c r="A592" s="188"/>
    </row>
    <row r="593" spans="1:1" ht="12.75">
      <c r="A593" s="188"/>
    </row>
    <row r="594" spans="1:1" ht="12.75">
      <c r="A594" s="188"/>
    </row>
    <row r="595" spans="1:1" ht="12.75">
      <c r="A595" s="188"/>
    </row>
    <row r="596" spans="1:1" ht="12.75">
      <c r="A596" s="188"/>
    </row>
    <row r="597" spans="1:1" ht="12.75">
      <c r="A597" s="188"/>
    </row>
    <row r="598" spans="1:1" ht="12.75">
      <c r="A598" s="188"/>
    </row>
    <row r="599" spans="1:1" ht="12.75">
      <c r="A599" s="188"/>
    </row>
    <row r="600" spans="1:1" ht="12.75">
      <c r="A600" s="188"/>
    </row>
    <row r="601" spans="1:1" ht="12.75">
      <c r="A601" s="188"/>
    </row>
    <row r="602" spans="1:1" ht="12.75">
      <c r="A602" s="188"/>
    </row>
    <row r="603" spans="1:1" ht="12.75">
      <c r="A603" s="188"/>
    </row>
    <row r="604" spans="1:1" ht="12.75">
      <c r="A604" s="188"/>
    </row>
    <row r="605" spans="1:1" ht="12.75">
      <c r="A605" s="188"/>
    </row>
    <row r="606" spans="1:1" ht="12.75">
      <c r="A606" s="188"/>
    </row>
    <row r="607" spans="1:1" ht="12.75">
      <c r="A607" s="188"/>
    </row>
    <row r="608" spans="1:1" ht="12.75">
      <c r="A608" s="188"/>
    </row>
    <row r="609" spans="1:1" ht="12.75">
      <c r="A609" s="188"/>
    </row>
    <row r="610" spans="1:1" ht="12.75">
      <c r="A610" s="188"/>
    </row>
    <row r="611" spans="1:1" ht="12.75">
      <c r="A611" s="188"/>
    </row>
    <row r="612" spans="1:1" ht="12.75">
      <c r="A612" s="188"/>
    </row>
    <row r="613" spans="1:1" ht="12.75">
      <c r="A613" s="188"/>
    </row>
    <row r="614" spans="1:1" ht="12.75">
      <c r="A614" s="188"/>
    </row>
    <row r="615" spans="1:1" ht="12.75">
      <c r="A615" s="188"/>
    </row>
    <row r="616" spans="1:1" ht="12.75">
      <c r="A616" s="188"/>
    </row>
    <row r="617" spans="1:1" ht="12.75">
      <c r="A617" s="188"/>
    </row>
    <row r="618" spans="1:1" ht="12.75">
      <c r="A618" s="188"/>
    </row>
    <row r="619" spans="1:1" ht="12.75">
      <c r="A619" s="188"/>
    </row>
    <row r="620" spans="1:1" ht="12.75">
      <c r="A620" s="188"/>
    </row>
    <row r="621" spans="1:1" ht="12.75">
      <c r="A621" s="188"/>
    </row>
    <row r="622" spans="1:1" ht="12.75">
      <c r="A622" s="188"/>
    </row>
    <row r="623" spans="1:1" ht="12.75">
      <c r="A623" s="188"/>
    </row>
    <row r="624" spans="1:1" ht="12.75">
      <c r="A624" s="188"/>
    </row>
    <row r="625" spans="1:1" ht="12.75">
      <c r="A625" s="188"/>
    </row>
    <row r="626" spans="1:1" ht="12.75">
      <c r="A626" s="188"/>
    </row>
    <row r="627" spans="1:1" ht="12.75">
      <c r="A627" s="188"/>
    </row>
    <row r="628" spans="1:1" ht="12.75">
      <c r="A628" s="188"/>
    </row>
    <row r="629" spans="1:1" ht="12.75">
      <c r="A629" s="188"/>
    </row>
    <row r="630" spans="1:1" ht="12.75">
      <c r="A630" s="188"/>
    </row>
    <row r="631" spans="1:1" ht="12.75">
      <c r="A631" s="188"/>
    </row>
    <row r="632" spans="1:1" ht="12.75">
      <c r="A632" s="188"/>
    </row>
    <row r="633" spans="1:1" ht="12.75">
      <c r="A633" s="188"/>
    </row>
    <row r="634" spans="1:1" ht="12.75">
      <c r="A634" s="188"/>
    </row>
    <row r="635" spans="1:1" ht="12.75">
      <c r="A635" s="188"/>
    </row>
    <row r="636" spans="1:1" ht="12.75">
      <c r="A636" s="188"/>
    </row>
    <row r="637" spans="1:1" ht="12.75">
      <c r="A637" s="188"/>
    </row>
    <row r="638" spans="1:1" ht="12.75">
      <c r="A638" s="188"/>
    </row>
    <row r="639" spans="1:1" ht="12.75">
      <c r="A639" s="188"/>
    </row>
    <row r="640" spans="1:1" ht="12.75">
      <c r="A640" s="188"/>
    </row>
    <row r="641" spans="1:1" ht="12.75">
      <c r="A641" s="188"/>
    </row>
    <row r="642" spans="1:1" ht="12.75">
      <c r="A642" s="188"/>
    </row>
    <row r="643" spans="1:1" ht="12.75">
      <c r="A643" s="188"/>
    </row>
    <row r="644" spans="1:1" ht="12.75">
      <c r="A644" s="188"/>
    </row>
    <row r="645" spans="1:1" ht="12.75">
      <c r="A645" s="188"/>
    </row>
    <row r="646" spans="1:1" ht="12.75">
      <c r="A646" s="188"/>
    </row>
    <row r="647" spans="1:1" ht="12.75">
      <c r="A647" s="188"/>
    </row>
    <row r="648" spans="1:1" ht="12.75">
      <c r="A648" s="188"/>
    </row>
    <row r="649" spans="1:1" ht="12.75">
      <c r="A649" s="188"/>
    </row>
    <row r="650" spans="1:1" ht="12.75">
      <c r="A650" s="188"/>
    </row>
    <row r="651" spans="1:1" ht="12.75">
      <c r="A651" s="188"/>
    </row>
    <row r="652" spans="1:1" ht="12.75">
      <c r="A652" s="188"/>
    </row>
    <row r="653" spans="1:1" ht="12.75">
      <c r="A653" s="188"/>
    </row>
    <row r="654" spans="1:1" ht="12.75">
      <c r="A654" s="188"/>
    </row>
    <row r="655" spans="1:1" ht="12.75">
      <c r="A655" s="188"/>
    </row>
    <row r="656" spans="1:1" ht="12.75">
      <c r="A656" s="188"/>
    </row>
    <row r="657" spans="1:1" ht="12.75">
      <c r="A657" s="188"/>
    </row>
    <row r="658" spans="1:1" ht="12.75">
      <c r="A658" s="188"/>
    </row>
    <row r="659" spans="1:1" ht="12.75">
      <c r="A659" s="188"/>
    </row>
    <row r="660" spans="1:1" ht="12.75">
      <c r="A660" s="188"/>
    </row>
    <row r="661" spans="1:1" ht="12.75">
      <c r="A661" s="188"/>
    </row>
    <row r="662" spans="1:1" ht="12.75">
      <c r="A662" s="188"/>
    </row>
    <row r="663" spans="1:1" ht="12.75">
      <c r="A663" s="188"/>
    </row>
    <row r="664" spans="1:1" ht="12.75">
      <c r="A664" s="188"/>
    </row>
    <row r="665" spans="1:1" ht="12.75">
      <c r="A665" s="188"/>
    </row>
    <row r="666" spans="1:1" ht="12.75">
      <c r="A666" s="188"/>
    </row>
    <row r="667" spans="1:1" ht="12.75">
      <c r="A667" s="188"/>
    </row>
    <row r="668" spans="1:1" ht="12.75">
      <c r="A668" s="188"/>
    </row>
    <row r="669" spans="1:1" ht="12.75">
      <c r="A669" s="188"/>
    </row>
    <row r="670" spans="1:1" ht="12.75">
      <c r="A670" s="188"/>
    </row>
    <row r="671" spans="1:1" ht="12.75">
      <c r="A671" s="188"/>
    </row>
    <row r="672" spans="1:1" ht="12.75">
      <c r="A672" s="188"/>
    </row>
    <row r="673" spans="1:1" ht="12.75">
      <c r="A673" s="188"/>
    </row>
    <row r="674" spans="1:1" ht="12.75">
      <c r="A674" s="188"/>
    </row>
    <row r="675" spans="1:1" ht="12.75">
      <c r="A675" s="188"/>
    </row>
    <row r="676" spans="1:1" ht="12.75">
      <c r="A676" s="188"/>
    </row>
    <row r="677" spans="1:1" ht="12.75">
      <c r="A677" s="188"/>
    </row>
    <row r="678" spans="1:1" ht="12.75">
      <c r="A678" s="188"/>
    </row>
    <row r="679" spans="1:1" ht="12.75">
      <c r="A679" s="188"/>
    </row>
    <row r="680" spans="1:1" ht="12.75">
      <c r="A680" s="188"/>
    </row>
    <row r="681" spans="1:1" ht="12.75">
      <c r="A681" s="188"/>
    </row>
    <row r="682" spans="1:1" ht="12.75">
      <c r="A682" s="188"/>
    </row>
    <row r="683" spans="1:1" ht="12.75">
      <c r="A683" s="188"/>
    </row>
    <row r="684" spans="1:1" ht="12.75">
      <c r="A684" s="188"/>
    </row>
    <row r="685" spans="1:1" ht="12.75">
      <c r="A685" s="188"/>
    </row>
    <row r="686" spans="1:1" ht="12.75">
      <c r="A686" s="188"/>
    </row>
    <row r="687" spans="1:1" ht="12.75">
      <c r="A687" s="188"/>
    </row>
    <row r="688" spans="1:1" ht="12.75">
      <c r="A688" s="188"/>
    </row>
    <row r="689" spans="1:1" ht="12.75">
      <c r="A689" s="188"/>
    </row>
    <row r="690" spans="1:1" ht="12.75">
      <c r="A690" s="188"/>
    </row>
    <row r="691" spans="1:1" ht="12.75">
      <c r="A691" s="188"/>
    </row>
    <row r="692" spans="1:1" ht="12.75">
      <c r="A692" s="188"/>
    </row>
    <row r="693" spans="1:1" ht="12.75">
      <c r="A693" s="188"/>
    </row>
    <row r="694" spans="1:1" ht="12.75">
      <c r="A694" s="188"/>
    </row>
    <row r="695" spans="1:1" ht="12.75">
      <c r="A695" s="188"/>
    </row>
    <row r="696" spans="1:1" ht="12.75">
      <c r="A696" s="188"/>
    </row>
    <row r="697" spans="1:1" ht="12.75">
      <c r="A697" s="188"/>
    </row>
    <row r="698" spans="1:1" ht="12.75">
      <c r="A698" s="188"/>
    </row>
    <row r="699" spans="1:1" ht="12.75">
      <c r="A699" s="188"/>
    </row>
    <row r="700" spans="1:1" ht="12.75">
      <c r="A700" s="188"/>
    </row>
    <row r="701" spans="1:1" ht="12.75">
      <c r="A701" s="188"/>
    </row>
    <row r="702" spans="1:1" ht="12.75">
      <c r="A702" s="188"/>
    </row>
    <row r="703" spans="1:1" ht="12.75">
      <c r="A703" s="188"/>
    </row>
    <row r="704" spans="1:1" ht="12.75">
      <c r="A704" s="188"/>
    </row>
    <row r="705" spans="1:1" ht="12.75">
      <c r="A705" s="188"/>
    </row>
    <row r="706" spans="1:1" ht="12.75">
      <c r="A706" s="188"/>
    </row>
    <row r="707" spans="1:1" ht="12.75">
      <c r="A707" s="188"/>
    </row>
    <row r="708" spans="1:1" ht="12.75">
      <c r="A708" s="188"/>
    </row>
    <row r="709" spans="1:1" ht="12.75">
      <c r="A709" s="188"/>
    </row>
    <row r="710" spans="1:1" ht="12.75">
      <c r="A710" s="188"/>
    </row>
    <row r="711" spans="1:1" ht="12.75">
      <c r="A711" s="188"/>
    </row>
    <row r="712" spans="1:1" ht="12.75">
      <c r="A712" s="188"/>
    </row>
    <row r="713" spans="1:1" ht="12.75">
      <c r="A713" s="188"/>
    </row>
    <row r="714" spans="1:1" ht="12.75">
      <c r="A714" s="188"/>
    </row>
    <row r="715" spans="1:1" ht="12.75">
      <c r="A715" s="188"/>
    </row>
    <row r="716" spans="1:1" ht="12.75">
      <c r="A716" s="188"/>
    </row>
    <row r="717" spans="1:1" ht="12.75">
      <c r="A717" s="188"/>
    </row>
    <row r="718" spans="1:1" ht="12.75">
      <c r="A718" s="188"/>
    </row>
    <row r="719" spans="1:1" ht="12.75">
      <c r="A719" s="188"/>
    </row>
    <row r="720" spans="1:1" ht="12.75">
      <c r="A720" s="188"/>
    </row>
    <row r="721" spans="1:1" ht="12.75">
      <c r="A721" s="188"/>
    </row>
    <row r="722" spans="1:1" ht="12.75">
      <c r="A722" s="188"/>
    </row>
    <row r="723" spans="1:1" ht="12.75">
      <c r="A723" s="188"/>
    </row>
    <row r="724" spans="1:1" ht="12.75">
      <c r="A724" s="188"/>
    </row>
    <row r="725" spans="1:1" ht="12.75">
      <c r="A725" s="188"/>
    </row>
    <row r="726" spans="1:1" ht="12.75">
      <c r="A726" s="188"/>
    </row>
    <row r="727" spans="1:1" ht="12.75">
      <c r="A727" s="188"/>
    </row>
    <row r="728" spans="1:1" ht="12.75">
      <c r="A728" s="188"/>
    </row>
    <row r="729" spans="1:1" ht="12.75">
      <c r="A729" s="188"/>
    </row>
    <row r="730" spans="1:1" ht="12.75">
      <c r="A730" s="188"/>
    </row>
    <row r="731" spans="1:1" ht="12.75">
      <c r="A731" s="188"/>
    </row>
    <row r="732" spans="1:1" ht="12.75">
      <c r="A732" s="188"/>
    </row>
    <row r="733" spans="1:1" ht="12.75">
      <c r="A733" s="188"/>
    </row>
    <row r="734" spans="1:1" ht="12.75">
      <c r="A734" s="188"/>
    </row>
    <row r="735" spans="1:1" ht="12.75">
      <c r="A735" s="188"/>
    </row>
    <row r="736" spans="1:1" ht="12.75">
      <c r="A736" s="188"/>
    </row>
    <row r="737" spans="1:1" ht="12.75">
      <c r="A737" s="188"/>
    </row>
    <row r="738" spans="1:1" ht="12.75">
      <c r="A738" s="188"/>
    </row>
    <row r="739" spans="1:1" ht="12.75">
      <c r="A739" s="188"/>
    </row>
    <row r="740" spans="1:1" ht="12.75">
      <c r="A740" s="188"/>
    </row>
    <row r="741" spans="1:1" ht="12.75">
      <c r="A741" s="188"/>
    </row>
    <row r="742" spans="1:1" ht="12.75">
      <c r="A742" s="188"/>
    </row>
    <row r="743" spans="1:1" ht="12.75">
      <c r="A743" s="188"/>
    </row>
    <row r="744" spans="1:1" ht="12.75">
      <c r="A744" s="188"/>
    </row>
    <row r="745" spans="1:1" ht="12.75">
      <c r="A745" s="188"/>
    </row>
    <row r="746" spans="1:1" ht="12.75">
      <c r="A746" s="188"/>
    </row>
    <row r="747" spans="1:1" ht="12.75">
      <c r="A747" s="188"/>
    </row>
    <row r="748" spans="1:1" ht="12.75">
      <c r="A748" s="188"/>
    </row>
    <row r="749" spans="1:1" ht="12.75">
      <c r="A749" s="188"/>
    </row>
    <row r="750" spans="1:1" ht="12.75">
      <c r="A750" s="188"/>
    </row>
    <row r="751" spans="1:1" ht="12.75">
      <c r="A751" s="188"/>
    </row>
    <row r="752" spans="1:1" ht="12.75">
      <c r="A752" s="188"/>
    </row>
    <row r="753" spans="1:1" ht="12.75">
      <c r="A753" s="188"/>
    </row>
    <row r="754" spans="1:1" ht="12.75">
      <c r="A754" s="188"/>
    </row>
    <row r="755" spans="1:1" ht="12.75">
      <c r="A755" s="188"/>
    </row>
    <row r="756" spans="1:1" ht="12.75">
      <c r="A756" s="188"/>
    </row>
    <row r="757" spans="1:1" ht="12.75">
      <c r="A757" s="188"/>
    </row>
    <row r="758" spans="1:1" ht="12.75">
      <c r="A758" s="188"/>
    </row>
    <row r="759" spans="1:1" ht="12.75">
      <c r="A759" s="188"/>
    </row>
    <row r="760" spans="1:1" ht="12.75">
      <c r="A760" s="188"/>
    </row>
    <row r="761" spans="1:1" ht="12.75">
      <c r="A761" s="188"/>
    </row>
    <row r="762" spans="1:1" ht="12.75">
      <c r="A762" s="188"/>
    </row>
    <row r="763" spans="1:1" ht="12.75">
      <c r="A763" s="188"/>
    </row>
    <row r="764" spans="1:1" ht="12.75">
      <c r="A764" s="188"/>
    </row>
    <row r="765" spans="1:1" ht="12.75">
      <c r="A765" s="188"/>
    </row>
    <row r="766" spans="1:1" ht="12.75">
      <c r="A766" s="188"/>
    </row>
    <row r="767" spans="1:1" ht="12.75">
      <c r="A767" s="188"/>
    </row>
    <row r="768" spans="1:1" ht="12.75">
      <c r="A768" s="188"/>
    </row>
    <row r="769" spans="1:1" ht="12.75">
      <c r="A769" s="188"/>
    </row>
    <row r="770" spans="1:1" ht="12.75">
      <c r="A770" s="188"/>
    </row>
    <row r="771" spans="1:1" ht="12.75">
      <c r="A771" s="188"/>
    </row>
    <row r="772" spans="1:1" ht="12.75">
      <c r="A772" s="188"/>
    </row>
    <row r="773" spans="1:1" ht="12.75">
      <c r="A773" s="188"/>
    </row>
    <row r="774" spans="1:1" ht="12.75">
      <c r="A774" s="188"/>
    </row>
    <row r="775" spans="1:1" ht="12.75">
      <c r="A775" s="188"/>
    </row>
    <row r="776" spans="1:1" ht="12.75">
      <c r="A776" s="188"/>
    </row>
    <row r="777" spans="1:1" ht="12.75">
      <c r="A777" s="188"/>
    </row>
    <row r="778" spans="1:1" ht="12.75">
      <c r="A778" s="188"/>
    </row>
    <row r="779" spans="1:1" ht="12.75">
      <c r="A779" s="188"/>
    </row>
    <row r="780" spans="1:1" ht="12.75">
      <c r="A780" s="188"/>
    </row>
    <row r="781" spans="1:1" ht="12.75">
      <c r="A781" s="188"/>
    </row>
    <row r="782" spans="1:1" ht="12.75">
      <c r="A782" s="188"/>
    </row>
    <row r="783" spans="1:1" ht="12.75">
      <c r="A783" s="188"/>
    </row>
    <row r="784" spans="1:1" ht="12.75">
      <c r="A784" s="188"/>
    </row>
    <row r="785" spans="1:1" ht="12.75">
      <c r="A785" s="188"/>
    </row>
    <row r="786" spans="1:1" ht="12.75">
      <c r="A786" s="188"/>
    </row>
    <row r="787" spans="1:1" ht="12.75">
      <c r="A787" s="188"/>
    </row>
    <row r="788" spans="1:1" ht="12.75">
      <c r="A788" s="188"/>
    </row>
    <row r="789" spans="1:1" ht="12.75">
      <c r="A789" s="188"/>
    </row>
    <row r="790" spans="1:1" ht="12.75">
      <c r="A790" s="188"/>
    </row>
    <row r="791" spans="1:1" ht="12.75">
      <c r="A791" s="188"/>
    </row>
    <row r="792" spans="1:1" ht="12.75">
      <c r="A792" s="188"/>
    </row>
    <row r="793" spans="1:1" ht="12.75">
      <c r="A793" s="188"/>
    </row>
    <row r="794" spans="1:1" ht="12.75">
      <c r="A794" s="188"/>
    </row>
    <row r="795" spans="1:1" ht="12.75">
      <c r="A795" s="188"/>
    </row>
    <row r="796" spans="1:1" ht="12.75">
      <c r="A796" s="188"/>
    </row>
    <row r="797" spans="1:1" ht="12.75">
      <c r="A797" s="188"/>
    </row>
    <row r="798" spans="1:1" ht="12.75">
      <c r="A798" s="188"/>
    </row>
    <row r="799" spans="1:1" ht="12.75">
      <c r="A799" s="188"/>
    </row>
    <row r="800" spans="1:1" ht="12.75">
      <c r="A800" s="188"/>
    </row>
    <row r="801" spans="1:1" ht="12.75">
      <c r="A801" s="188"/>
    </row>
    <row r="802" spans="1:1" ht="12.75">
      <c r="A802" s="188"/>
    </row>
    <row r="803" spans="1:1" ht="12.75">
      <c r="A803" s="188"/>
    </row>
    <row r="804" spans="1:1" ht="12.75">
      <c r="A804" s="188"/>
    </row>
    <row r="805" spans="1:1" ht="12.75">
      <c r="A805" s="188"/>
    </row>
    <row r="806" spans="1:1" ht="12.75">
      <c r="A806" s="188"/>
    </row>
    <row r="807" spans="1:1" ht="12.75">
      <c r="A807" s="188"/>
    </row>
    <row r="808" spans="1:1" ht="12.75">
      <c r="A808" s="188"/>
    </row>
    <row r="809" spans="1:1" ht="12.75">
      <c r="A809" s="188"/>
    </row>
    <row r="810" spans="1:1" ht="12.75">
      <c r="A810" s="188"/>
    </row>
    <row r="811" spans="1:1" ht="12.75">
      <c r="A811" s="188"/>
    </row>
    <row r="812" spans="1:1" ht="12.75">
      <c r="A812" s="188"/>
    </row>
    <row r="813" spans="1:1" ht="12.75">
      <c r="A813" s="188"/>
    </row>
    <row r="814" spans="1:1" ht="12.75">
      <c r="A814" s="188"/>
    </row>
    <row r="815" spans="1:1" ht="12.75">
      <c r="A815" s="188"/>
    </row>
    <row r="816" spans="1:1" ht="12.75">
      <c r="A816" s="188"/>
    </row>
    <row r="817" spans="1:1" ht="12.75">
      <c r="A817" s="188"/>
    </row>
    <row r="818" spans="1:1" ht="12.75">
      <c r="A818" s="188"/>
    </row>
    <row r="819" spans="1:1" ht="12.75">
      <c r="A819" s="188"/>
    </row>
    <row r="820" spans="1:1" ht="12.75">
      <c r="A820" s="188"/>
    </row>
    <row r="821" spans="1:1" ht="12.75">
      <c r="A821" s="188"/>
    </row>
    <row r="822" spans="1:1" ht="12.75">
      <c r="A822" s="188"/>
    </row>
    <row r="823" spans="1:1" ht="12.75">
      <c r="A823" s="188"/>
    </row>
    <row r="824" spans="1:1" ht="12.75">
      <c r="A824" s="188"/>
    </row>
    <row r="825" spans="1:1" ht="12.75">
      <c r="A825" s="188"/>
    </row>
    <row r="826" spans="1:1" ht="12.75">
      <c r="A826" s="188"/>
    </row>
    <row r="827" spans="1:1" ht="12.75">
      <c r="A827" s="188"/>
    </row>
    <row r="828" spans="1:1" ht="12.75">
      <c r="A828" s="188"/>
    </row>
    <row r="829" spans="1:1" ht="12.75">
      <c r="A829" s="188"/>
    </row>
    <row r="830" spans="1:1" ht="12.75">
      <c r="A830" s="188"/>
    </row>
    <row r="831" spans="1:1" ht="12.75">
      <c r="A831" s="188"/>
    </row>
    <row r="832" spans="1:1" ht="12.75">
      <c r="A832" s="188"/>
    </row>
    <row r="833" spans="1:1" ht="12.75">
      <c r="A833" s="188"/>
    </row>
    <row r="834" spans="1:1" ht="12.75">
      <c r="A834" s="188"/>
    </row>
    <row r="835" spans="1:1" ht="12.75">
      <c r="A835" s="188"/>
    </row>
    <row r="836" spans="1:1" ht="12.75">
      <c r="A836" s="188"/>
    </row>
    <row r="837" spans="1:1" ht="12.75">
      <c r="A837" s="188"/>
    </row>
    <row r="838" spans="1:1" ht="12.75">
      <c r="A838" s="188"/>
    </row>
    <row r="839" spans="1:1" ht="12.75">
      <c r="A839" s="188"/>
    </row>
    <row r="840" spans="1:1" ht="12.75">
      <c r="A840" s="188"/>
    </row>
    <row r="841" spans="1:1" ht="12.75">
      <c r="A841" s="188"/>
    </row>
    <row r="842" spans="1:1" ht="12.75">
      <c r="A842" s="188"/>
    </row>
    <row r="843" spans="1:1" ht="12.75">
      <c r="A843" s="188"/>
    </row>
    <row r="844" spans="1:1" ht="12.75">
      <c r="A844" s="188"/>
    </row>
    <row r="845" spans="1:1" ht="12.75">
      <c r="A845" s="188"/>
    </row>
    <row r="846" spans="1:1" ht="12.75">
      <c r="A846" s="188"/>
    </row>
    <row r="847" spans="1:1" ht="12.75">
      <c r="A847" s="188"/>
    </row>
    <row r="848" spans="1:1" ht="12.75">
      <c r="A848" s="188"/>
    </row>
    <row r="849" spans="1:1" ht="12.75">
      <c r="A849" s="188"/>
    </row>
    <row r="850" spans="1:1" ht="12.75">
      <c r="A850" s="188"/>
    </row>
    <row r="851" spans="1:1" ht="12.75">
      <c r="A851" s="188"/>
    </row>
    <row r="852" spans="1:1" ht="12.75">
      <c r="A852" s="188"/>
    </row>
    <row r="853" spans="1:1" ht="12.75">
      <c r="A853" s="188"/>
    </row>
    <row r="854" spans="1:1" ht="12.75">
      <c r="A854" s="188"/>
    </row>
    <row r="855" spans="1:1" ht="12.75">
      <c r="A855" s="188"/>
    </row>
    <row r="856" spans="1:1" ht="12.75">
      <c r="A856" s="188"/>
    </row>
    <row r="857" spans="1:1" ht="12.75">
      <c r="A857" s="188"/>
    </row>
    <row r="858" spans="1:1" ht="12.75">
      <c r="A858" s="188"/>
    </row>
    <row r="859" spans="1:1" ht="12.75">
      <c r="A859" s="188"/>
    </row>
    <row r="860" spans="1:1" ht="12.75">
      <c r="A860" s="188"/>
    </row>
    <row r="861" spans="1:1" ht="12.75">
      <c r="A861" s="188"/>
    </row>
    <row r="862" spans="1:1" ht="12.75">
      <c r="A862" s="188"/>
    </row>
    <row r="863" spans="1:1" ht="12.75">
      <c r="A863" s="188"/>
    </row>
    <row r="864" spans="1:1" ht="12.75">
      <c r="A864" s="188"/>
    </row>
    <row r="865" spans="1:1" ht="12.75">
      <c r="A865" s="188"/>
    </row>
    <row r="866" spans="1:1" ht="12.75">
      <c r="A866" s="188"/>
    </row>
    <row r="867" spans="1:1" ht="12.75">
      <c r="A867" s="188"/>
    </row>
    <row r="868" spans="1:1" ht="12.75">
      <c r="A868" s="188"/>
    </row>
    <row r="869" spans="1:1" ht="12.75">
      <c r="A869" s="188"/>
    </row>
    <row r="870" spans="1:1" ht="12.75">
      <c r="A870" s="188"/>
    </row>
    <row r="871" spans="1:1" ht="12.75">
      <c r="A871" s="188"/>
    </row>
    <row r="872" spans="1:1" ht="12.75">
      <c r="A872" s="188"/>
    </row>
    <row r="873" spans="1:1" ht="12.75">
      <c r="A873" s="188"/>
    </row>
    <row r="874" spans="1:1" ht="12.75">
      <c r="A874" s="188"/>
    </row>
    <row r="875" spans="1:1" ht="12.75">
      <c r="A875" s="188"/>
    </row>
    <row r="876" spans="1:1" ht="12.75">
      <c r="A876" s="188"/>
    </row>
    <row r="877" spans="1:1" ht="12.75">
      <c r="A877" s="188"/>
    </row>
    <row r="878" spans="1:1" ht="12.75">
      <c r="A878" s="188"/>
    </row>
    <row r="879" spans="1:1" ht="12.75">
      <c r="A879" s="188"/>
    </row>
    <row r="880" spans="1:1" ht="12.75">
      <c r="A880" s="188"/>
    </row>
    <row r="881" spans="1:1" ht="12.75">
      <c r="A881" s="188"/>
    </row>
    <row r="882" spans="1:1" ht="12.75">
      <c r="A882" s="188"/>
    </row>
    <row r="883" spans="1:1" ht="12.75">
      <c r="A883" s="188"/>
    </row>
    <row r="884" spans="1:1" ht="12.75">
      <c r="A884" s="188"/>
    </row>
    <row r="885" spans="1:1" ht="12.75">
      <c r="A885" s="188"/>
    </row>
    <row r="886" spans="1:1" ht="12.75">
      <c r="A886" s="188"/>
    </row>
    <row r="887" spans="1:1" ht="12.75">
      <c r="A887" s="188"/>
    </row>
    <row r="888" spans="1:1" ht="12.75">
      <c r="A888" s="188"/>
    </row>
    <row r="889" spans="1:1" ht="12.75">
      <c r="A889" s="188"/>
    </row>
    <row r="890" spans="1:1" ht="12.75">
      <c r="A890" s="188"/>
    </row>
    <row r="891" spans="1:1" ht="12.75">
      <c r="A891" s="188"/>
    </row>
    <row r="892" spans="1:1" ht="12.75">
      <c r="A892" s="188"/>
    </row>
    <row r="893" spans="1:1" ht="12.75">
      <c r="A893" s="188"/>
    </row>
    <row r="894" spans="1:1" ht="12.75">
      <c r="A894" s="188"/>
    </row>
    <row r="895" spans="1:1" ht="12.75">
      <c r="A895" s="188"/>
    </row>
    <row r="896" spans="1:1" ht="12.75">
      <c r="A896" s="188"/>
    </row>
    <row r="897" spans="1:1" ht="12.75">
      <c r="A897" s="188"/>
    </row>
    <row r="898" spans="1:1" ht="12.75">
      <c r="A898" s="188"/>
    </row>
    <row r="899" spans="1:1" ht="12.75">
      <c r="A899" s="188"/>
    </row>
    <row r="900" spans="1:1" ht="12.75">
      <c r="A900" s="188"/>
    </row>
    <row r="901" spans="1:1" ht="12.75">
      <c r="A901" s="188"/>
    </row>
    <row r="902" spans="1:1" ht="12.75">
      <c r="A902" s="188"/>
    </row>
    <row r="903" spans="1:1" ht="12.75">
      <c r="A903" s="188"/>
    </row>
    <row r="904" spans="1:1" ht="12.75">
      <c r="A904" s="188"/>
    </row>
    <row r="905" spans="1:1" ht="12.75">
      <c r="A905" s="188"/>
    </row>
    <row r="906" spans="1:1" ht="12.75">
      <c r="A906" s="188"/>
    </row>
    <row r="907" spans="1:1" ht="12.75">
      <c r="A907" s="188"/>
    </row>
    <row r="908" spans="1:1" ht="12.75">
      <c r="A908" s="188"/>
    </row>
    <row r="909" spans="1:1" ht="12.75">
      <c r="A909" s="188"/>
    </row>
    <row r="910" spans="1:1" ht="12.75">
      <c r="A910" s="188"/>
    </row>
    <row r="911" spans="1:1" ht="12.75">
      <c r="A911" s="188"/>
    </row>
    <row r="912" spans="1:1" ht="12.75">
      <c r="A912" s="188"/>
    </row>
    <row r="913" spans="1:1" ht="12.75">
      <c r="A913" s="188"/>
    </row>
    <row r="914" spans="1:1" ht="12.75">
      <c r="A914" s="188"/>
    </row>
    <row r="915" spans="1:1" ht="12.75">
      <c r="A915" s="188"/>
    </row>
    <row r="916" spans="1:1" ht="12.75">
      <c r="A916" s="188"/>
    </row>
    <row r="917" spans="1:1" ht="12.75">
      <c r="A917" s="188"/>
    </row>
    <row r="918" spans="1:1" ht="12.75">
      <c r="A918" s="188"/>
    </row>
    <row r="919" spans="1:1" ht="12.75">
      <c r="A919" s="188"/>
    </row>
    <row r="920" spans="1:1" ht="12.75">
      <c r="A920" s="188"/>
    </row>
    <row r="921" spans="1:1" ht="12.75">
      <c r="A921" s="188"/>
    </row>
    <row r="922" spans="1:1" ht="12.75">
      <c r="A922" s="188"/>
    </row>
    <row r="923" spans="1:1" ht="12.75">
      <c r="A923" s="188"/>
    </row>
    <row r="924" spans="1:1" ht="12.75">
      <c r="A924" s="188"/>
    </row>
    <row r="925" spans="1:1" ht="12.75">
      <c r="A925" s="188"/>
    </row>
    <row r="926" spans="1:1" ht="12.75">
      <c r="A926" s="188"/>
    </row>
    <row r="927" spans="1:1" ht="12.75">
      <c r="A927" s="188"/>
    </row>
    <row r="928" spans="1:1" ht="12.75">
      <c r="A928" s="188"/>
    </row>
    <row r="929" spans="1:1" ht="12.75">
      <c r="A929" s="188"/>
    </row>
    <row r="930" spans="1:1" ht="12.75">
      <c r="A930" s="188"/>
    </row>
    <row r="931" spans="1:1" ht="12.75">
      <c r="A931" s="188"/>
    </row>
    <row r="932" spans="1:1" ht="12.75">
      <c r="A932" s="188"/>
    </row>
    <row r="933" spans="1:1" ht="12.75">
      <c r="A933" s="188"/>
    </row>
    <row r="934" spans="1:1" ht="12.75">
      <c r="A934" s="188"/>
    </row>
    <row r="935" spans="1:1" ht="12.75">
      <c r="A935" s="188"/>
    </row>
    <row r="936" spans="1:1" ht="12.75">
      <c r="A936" s="188"/>
    </row>
    <row r="937" spans="1:1" ht="12.75">
      <c r="A937" s="188"/>
    </row>
    <row r="938" spans="1:1" ht="12.75">
      <c r="A938" s="188"/>
    </row>
    <row r="939" spans="1:1" ht="12.75">
      <c r="A939" s="188"/>
    </row>
    <row r="940" spans="1:1" ht="12.75">
      <c r="A940" s="188"/>
    </row>
    <row r="941" spans="1:1" ht="12.75">
      <c r="A941" s="188"/>
    </row>
    <row r="942" spans="1:1" ht="12.75">
      <c r="A942" s="188"/>
    </row>
    <row r="943" spans="1:1" ht="12.75">
      <c r="A943" s="188"/>
    </row>
    <row r="944" spans="1:1" ht="12.75">
      <c r="A944" s="188"/>
    </row>
    <row r="945" spans="1:1" ht="12.75">
      <c r="A945" s="188"/>
    </row>
    <row r="946" spans="1:1" ht="12.75">
      <c r="A946" s="188"/>
    </row>
    <row r="947" spans="1:1" ht="12.75">
      <c r="A947" s="188"/>
    </row>
    <row r="948" spans="1:1" ht="12.75">
      <c r="A948" s="188"/>
    </row>
    <row r="949" spans="1:1" ht="12.75">
      <c r="A949" s="188"/>
    </row>
    <row r="950" spans="1:1" ht="12.75">
      <c r="A950" s="188"/>
    </row>
    <row r="951" spans="1:1" ht="12.75">
      <c r="A951" s="188"/>
    </row>
    <row r="952" spans="1:1" ht="12.75">
      <c r="A952" s="188"/>
    </row>
    <row r="953" spans="1:1" ht="12.75">
      <c r="A953" s="188"/>
    </row>
    <row r="954" spans="1:1" ht="12.75">
      <c r="A954" s="188"/>
    </row>
    <row r="955" spans="1:1" ht="12.75">
      <c r="A955" s="188"/>
    </row>
    <row r="956" spans="1:1" ht="12.75">
      <c r="A956" s="188"/>
    </row>
    <row r="957" spans="1:1" ht="12.75">
      <c r="A957" s="188"/>
    </row>
    <row r="958" spans="1:1" ht="12.75">
      <c r="A958" s="188"/>
    </row>
    <row r="959" spans="1:1" ht="12.75">
      <c r="A959" s="188"/>
    </row>
    <row r="960" spans="1:1" ht="12.75">
      <c r="A960" s="188"/>
    </row>
    <row r="961" spans="1:1" ht="12.75">
      <c r="A961" s="188"/>
    </row>
    <row r="962" spans="1:1" ht="12.75">
      <c r="A962" s="188"/>
    </row>
    <row r="963" spans="1:1" ht="12.75">
      <c r="A963" s="188"/>
    </row>
    <row r="964" spans="1:1" ht="12.75">
      <c r="A964" s="188"/>
    </row>
    <row r="965" spans="1:1" ht="12.75">
      <c r="A965" s="188"/>
    </row>
    <row r="966" spans="1:1" ht="12.75">
      <c r="A966" s="188"/>
    </row>
    <row r="967" spans="1:1" ht="12.75">
      <c r="A967" s="188"/>
    </row>
    <row r="968" spans="1:1" ht="12.75">
      <c r="A968" s="188"/>
    </row>
    <row r="969" spans="1:1" ht="12.75">
      <c r="A969" s="188"/>
    </row>
    <row r="970" spans="1:1" ht="12.75">
      <c r="A970" s="188"/>
    </row>
    <row r="971" spans="1:1" ht="12.75">
      <c r="A971" s="188"/>
    </row>
    <row r="972" spans="1:1" ht="12.75">
      <c r="A972" s="188"/>
    </row>
    <row r="973" spans="1:1" ht="12.75">
      <c r="A973" s="188"/>
    </row>
    <row r="974" spans="1:1" ht="12.75">
      <c r="A974" s="188"/>
    </row>
    <row r="975" spans="1:1" ht="12.75">
      <c r="A975" s="188"/>
    </row>
    <row r="976" spans="1:1" ht="12.75">
      <c r="A976" s="188"/>
    </row>
    <row r="977" spans="1:1" ht="12.75">
      <c r="A977" s="188"/>
    </row>
    <row r="978" spans="1:1" ht="12.75">
      <c r="A978" s="188"/>
    </row>
    <row r="979" spans="1:1" ht="12.75">
      <c r="A979" s="188"/>
    </row>
    <row r="980" spans="1:1" ht="12.75">
      <c r="A980" s="188"/>
    </row>
    <row r="981" spans="1:1" ht="12.75">
      <c r="A981" s="188"/>
    </row>
    <row r="982" spans="1:1" ht="12.75">
      <c r="A982" s="188"/>
    </row>
    <row r="983" spans="1:1" ht="12.75">
      <c r="A983" s="188"/>
    </row>
    <row r="984" spans="1:1" ht="12.75">
      <c r="A984" s="188"/>
    </row>
    <row r="985" spans="1:1" ht="12.75">
      <c r="A985" s="188"/>
    </row>
    <row r="986" spans="1:1" ht="12.75">
      <c r="A986" s="188"/>
    </row>
    <row r="987" spans="1:1" ht="12.75">
      <c r="A987" s="188"/>
    </row>
    <row r="988" spans="1:1" ht="12.75">
      <c r="A988" s="188"/>
    </row>
    <row r="989" spans="1:1" ht="12.75">
      <c r="A989" s="188"/>
    </row>
    <row r="990" spans="1:1" ht="12.75">
      <c r="A990" s="188"/>
    </row>
    <row r="991" spans="1:1" ht="12.75">
      <c r="A991" s="188"/>
    </row>
    <row r="992" spans="1:1" ht="12.75">
      <c r="A992" s="188"/>
    </row>
    <row r="993" spans="1:1" ht="12.75">
      <c r="A993" s="188"/>
    </row>
    <row r="994" spans="1:1" ht="12.75">
      <c r="A994" s="188"/>
    </row>
    <row r="995" spans="1:1" ht="12.75">
      <c r="A995" s="188"/>
    </row>
    <row r="996" spans="1:1" ht="12.75">
      <c r="A996" s="188"/>
    </row>
    <row r="997" spans="1:1" ht="12.75">
      <c r="A997" s="188"/>
    </row>
    <row r="998" spans="1:1" ht="12.75">
      <c r="A998" s="188"/>
    </row>
    <row r="999" spans="1:1" ht="12.75">
      <c r="A999" s="188"/>
    </row>
    <row r="1000" spans="1:1" ht="12.75">
      <c r="A1000" s="188"/>
    </row>
    <row r="1001" spans="1:1" ht="12.75">
      <c r="A1001" s="188"/>
    </row>
    <row r="1002" spans="1:1" ht="12.75">
      <c r="A1002" s="188"/>
    </row>
    <row r="1003" spans="1:1" ht="12.75">
      <c r="A1003" s="188"/>
    </row>
    <row r="1004" spans="1:1" ht="12.75">
      <c r="A1004" s="188"/>
    </row>
    <row r="1005" spans="1:1" ht="12.75">
      <c r="A1005" s="188"/>
    </row>
    <row r="1006" spans="1:1" ht="12.75">
      <c r="A1006" s="188"/>
    </row>
    <row r="1007" spans="1:1" ht="12.75">
      <c r="A1007" s="188"/>
    </row>
    <row r="1008" spans="1:1" ht="12.75">
      <c r="A1008" s="188"/>
    </row>
    <row r="1009" spans="1:1" ht="12.75">
      <c r="A1009" s="188"/>
    </row>
    <row r="1010" spans="1:1" ht="12.75">
      <c r="A1010" s="188"/>
    </row>
    <row r="1011" spans="1:1" ht="12.75">
      <c r="A1011" s="188"/>
    </row>
    <row r="1012" spans="1:1" ht="12.75">
      <c r="A1012" s="188"/>
    </row>
    <row r="1013" spans="1:1" ht="12.75">
      <c r="A1013" s="188"/>
    </row>
    <row r="1014" spans="1:1" ht="12.75">
      <c r="A1014" s="188"/>
    </row>
    <row r="1015" spans="1:1" ht="12.75">
      <c r="A1015" s="188"/>
    </row>
    <row r="1016" spans="1:1" ht="12.75">
      <c r="A1016" s="188"/>
    </row>
    <row r="1017" spans="1:1" ht="12.75">
      <c r="A1017" s="188"/>
    </row>
    <row r="1018" spans="1:1" ht="12.75">
      <c r="A1018" s="188"/>
    </row>
    <row r="1019" spans="1:1" ht="12.75">
      <c r="A1019" s="188"/>
    </row>
    <row r="1020" spans="1:1" ht="12.75">
      <c r="A1020" s="188"/>
    </row>
    <row r="1021" spans="1:1" ht="12.75">
      <c r="A1021" s="188"/>
    </row>
    <row r="1022" spans="1:1" ht="12.75">
      <c r="A1022" s="188"/>
    </row>
    <row r="1023" spans="1:1" ht="12.75">
      <c r="A1023" s="188"/>
    </row>
    <row r="1024" spans="1:1" ht="12.75">
      <c r="A1024" s="188"/>
    </row>
    <row r="1025" spans="1:1" ht="12.75">
      <c r="A1025" s="188"/>
    </row>
    <row r="1026" spans="1:1" ht="12.75">
      <c r="A1026" s="188"/>
    </row>
    <row r="1027" spans="1:1" ht="12.75">
      <c r="A1027" s="188"/>
    </row>
    <row r="1028" spans="1:1" ht="12.75">
      <c r="A1028" s="188"/>
    </row>
    <row r="1029" spans="1:1" ht="12.75">
      <c r="A1029" s="188"/>
    </row>
    <row r="1030" spans="1:1" ht="12.75">
      <c r="A1030" s="188"/>
    </row>
    <row r="1031" spans="1:1" ht="12.75">
      <c r="A1031" s="188"/>
    </row>
    <row r="1032" spans="1:1" ht="12.75">
      <c r="A1032" s="188"/>
    </row>
    <row r="1033" spans="1:1" ht="12.75">
      <c r="A1033" s="188"/>
    </row>
    <row r="1034" spans="1:1" ht="12.75">
      <c r="A1034" s="188"/>
    </row>
    <row r="1035" spans="1:1" ht="12.75">
      <c r="A1035" s="188"/>
    </row>
    <row r="1036" spans="1:1" ht="12.75">
      <c r="A1036" s="188"/>
    </row>
    <row r="1037" spans="1:1" ht="12.75">
      <c r="A1037" s="188"/>
    </row>
    <row r="1038" spans="1:1" ht="12.75">
      <c r="A1038" s="188"/>
    </row>
    <row r="1039" spans="1:1" ht="12.75">
      <c r="A1039" s="188"/>
    </row>
    <row r="1040" spans="1:1" ht="12.75">
      <c r="A1040" s="188"/>
    </row>
    <row r="1041" spans="1:1" ht="12.75">
      <c r="A1041" s="188"/>
    </row>
    <row r="1042" spans="1:1" ht="12.75">
      <c r="A1042" s="188"/>
    </row>
    <row r="1043" spans="1:1" ht="12.75">
      <c r="A1043" s="188"/>
    </row>
    <row r="1044" spans="1:1" ht="12.75">
      <c r="A1044" s="188"/>
    </row>
    <row r="1045" spans="1:1" ht="12.75">
      <c r="A1045" s="188"/>
    </row>
    <row r="1046" spans="1:1" ht="12.75">
      <c r="A1046" s="188"/>
    </row>
    <row r="1047" spans="1:1" ht="12.75">
      <c r="A1047" s="188"/>
    </row>
    <row r="1048" spans="1:1" ht="12.75">
      <c r="A1048" s="188"/>
    </row>
    <row r="1049" spans="1:1" ht="12.75">
      <c r="A1049" s="188"/>
    </row>
    <row r="1050" spans="1:1" ht="12.75">
      <c r="A1050" s="188"/>
    </row>
    <row r="1051" spans="1:1" ht="12.75">
      <c r="A1051" s="188"/>
    </row>
    <row r="1052" spans="1:1" ht="12.75">
      <c r="A1052" s="188"/>
    </row>
    <row r="1053" spans="1:1" ht="12.75">
      <c r="A1053" s="188"/>
    </row>
    <row r="1054" spans="1:1" ht="12.75">
      <c r="A1054" s="188"/>
    </row>
    <row r="1055" spans="1:1" ht="12.75">
      <c r="A1055" s="188"/>
    </row>
    <row r="1056" spans="1:1" ht="12.75">
      <c r="A1056" s="188"/>
    </row>
    <row r="1057" spans="1:1" ht="12.75">
      <c r="A1057" s="188"/>
    </row>
    <row r="1058" spans="1:1" ht="12.75">
      <c r="A1058" s="188"/>
    </row>
    <row r="1059" spans="1:1" ht="12.75">
      <c r="A1059" s="188"/>
    </row>
    <row r="1060" spans="1:1" ht="12.75">
      <c r="A1060" s="188"/>
    </row>
    <row r="1061" spans="1:1" ht="12.75">
      <c r="A1061" s="188"/>
    </row>
    <row r="1062" spans="1:1" ht="12.75">
      <c r="A1062" s="188"/>
    </row>
    <row r="1063" spans="1:1" ht="12.75">
      <c r="A1063" s="188"/>
    </row>
    <row r="1064" spans="1:1" ht="12.75">
      <c r="A1064" s="188"/>
    </row>
    <row r="1065" spans="1:1" ht="12.75">
      <c r="A1065" s="188"/>
    </row>
    <row r="1066" spans="1:1" ht="12.75">
      <c r="A1066" s="188"/>
    </row>
    <row r="1067" spans="1:1" ht="12.75">
      <c r="A1067" s="188"/>
    </row>
    <row r="1068" spans="1:1" ht="12.75">
      <c r="A1068" s="188"/>
    </row>
    <row r="1069" spans="1:1" ht="12.75">
      <c r="A1069" s="188"/>
    </row>
    <row r="1070" spans="1:1" ht="12.75">
      <c r="A1070" s="188"/>
    </row>
    <row r="1071" spans="1:1" ht="12.75">
      <c r="A1071" s="188"/>
    </row>
    <row r="1072" spans="1:1" ht="12.75">
      <c r="A1072" s="188"/>
    </row>
    <row r="1073" spans="1:1" ht="12.75">
      <c r="A1073" s="188"/>
    </row>
  </sheetData>
  <mergeCells count="347">
    <mergeCell ref="R4:T4"/>
    <mergeCell ref="U4:W4"/>
    <mergeCell ref="X4:Z4"/>
    <mergeCell ref="AA4:AC4"/>
    <mergeCell ref="AD4:AF4"/>
    <mergeCell ref="AG4:AI4"/>
    <mergeCell ref="AJ4:AL4"/>
    <mergeCell ref="AM4:AO4"/>
    <mergeCell ref="AP4:AR4"/>
    <mergeCell ref="AS4:AU4"/>
    <mergeCell ref="AV4:AX4"/>
    <mergeCell ref="AY4:BA4"/>
    <mergeCell ref="BB4:BD4"/>
    <mergeCell ref="BE4:BG4"/>
    <mergeCell ref="CC4:CE4"/>
    <mergeCell ref="CF4:CH4"/>
    <mergeCell ref="CF3:CH3"/>
    <mergeCell ref="CI3:CK3"/>
    <mergeCell ref="BN4:BP4"/>
    <mergeCell ref="BQ4:BS4"/>
    <mergeCell ref="BT4:BV4"/>
    <mergeCell ref="BW4:BY4"/>
    <mergeCell ref="BZ4:CB4"/>
    <mergeCell ref="BH4:BJ4"/>
    <mergeCell ref="BK4:BM4"/>
    <mergeCell ref="DY4:EA4"/>
    <mergeCell ref="EB4:ED4"/>
    <mergeCell ref="DD4:DF4"/>
    <mergeCell ref="DG4:DI4"/>
    <mergeCell ref="DJ4:DL4"/>
    <mergeCell ref="DM4:DO4"/>
    <mergeCell ref="DP4:DR4"/>
    <mergeCell ref="DS4:DU4"/>
    <mergeCell ref="DV4:DX4"/>
    <mergeCell ref="EB3:ED3"/>
    <mergeCell ref="EE3:EG3"/>
    <mergeCell ref="EE4:EG4"/>
    <mergeCell ref="EH3:EJ3"/>
    <mergeCell ref="EK3:EM3"/>
    <mergeCell ref="EH4:EJ4"/>
    <mergeCell ref="EK4:EM4"/>
    <mergeCell ref="B4:B5"/>
    <mergeCell ref="C4:C5"/>
    <mergeCell ref="D4:D5"/>
    <mergeCell ref="E4:E5"/>
    <mergeCell ref="F4:H4"/>
    <mergeCell ref="I4:K4"/>
    <mergeCell ref="L4:N4"/>
    <mergeCell ref="O4:Q4"/>
    <mergeCell ref="CI4:CK4"/>
    <mergeCell ref="CL4:CN4"/>
    <mergeCell ref="CO4:CQ4"/>
    <mergeCell ref="CR4:CT4"/>
    <mergeCell ref="CU4:CW4"/>
    <mergeCell ref="CX4:CZ4"/>
    <mergeCell ref="DA4:DC4"/>
    <mergeCell ref="DG3:DI3"/>
    <mergeCell ref="DJ3:DL3"/>
    <mergeCell ref="EN41:ET41"/>
    <mergeCell ref="EN42:ET42"/>
    <mergeCell ref="EN43:ET43"/>
    <mergeCell ref="EN44:ET44"/>
    <mergeCell ref="EN45:ET45"/>
    <mergeCell ref="EN46:ET46"/>
    <mergeCell ref="EN47:ET47"/>
    <mergeCell ref="EN48:ET48"/>
    <mergeCell ref="EN49:ET49"/>
    <mergeCell ref="EN50:ET50"/>
    <mergeCell ref="EN51:ET51"/>
    <mergeCell ref="EN52:ET52"/>
    <mergeCell ref="EN53:ET53"/>
    <mergeCell ref="EN54:ET54"/>
    <mergeCell ref="EN55:ET55"/>
    <mergeCell ref="EN56:ET56"/>
    <mergeCell ref="EN57:ET57"/>
    <mergeCell ref="EN58:ET58"/>
    <mergeCell ref="EN59:ET59"/>
    <mergeCell ref="EN60:ET60"/>
    <mergeCell ref="EN61:ET61"/>
    <mergeCell ref="EN62:ET62"/>
    <mergeCell ref="EN63:ET63"/>
    <mergeCell ref="EN64:ET64"/>
    <mergeCell ref="EN65:ET65"/>
    <mergeCell ref="EN66:ET66"/>
    <mergeCell ref="EN67:ET67"/>
    <mergeCell ref="EN68:ET68"/>
    <mergeCell ref="EN69:ET69"/>
    <mergeCell ref="EN70:ET70"/>
    <mergeCell ref="EN71:ET71"/>
    <mergeCell ref="EN72:ET72"/>
    <mergeCell ref="EN73:ET73"/>
    <mergeCell ref="EN74:ET74"/>
    <mergeCell ref="EN75:ET75"/>
    <mergeCell ref="EN76:ET76"/>
    <mergeCell ref="EN77:ET77"/>
    <mergeCell ref="EN78:ET78"/>
    <mergeCell ref="EN79:ET79"/>
    <mergeCell ref="EN80:ET80"/>
    <mergeCell ref="EN81:ET81"/>
    <mergeCell ref="EN82:ET82"/>
    <mergeCell ref="EN83:ET83"/>
    <mergeCell ref="EN84:ET84"/>
    <mergeCell ref="EN85:ET85"/>
    <mergeCell ref="EN86:ET86"/>
    <mergeCell ref="EN87:ET87"/>
    <mergeCell ref="EN88:ET88"/>
    <mergeCell ref="EN89:ET89"/>
    <mergeCell ref="EN90:ET90"/>
    <mergeCell ref="EN91:ET91"/>
    <mergeCell ref="EN92:ET92"/>
    <mergeCell ref="EN93:ET93"/>
    <mergeCell ref="EN94:ET94"/>
    <mergeCell ref="EN95:ET95"/>
    <mergeCell ref="EN96:ET96"/>
    <mergeCell ref="EN97:ET97"/>
    <mergeCell ref="EN98:ET98"/>
    <mergeCell ref="EN99:ET99"/>
    <mergeCell ref="EN100:ET100"/>
    <mergeCell ref="EN101:ET101"/>
    <mergeCell ref="EN102:ET102"/>
    <mergeCell ref="EN103:ET103"/>
    <mergeCell ref="EE113:EG113"/>
    <mergeCell ref="EH113:EJ113"/>
    <mergeCell ref="EK113:EM113"/>
    <mergeCell ref="AG113:AI113"/>
    <mergeCell ref="AJ113:AL113"/>
    <mergeCell ref="CX113:CZ113"/>
    <mergeCell ref="DA113:DC113"/>
    <mergeCell ref="DG113:DI113"/>
    <mergeCell ref="DS113:DU113"/>
    <mergeCell ref="EB113:ED113"/>
    <mergeCell ref="CC113:CE113"/>
    <mergeCell ref="CI113:CK113"/>
    <mergeCell ref="F127:AO127"/>
    <mergeCell ref="EN104:ET104"/>
    <mergeCell ref="EN105:ET105"/>
    <mergeCell ref="EN106:ET106"/>
    <mergeCell ref="EN107:ET107"/>
    <mergeCell ref="EN108:ET108"/>
    <mergeCell ref="EN109:ET109"/>
    <mergeCell ref="B113:E113"/>
    <mergeCell ref="AS113:AU113"/>
    <mergeCell ref="AY113:BA113"/>
    <mergeCell ref="BB113:BD113"/>
    <mergeCell ref="BE113:BG113"/>
    <mergeCell ref="BZ113:CB113"/>
    <mergeCell ref="CL113:CN113"/>
    <mergeCell ref="CO113:CQ113"/>
    <mergeCell ref="EN110:ET110"/>
    <mergeCell ref="F113:H113"/>
    <mergeCell ref="I113:K113"/>
    <mergeCell ref="O113:Q113"/>
    <mergeCell ref="R113:T113"/>
    <mergeCell ref="U113:W113"/>
    <mergeCell ref="X113:Z113"/>
    <mergeCell ref="AA113:AC113"/>
    <mergeCell ref="AD113:AF113"/>
    <mergeCell ref="A125:E125"/>
    <mergeCell ref="AY114:BA114"/>
    <mergeCell ref="AM113:AO113"/>
    <mergeCell ref="AP113:AR113"/>
    <mergeCell ref="I114:K114"/>
    <mergeCell ref="AA114:AC114"/>
    <mergeCell ref="AD114:AF114"/>
    <mergeCell ref="AG114:AI114"/>
    <mergeCell ref="AJ114:AL114"/>
    <mergeCell ref="BN113:BP113"/>
    <mergeCell ref="BQ113:BS113"/>
    <mergeCell ref="BT113:BV113"/>
    <mergeCell ref="C132:E132"/>
    <mergeCell ref="A133:E133"/>
    <mergeCell ref="A134:E135"/>
    <mergeCell ref="A136:E136"/>
    <mergeCell ref="A126:B128"/>
    <mergeCell ref="C126:E128"/>
    <mergeCell ref="A129:E129"/>
    <mergeCell ref="A130:B130"/>
    <mergeCell ref="C130:E130"/>
    <mergeCell ref="A131:E131"/>
    <mergeCell ref="A132:B132"/>
    <mergeCell ref="F128:AO128"/>
    <mergeCell ref="F129:AO129"/>
    <mergeCell ref="F130:AO130"/>
    <mergeCell ref="F131:AO131"/>
    <mergeCell ref="A120:E121"/>
    <mergeCell ref="F120:AO122"/>
    <mergeCell ref="A122:B124"/>
    <mergeCell ref="C122:E124"/>
    <mergeCell ref="F123:AO123"/>
    <mergeCell ref="F124:AO126"/>
    <mergeCell ref="CO114:CQ114"/>
    <mergeCell ref="CO115:CQ115"/>
    <mergeCell ref="CP116:CQ116"/>
    <mergeCell ref="A114:E114"/>
    <mergeCell ref="A115:E115"/>
    <mergeCell ref="I115:K115"/>
    <mergeCell ref="A116:E116"/>
    <mergeCell ref="J116:K116"/>
    <mergeCell ref="AA115:AC115"/>
    <mergeCell ref="AD115:AF115"/>
    <mergeCell ref="AG115:AI115"/>
    <mergeCell ref="AJ115:AL115"/>
    <mergeCell ref="AB116:AC116"/>
    <mergeCell ref="AE116:AF116"/>
    <mergeCell ref="AH116:AI116"/>
    <mergeCell ref="AK116:AL116"/>
    <mergeCell ref="BB114:BD114"/>
    <mergeCell ref="BE114:BG114"/>
    <mergeCell ref="BB115:BD115"/>
    <mergeCell ref="BE115:BG115"/>
    <mergeCell ref="BC116:BD116"/>
    <mergeCell ref="BF116:BG116"/>
    <mergeCell ref="CU115:CW115"/>
    <mergeCell ref="CV116:CW116"/>
    <mergeCell ref="DB116:DC116"/>
    <mergeCell ref="DH116:DI116"/>
    <mergeCell ref="CR113:CT113"/>
    <mergeCell ref="CU113:CW113"/>
    <mergeCell ref="CU114:CW114"/>
    <mergeCell ref="DA114:DC114"/>
    <mergeCell ref="DG114:DI114"/>
    <mergeCell ref="DA115:DC115"/>
    <mergeCell ref="DG115:DI115"/>
    <mergeCell ref="L2:N2"/>
    <mergeCell ref="O2:Q2"/>
    <mergeCell ref="R2:T2"/>
    <mergeCell ref="U2:W2"/>
    <mergeCell ref="X2:Z2"/>
    <mergeCell ref="AA2:AC2"/>
    <mergeCell ref="AD2:AF2"/>
    <mergeCell ref="AG2:AI2"/>
    <mergeCell ref="AJ2:AL2"/>
    <mergeCell ref="CL2:CN2"/>
    <mergeCell ref="AM2:AO2"/>
    <mergeCell ref="AP2:AR2"/>
    <mergeCell ref="AS2:AU2"/>
    <mergeCell ref="AV2:AX2"/>
    <mergeCell ref="AY2:BA2"/>
    <mergeCell ref="BB2:BD2"/>
    <mergeCell ref="BE2:BG2"/>
    <mergeCell ref="BH2:BJ2"/>
    <mergeCell ref="BK2:BM2"/>
    <mergeCell ref="DV2:DX2"/>
    <mergeCell ref="DY2:EA2"/>
    <mergeCell ref="EB2:ED2"/>
    <mergeCell ref="EE2:EG2"/>
    <mergeCell ref="AP3:AR3"/>
    <mergeCell ref="AS3:AU3"/>
    <mergeCell ref="AV3:AX3"/>
    <mergeCell ref="AY3:BA3"/>
    <mergeCell ref="BB3:BD3"/>
    <mergeCell ref="BE3:BG3"/>
    <mergeCell ref="BH3:BJ3"/>
    <mergeCell ref="BK3:BM3"/>
    <mergeCell ref="BN3:BP3"/>
    <mergeCell ref="BQ3:BS3"/>
    <mergeCell ref="BT3:BV3"/>
    <mergeCell ref="BW3:BY3"/>
    <mergeCell ref="BZ3:CB3"/>
    <mergeCell ref="CC3:CE3"/>
    <mergeCell ref="DV3:DX3"/>
    <mergeCell ref="DY3:EA3"/>
    <mergeCell ref="DA3:DC3"/>
    <mergeCell ref="DD3:DF3"/>
    <mergeCell ref="CO2:CQ2"/>
    <mergeCell ref="CR2:CT2"/>
    <mergeCell ref="AJ3:AL3"/>
    <mergeCell ref="AM3:AO3"/>
    <mergeCell ref="CL3:CN3"/>
    <mergeCell ref="CO3:CQ3"/>
    <mergeCell ref="CR3:CT3"/>
    <mergeCell ref="CU3:CW3"/>
    <mergeCell ref="CX3:CZ3"/>
    <mergeCell ref="DP2:DR2"/>
    <mergeCell ref="DS2:DU2"/>
    <mergeCell ref="CU2:CW2"/>
    <mergeCell ref="CX2:CZ2"/>
    <mergeCell ref="DA2:DC2"/>
    <mergeCell ref="DD2:DF2"/>
    <mergeCell ref="DG2:DI2"/>
    <mergeCell ref="DJ2:DL2"/>
    <mergeCell ref="DM2:DO2"/>
    <mergeCell ref="BN2:BP2"/>
    <mergeCell ref="BQ2:BS2"/>
    <mergeCell ref="BT2:BV2"/>
    <mergeCell ref="BW2:BY2"/>
    <mergeCell ref="BZ2:CB2"/>
    <mergeCell ref="CC2:CE2"/>
    <mergeCell ref="CF2:CH2"/>
    <mergeCell ref="CI2:CK2"/>
    <mergeCell ref="A1:A5"/>
    <mergeCell ref="B1:E3"/>
    <mergeCell ref="F1:EM1"/>
    <mergeCell ref="EN1:ET5"/>
    <mergeCell ref="EU1:EU5"/>
    <mergeCell ref="F2:H2"/>
    <mergeCell ref="I2:K2"/>
    <mergeCell ref="EN6:ET6"/>
    <mergeCell ref="EN7:ET7"/>
    <mergeCell ref="DM3:DO3"/>
    <mergeCell ref="DP3:DR3"/>
    <mergeCell ref="DS3:DU3"/>
    <mergeCell ref="EH2:EJ2"/>
    <mergeCell ref="EK2:EM2"/>
    <mergeCell ref="F3:H3"/>
    <mergeCell ref="I3:K3"/>
    <mergeCell ref="L3:N3"/>
    <mergeCell ref="O3:Q3"/>
    <mergeCell ref="R3:T3"/>
    <mergeCell ref="U3:W3"/>
    <mergeCell ref="X3:Z3"/>
    <mergeCell ref="AA3:AC3"/>
    <mergeCell ref="AD3:AF3"/>
    <mergeCell ref="AG3:AI3"/>
    <mergeCell ref="EN8:ET8"/>
    <mergeCell ref="EN9:ET9"/>
    <mergeCell ref="EN10:ET10"/>
    <mergeCell ref="EN11:ET11"/>
    <mergeCell ref="EN12:ET12"/>
    <mergeCell ref="EN13:ET13"/>
    <mergeCell ref="EN14:ET14"/>
    <mergeCell ref="EN15:ET15"/>
    <mergeCell ref="EN16:ET16"/>
    <mergeCell ref="EN17:ET17"/>
    <mergeCell ref="EN18:ET18"/>
    <mergeCell ref="EN19:ET19"/>
    <mergeCell ref="EN20:ET20"/>
    <mergeCell ref="EN21:ET21"/>
    <mergeCell ref="EN22:ET22"/>
    <mergeCell ref="EN23:ET23"/>
    <mergeCell ref="EN24:ET24"/>
    <mergeCell ref="EN25:ET25"/>
    <mergeCell ref="EN35:ET35"/>
    <mergeCell ref="EN36:ET36"/>
    <mergeCell ref="EN37:ET37"/>
    <mergeCell ref="EN38:ET38"/>
    <mergeCell ref="EN39:ET39"/>
    <mergeCell ref="EN40:ET40"/>
    <mergeCell ref="EN26:ET26"/>
    <mergeCell ref="EN27:ET27"/>
    <mergeCell ref="EN28:ET28"/>
    <mergeCell ref="EN29:ET29"/>
    <mergeCell ref="EN30:ET30"/>
    <mergeCell ref="EN31:ET31"/>
    <mergeCell ref="EN32:ET32"/>
    <mergeCell ref="EN33:ET33"/>
    <mergeCell ref="EN34:ET34"/>
  </mergeCells>
  <conditionalFormatting sqref="A6:EN110 EU6:EU110 BE119:BE120">
    <cfRule type="expression" dxfId="4" priority="1">
      <formula>ISODD(ROW())</formula>
    </cfRule>
  </conditionalFormatting>
  <hyperlinks>
    <hyperlink ref="EU20" r:id="rId1" xr:uid="{00000000-0004-0000-0500-000000000000}"/>
    <hyperlink ref="EU25" r:id="rId2" xr:uid="{00000000-0004-0000-0500-000001000000}"/>
    <hyperlink ref="EU26" r:id="rId3" xr:uid="{00000000-0004-0000-0500-000002000000}"/>
    <hyperlink ref="EU27" r:id="rId4" xr:uid="{00000000-0004-0000-0500-000003000000}"/>
    <hyperlink ref="EU29" r:id="rId5" xr:uid="{00000000-0004-0000-0500-000004000000}"/>
    <hyperlink ref="EU30" r:id="rId6" xr:uid="{00000000-0004-0000-0500-000005000000}"/>
    <hyperlink ref="EU32" r:id="rId7" xr:uid="{00000000-0004-0000-0500-000006000000}"/>
    <hyperlink ref="EU34" r:id="rId8" xr:uid="{00000000-0004-0000-0500-000007000000}"/>
    <hyperlink ref="EU35" r:id="rId9" xr:uid="{00000000-0004-0000-0500-000008000000}"/>
    <hyperlink ref="EU36" r:id="rId10" xr:uid="{00000000-0004-0000-0500-000009000000}"/>
    <hyperlink ref="EU40" r:id="rId11" xr:uid="{00000000-0004-0000-0500-00000A000000}"/>
    <hyperlink ref="EU42" r:id="rId12" xr:uid="{00000000-0004-0000-0500-00000B000000}"/>
    <hyperlink ref="EU43" r:id="rId13" xr:uid="{00000000-0004-0000-0500-00000C000000}"/>
    <hyperlink ref="EU47" r:id="rId14" xr:uid="{00000000-0004-0000-0500-00000D000000}"/>
    <hyperlink ref="EU51" r:id="rId15" xr:uid="{00000000-0004-0000-0500-00000E000000}"/>
    <hyperlink ref="EU52" r:id="rId16" xr:uid="{00000000-0004-0000-0500-00000F000000}"/>
    <hyperlink ref="EU54" r:id="rId17" xr:uid="{00000000-0004-0000-0500-000010000000}"/>
    <hyperlink ref="EU58" r:id="rId18" xr:uid="{00000000-0004-0000-0500-000011000000}"/>
    <hyperlink ref="EU60" r:id="rId19" xr:uid="{00000000-0004-0000-0500-000012000000}"/>
    <hyperlink ref="EU68" r:id="rId20" xr:uid="{00000000-0004-0000-0500-000013000000}"/>
    <hyperlink ref="EU72" r:id="rId21" xr:uid="{00000000-0004-0000-0500-000014000000}"/>
    <hyperlink ref="EU82" r:id="rId22" xr:uid="{00000000-0004-0000-0500-000015000000}"/>
    <hyperlink ref="EU85" r:id="rId23" xr:uid="{00000000-0004-0000-0500-000016000000}"/>
    <hyperlink ref="EU86" r:id="rId24" xr:uid="{00000000-0004-0000-0500-000017000000}"/>
    <hyperlink ref="EU87" r:id="rId25" xr:uid="{00000000-0004-0000-0500-000018000000}"/>
    <hyperlink ref="EU93" r:id="rId26" xr:uid="{00000000-0004-0000-0500-000019000000}"/>
    <hyperlink ref="EU94" r:id="rId27" xr:uid="{00000000-0004-0000-0500-00001A000000}"/>
    <hyperlink ref="EU95" r:id="rId28" xr:uid="{00000000-0004-0000-0500-00001B000000}"/>
    <hyperlink ref="EU98" r:id="rId29" xr:uid="{00000000-0004-0000-0500-00001C000000}"/>
    <hyperlink ref="AY114" r:id="rId30" xr:uid="{00000000-0004-0000-0500-00001D000000}"/>
    <hyperlink ref="C122" r:id="rId31" xr:uid="{00000000-0004-0000-0500-00001E000000}"/>
    <hyperlink ref="C126" r:id="rId32" location="/c88e37cfc43b4ed3baf977d77e4a0667" xr:uid="{00000000-0004-0000-0500-00001F000000}"/>
    <hyperlink ref="C130" r:id="rId33" xr:uid="{00000000-0004-0000-0500-000020000000}"/>
    <hyperlink ref="C132" r:id="rId34" xr:uid="{00000000-0004-0000-0500-000021000000}"/>
  </hyperlinks>
  <printOptions horizontalCentered="1"/>
  <pageMargins left="0.7" right="0.7" top="0.75" bottom="0.75" header="0" footer="0"/>
  <pageSetup fitToHeight="0" pageOrder="overThenDown" orientation="landscape" cellComments="atEnd"/>
  <drawing r:id="rId3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EW1071"/>
  <sheetViews>
    <sheetView workbookViewId="0">
      <pane xSplit="5" ySplit="5" topLeftCell="F6" activePane="bottomRight" state="frozen"/>
      <selection pane="topRight" activeCell="F1" sqref="F1"/>
      <selection pane="bottomLeft" activeCell="A6" sqref="A6"/>
      <selection pane="bottomRight" activeCell="F6" sqref="F6"/>
    </sheetView>
  </sheetViews>
  <sheetFormatPr baseColWidth="10" defaultColWidth="14.42578125" defaultRowHeight="15.75" customHeight="1"/>
  <cols>
    <col min="1" max="1" width="10.5703125" customWidth="1"/>
    <col min="2" max="5" width="7.28515625" customWidth="1"/>
    <col min="6" max="8" width="5" customWidth="1"/>
    <col min="9" max="9" width="4.85546875" customWidth="1"/>
    <col min="10" max="11" width="4.140625" customWidth="1"/>
    <col min="12" max="12" width="4.7109375" customWidth="1"/>
    <col min="13" max="14" width="4.140625" customWidth="1"/>
    <col min="15" max="15" width="4.85546875" customWidth="1"/>
    <col min="16" max="17" width="4.140625" customWidth="1"/>
    <col min="18" max="18" width="4.85546875" customWidth="1"/>
    <col min="19" max="20" width="4.140625" customWidth="1"/>
    <col min="21" max="21" width="4.85546875" customWidth="1"/>
    <col min="22" max="35" width="4.140625" customWidth="1"/>
    <col min="36" max="38" width="6.5703125" customWidth="1"/>
    <col min="39" max="39" width="6.140625" customWidth="1"/>
    <col min="40" max="40" width="6.5703125" customWidth="1"/>
    <col min="41" max="42" width="5.140625" customWidth="1"/>
    <col min="43" max="43" width="5.7109375" customWidth="1"/>
    <col min="44" max="44" width="4.5703125" customWidth="1"/>
    <col min="45" max="45" width="4.85546875" customWidth="1"/>
    <col min="46" max="51" width="4.5703125" customWidth="1"/>
    <col min="52" max="52" width="6.42578125" customWidth="1"/>
    <col min="53" max="54" width="5.28515625" customWidth="1"/>
    <col min="55" max="55" width="5.42578125" customWidth="1"/>
    <col min="56" max="56" width="4.5703125" customWidth="1"/>
    <col min="57" max="57" width="6.42578125" customWidth="1"/>
    <col min="58" max="58" width="5.140625" customWidth="1"/>
    <col min="59" max="60" width="4.5703125" customWidth="1"/>
    <col min="61" max="61" width="7" customWidth="1"/>
    <col min="62" max="62" width="5.85546875" customWidth="1"/>
    <col min="63" max="63" width="6.5703125" customWidth="1"/>
    <col min="64" max="66" width="5.5703125" customWidth="1"/>
    <col min="67" max="67" width="6.42578125" customWidth="1"/>
    <col min="68" max="69" width="5.5703125" customWidth="1"/>
    <col min="70" max="72" width="4.5703125" customWidth="1"/>
    <col min="73" max="73" width="5.28515625" customWidth="1"/>
    <col min="74" max="78" width="4.5703125" customWidth="1"/>
    <col min="79" max="79" width="5.140625" customWidth="1"/>
    <col min="80" max="90" width="4.5703125" customWidth="1"/>
    <col min="91" max="91" width="5.85546875" customWidth="1"/>
    <col min="92" max="93" width="5.28515625" customWidth="1"/>
    <col min="94" max="108" width="4.5703125" customWidth="1"/>
    <col min="109" max="111" width="5.140625" customWidth="1"/>
    <col min="112" max="114" width="4.5703125" customWidth="1"/>
    <col min="115" max="115" width="5.140625" customWidth="1"/>
    <col min="116" max="117" width="4.5703125" customWidth="1"/>
    <col min="118" max="118" width="5.42578125" customWidth="1"/>
    <col min="119" max="120" width="4.5703125" customWidth="1"/>
    <col min="121" max="121" width="5.85546875" customWidth="1"/>
    <col min="122" max="132" width="4.5703125" customWidth="1"/>
    <col min="133" max="135" width="5.28515625" customWidth="1"/>
    <col min="136" max="138" width="4.5703125" customWidth="1"/>
    <col min="139" max="139" width="6.85546875" customWidth="1"/>
    <col min="140" max="141" width="6.140625" customWidth="1"/>
    <col min="142" max="147" width="4.5703125" customWidth="1"/>
    <col min="148" max="148" width="1.140625" customWidth="1"/>
    <col min="149" max="151" width="4.5703125" customWidth="1"/>
    <col min="152" max="152" width="45.5703125" customWidth="1"/>
    <col min="153" max="153" width="31.42578125" customWidth="1"/>
  </cols>
  <sheetData>
    <row r="1" spans="1:153" ht="12.75">
      <c r="A1" s="530" t="s">
        <v>16</v>
      </c>
      <c r="B1" s="530" t="s">
        <v>844</v>
      </c>
      <c r="C1" s="531"/>
      <c r="D1" s="531"/>
      <c r="E1" s="532"/>
      <c r="F1" s="530" t="s">
        <v>77</v>
      </c>
      <c r="G1" s="531"/>
      <c r="H1" s="531"/>
      <c r="I1" s="531"/>
      <c r="J1" s="531"/>
      <c r="K1" s="531"/>
      <c r="L1" s="531"/>
      <c r="M1" s="531"/>
      <c r="N1" s="531"/>
      <c r="O1" s="531"/>
      <c r="P1" s="531"/>
      <c r="Q1" s="531"/>
      <c r="R1" s="531"/>
      <c r="S1" s="531"/>
      <c r="T1" s="531"/>
      <c r="U1" s="531"/>
      <c r="V1" s="531"/>
      <c r="W1" s="531"/>
      <c r="X1" s="531"/>
      <c r="Y1" s="531"/>
      <c r="Z1" s="531"/>
      <c r="AA1" s="531"/>
      <c r="AB1" s="531"/>
      <c r="AC1" s="531"/>
      <c r="AD1" s="531"/>
      <c r="AE1" s="531"/>
      <c r="AF1" s="531"/>
      <c r="AG1" s="531"/>
      <c r="AH1" s="531"/>
      <c r="AI1" s="531"/>
      <c r="AJ1" s="531"/>
      <c r="AK1" s="531"/>
      <c r="AL1" s="531"/>
      <c r="AM1" s="531"/>
      <c r="AN1" s="531"/>
      <c r="AO1" s="531"/>
      <c r="AP1" s="531"/>
      <c r="AQ1" s="531"/>
      <c r="AR1" s="531"/>
      <c r="AS1" s="531"/>
      <c r="AT1" s="531"/>
      <c r="AU1" s="531"/>
      <c r="AV1" s="531"/>
      <c r="AW1" s="531"/>
      <c r="AX1" s="531"/>
      <c r="AY1" s="531"/>
      <c r="AZ1" s="531"/>
      <c r="BA1" s="531"/>
      <c r="BB1" s="531"/>
      <c r="BC1" s="531"/>
      <c r="BD1" s="531"/>
      <c r="BE1" s="531"/>
      <c r="BF1" s="531"/>
      <c r="BG1" s="531"/>
      <c r="BH1" s="531"/>
      <c r="BI1" s="531"/>
      <c r="BJ1" s="531"/>
      <c r="BK1" s="531"/>
      <c r="BL1" s="531"/>
      <c r="BM1" s="531"/>
      <c r="BN1" s="531"/>
      <c r="BO1" s="531"/>
      <c r="BP1" s="531"/>
      <c r="BQ1" s="531"/>
      <c r="BR1" s="531"/>
      <c r="BS1" s="531"/>
      <c r="BT1" s="531"/>
      <c r="BU1" s="531"/>
      <c r="BV1" s="531"/>
      <c r="BW1" s="531"/>
      <c r="BX1" s="531"/>
      <c r="BY1" s="531"/>
      <c r="BZ1" s="531"/>
      <c r="CA1" s="531"/>
      <c r="CB1" s="531"/>
      <c r="CC1" s="531"/>
      <c r="CD1" s="531"/>
      <c r="CE1" s="531"/>
      <c r="CF1" s="531"/>
      <c r="CG1" s="531"/>
      <c r="CH1" s="531"/>
      <c r="CI1" s="531"/>
      <c r="CJ1" s="531"/>
      <c r="CK1" s="531"/>
      <c r="CL1" s="531"/>
      <c r="CM1" s="531"/>
      <c r="CN1" s="531"/>
      <c r="CO1" s="531"/>
      <c r="CP1" s="531"/>
      <c r="CQ1" s="531"/>
      <c r="CR1" s="531"/>
      <c r="CS1" s="531"/>
      <c r="CT1" s="531"/>
      <c r="CU1" s="531"/>
      <c r="CV1" s="531"/>
      <c r="CW1" s="531"/>
      <c r="CX1" s="531"/>
      <c r="CY1" s="531"/>
      <c r="CZ1" s="531"/>
      <c r="DA1" s="531"/>
      <c r="DB1" s="531"/>
      <c r="DC1" s="531"/>
      <c r="DD1" s="531"/>
      <c r="DE1" s="531"/>
      <c r="DF1" s="531"/>
      <c r="DG1" s="531"/>
      <c r="DH1" s="531"/>
      <c r="DI1" s="531"/>
      <c r="DJ1" s="531"/>
      <c r="DK1" s="531"/>
      <c r="DL1" s="531"/>
      <c r="DM1" s="531"/>
      <c r="DN1" s="531"/>
      <c r="DO1" s="531"/>
      <c r="DP1" s="531"/>
      <c r="DQ1" s="531"/>
      <c r="DR1" s="531"/>
      <c r="DS1" s="531"/>
      <c r="DT1" s="531"/>
      <c r="DU1" s="531"/>
      <c r="DV1" s="531"/>
      <c r="DW1" s="531"/>
      <c r="DX1" s="531"/>
      <c r="DY1" s="531"/>
      <c r="DZ1" s="531"/>
      <c r="EA1" s="531"/>
      <c r="EB1" s="531"/>
      <c r="EC1" s="531"/>
      <c r="ED1" s="531"/>
      <c r="EE1" s="531"/>
      <c r="EF1" s="531"/>
      <c r="EG1" s="531"/>
      <c r="EH1" s="531"/>
      <c r="EI1" s="531"/>
      <c r="EJ1" s="531"/>
      <c r="EK1" s="531"/>
      <c r="EL1" s="531"/>
      <c r="EM1" s="531"/>
      <c r="EN1" s="531"/>
      <c r="EO1" s="3"/>
      <c r="EP1" s="3"/>
      <c r="EQ1" s="3"/>
      <c r="ER1" s="250"/>
      <c r="ES1" s="3"/>
      <c r="ET1" s="3"/>
      <c r="EU1" s="3"/>
      <c r="EV1" s="530" t="s">
        <v>6</v>
      </c>
      <c r="EW1" s="530" t="s">
        <v>7</v>
      </c>
    </row>
    <row r="2" spans="1:153" ht="12.75">
      <c r="A2" s="531"/>
      <c r="B2" s="531"/>
      <c r="C2" s="531"/>
      <c r="D2" s="531"/>
      <c r="E2" s="532"/>
      <c r="F2" s="530" t="s">
        <v>845</v>
      </c>
      <c r="G2" s="531"/>
      <c r="H2" s="532"/>
      <c r="I2" s="530" t="s">
        <v>846</v>
      </c>
      <c r="J2" s="531"/>
      <c r="K2" s="532"/>
      <c r="L2" s="530" t="s">
        <v>847</v>
      </c>
      <c r="M2" s="531"/>
      <c r="N2" s="532"/>
      <c r="O2" s="530" t="s">
        <v>848</v>
      </c>
      <c r="P2" s="531"/>
      <c r="Q2" s="532"/>
      <c r="R2" s="530" t="s">
        <v>849</v>
      </c>
      <c r="S2" s="531"/>
      <c r="T2" s="532"/>
      <c r="U2" s="530" t="s">
        <v>850</v>
      </c>
      <c r="V2" s="531"/>
      <c r="W2" s="532"/>
      <c r="X2" s="607" t="s">
        <v>851</v>
      </c>
      <c r="Y2" s="531"/>
      <c r="Z2" s="532"/>
      <c r="AA2" s="607" t="s">
        <v>852</v>
      </c>
      <c r="AB2" s="531"/>
      <c r="AC2" s="532"/>
      <c r="AD2" s="607" t="s">
        <v>853</v>
      </c>
      <c r="AE2" s="531"/>
      <c r="AF2" s="532"/>
      <c r="AG2" s="530" t="s">
        <v>854</v>
      </c>
      <c r="AH2" s="531"/>
      <c r="AI2" s="532"/>
      <c r="AJ2" s="530" t="s">
        <v>855</v>
      </c>
      <c r="AK2" s="531"/>
      <c r="AL2" s="531"/>
      <c r="AM2" s="532"/>
      <c r="AN2" s="530" t="s">
        <v>856</v>
      </c>
      <c r="AO2" s="531"/>
      <c r="AP2" s="532"/>
      <c r="AQ2" s="530" t="s">
        <v>857</v>
      </c>
      <c r="AR2" s="531"/>
      <c r="AS2" s="532"/>
      <c r="AT2" s="530" t="s">
        <v>858</v>
      </c>
      <c r="AU2" s="531"/>
      <c r="AV2" s="532"/>
      <c r="AW2" s="530" t="s">
        <v>859</v>
      </c>
      <c r="AX2" s="531"/>
      <c r="AY2" s="532"/>
      <c r="AZ2" s="530" t="s">
        <v>860</v>
      </c>
      <c r="BA2" s="531"/>
      <c r="BB2" s="532"/>
      <c r="BC2" s="530" t="s">
        <v>861</v>
      </c>
      <c r="BD2" s="531"/>
      <c r="BE2" s="532"/>
      <c r="BF2" s="530" t="s">
        <v>862</v>
      </c>
      <c r="BG2" s="531"/>
      <c r="BH2" s="532"/>
      <c r="BI2" s="530" t="s">
        <v>863</v>
      </c>
      <c r="BJ2" s="531"/>
      <c r="BK2" s="532"/>
      <c r="BL2" s="530" t="s">
        <v>864</v>
      </c>
      <c r="BM2" s="531"/>
      <c r="BN2" s="532"/>
      <c r="BO2" s="530" t="s">
        <v>865</v>
      </c>
      <c r="BP2" s="531"/>
      <c r="BQ2" s="532"/>
      <c r="BR2" s="530" t="s">
        <v>866</v>
      </c>
      <c r="BS2" s="531"/>
      <c r="BT2" s="532"/>
      <c r="BU2" s="530" t="s">
        <v>867</v>
      </c>
      <c r="BV2" s="531"/>
      <c r="BW2" s="532"/>
      <c r="BX2" s="530" t="s">
        <v>868</v>
      </c>
      <c r="BY2" s="531"/>
      <c r="BZ2" s="532"/>
      <c r="CA2" s="530" t="s">
        <v>869</v>
      </c>
      <c r="CB2" s="531"/>
      <c r="CC2" s="532"/>
      <c r="CD2" s="607" t="s">
        <v>870</v>
      </c>
      <c r="CE2" s="531"/>
      <c r="CF2" s="532"/>
      <c r="CG2" s="530" t="s">
        <v>871</v>
      </c>
      <c r="CH2" s="531"/>
      <c r="CI2" s="532"/>
      <c r="CJ2" s="530" t="s">
        <v>872</v>
      </c>
      <c r="CK2" s="531"/>
      <c r="CL2" s="532"/>
      <c r="CM2" s="530" t="s">
        <v>873</v>
      </c>
      <c r="CN2" s="531"/>
      <c r="CO2" s="532"/>
      <c r="CP2" s="607" t="s">
        <v>874</v>
      </c>
      <c r="CQ2" s="531"/>
      <c r="CR2" s="532"/>
      <c r="CS2" s="530" t="s">
        <v>875</v>
      </c>
      <c r="CT2" s="531"/>
      <c r="CU2" s="532"/>
      <c r="CV2" s="530" t="s">
        <v>876</v>
      </c>
      <c r="CW2" s="531"/>
      <c r="CX2" s="532"/>
      <c r="CY2" s="530" t="s">
        <v>877</v>
      </c>
      <c r="CZ2" s="531"/>
      <c r="DA2" s="532"/>
      <c r="DB2" s="607" t="s">
        <v>878</v>
      </c>
      <c r="DC2" s="531"/>
      <c r="DD2" s="532"/>
      <c r="DE2" s="530" t="s">
        <v>879</v>
      </c>
      <c r="DF2" s="531"/>
      <c r="DG2" s="532"/>
      <c r="DH2" s="530" t="s">
        <v>880</v>
      </c>
      <c r="DI2" s="531"/>
      <c r="DJ2" s="532"/>
      <c r="DK2" s="530" t="s">
        <v>881</v>
      </c>
      <c r="DL2" s="531"/>
      <c r="DM2" s="532"/>
      <c r="DN2" s="530" t="s">
        <v>882</v>
      </c>
      <c r="DO2" s="531"/>
      <c r="DP2" s="532"/>
      <c r="DQ2" s="530" t="s">
        <v>883</v>
      </c>
      <c r="DR2" s="531"/>
      <c r="DS2" s="532"/>
      <c r="DT2" s="530" t="s">
        <v>884</v>
      </c>
      <c r="DU2" s="531"/>
      <c r="DV2" s="532"/>
      <c r="DW2" s="607" t="s">
        <v>885</v>
      </c>
      <c r="DX2" s="531"/>
      <c r="DY2" s="532"/>
      <c r="DZ2" s="530" t="s">
        <v>886</v>
      </c>
      <c r="EA2" s="531"/>
      <c r="EB2" s="532"/>
      <c r="EC2" s="530" t="s">
        <v>887</v>
      </c>
      <c r="ED2" s="531"/>
      <c r="EE2" s="532"/>
      <c r="EF2" s="530" t="s">
        <v>888</v>
      </c>
      <c r="EG2" s="531"/>
      <c r="EH2" s="532"/>
      <c r="EI2" s="530" t="s">
        <v>889</v>
      </c>
      <c r="EJ2" s="531"/>
      <c r="EK2" s="532"/>
      <c r="EL2" s="530" t="s">
        <v>890</v>
      </c>
      <c r="EM2" s="531"/>
      <c r="EN2" s="532"/>
      <c r="EO2" s="530" t="s">
        <v>891</v>
      </c>
      <c r="EP2" s="531"/>
      <c r="EQ2" s="532"/>
      <c r="ER2" s="250"/>
      <c r="ES2" s="530" t="s">
        <v>892</v>
      </c>
      <c r="ET2" s="531"/>
      <c r="EU2" s="532"/>
      <c r="EV2" s="531"/>
      <c r="EW2" s="531"/>
    </row>
    <row r="3" spans="1:153" ht="12.75">
      <c r="A3" s="531"/>
      <c r="B3" s="531"/>
      <c r="C3" s="531"/>
      <c r="D3" s="531"/>
      <c r="E3" s="532"/>
      <c r="F3" s="530" t="s">
        <v>893</v>
      </c>
      <c r="G3" s="531"/>
      <c r="H3" s="532"/>
      <c r="I3" s="530" t="s">
        <v>894</v>
      </c>
      <c r="J3" s="531"/>
      <c r="K3" s="532"/>
      <c r="L3" s="530" t="s">
        <v>895</v>
      </c>
      <c r="M3" s="531"/>
      <c r="N3" s="532"/>
      <c r="O3" s="530" t="s">
        <v>896</v>
      </c>
      <c r="P3" s="531"/>
      <c r="Q3" s="532"/>
      <c r="R3" s="530" t="s">
        <v>897</v>
      </c>
      <c r="S3" s="531"/>
      <c r="T3" s="532"/>
      <c r="U3" s="530" t="s">
        <v>898</v>
      </c>
      <c r="V3" s="531"/>
      <c r="W3" s="532"/>
      <c r="X3" s="655" t="s">
        <v>899</v>
      </c>
      <c r="Y3" s="531"/>
      <c r="Z3" s="532"/>
      <c r="AA3" s="655" t="s">
        <v>900</v>
      </c>
      <c r="AB3" s="531"/>
      <c r="AC3" s="532"/>
      <c r="AD3" s="655" t="s">
        <v>901</v>
      </c>
      <c r="AE3" s="531"/>
      <c r="AF3" s="532"/>
      <c r="AG3" s="530" t="s">
        <v>902</v>
      </c>
      <c r="AH3" s="531"/>
      <c r="AI3" s="532"/>
      <c r="AJ3" s="530" t="s">
        <v>903</v>
      </c>
      <c r="AK3" s="531"/>
      <c r="AL3" s="531"/>
      <c r="AM3" s="532"/>
      <c r="AN3" s="530" t="s">
        <v>904</v>
      </c>
      <c r="AO3" s="531"/>
      <c r="AP3" s="532"/>
      <c r="AQ3" s="530" t="s">
        <v>905</v>
      </c>
      <c r="AR3" s="531"/>
      <c r="AS3" s="532"/>
      <c r="AT3" s="530" t="s">
        <v>906</v>
      </c>
      <c r="AU3" s="531"/>
      <c r="AV3" s="532"/>
      <c r="AW3" s="530" t="s">
        <v>907</v>
      </c>
      <c r="AX3" s="531"/>
      <c r="AY3" s="532"/>
      <c r="AZ3" s="530" t="s">
        <v>908</v>
      </c>
      <c r="BA3" s="531"/>
      <c r="BB3" s="532"/>
      <c r="BC3" s="530" t="s">
        <v>909</v>
      </c>
      <c r="BD3" s="531"/>
      <c r="BE3" s="532"/>
      <c r="BF3" s="530" t="s">
        <v>910</v>
      </c>
      <c r="BG3" s="531"/>
      <c r="BH3" s="532"/>
      <c r="BI3" s="530" t="s">
        <v>911</v>
      </c>
      <c r="BJ3" s="531"/>
      <c r="BK3" s="532"/>
      <c r="BL3" s="530" t="s">
        <v>912</v>
      </c>
      <c r="BM3" s="531"/>
      <c r="BN3" s="532"/>
      <c r="BO3" s="530" t="s">
        <v>913</v>
      </c>
      <c r="BP3" s="531"/>
      <c r="BQ3" s="532"/>
      <c r="BR3" s="530" t="s">
        <v>914</v>
      </c>
      <c r="BS3" s="531"/>
      <c r="BT3" s="532"/>
      <c r="BU3" s="530" t="s">
        <v>915</v>
      </c>
      <c r="BV3" s="531"/>
      <c r="BW3" s="532"/>
      <c r="BX3" s="530" t="s">
        <v>916</v>
      </c>
      <c r="BY3" s="531"/>
      <c r="BZ3" s="532"/>
      <c r="CA3" s="530" t="s">
        <v>917</v>
      </c>
      <c r="CB3" s="531"/>
      <c r="CC3" s="532"/>
      <c r="CD3" s="655" t="s">
        <v>918</v>
      </c>
      <c r="CE3" s="531"/>
      <c r="CF3" s="532"/>
      <c r="CG3" s="530" t="s">
        <v>919</v>
      </c>
      <c r="CH3" s="531"/>
      <c r="CI3" s="532"/>
      <c r="CJ3" s="530" t="s">
        <v>920</v>
      </c>
      <c r="CK3" s="531"/>
      <c r="CL3" s="532"/>
      <c r="CM3" s="530" t="s">
        <v>921</v>
      </c>
      <c r="CN3" s="531"/>
      <c r="CO3" s="532"/>
      <c r="CP3" s="655" t="s">
        <v>922</v>
      </c>
      <c r="CQ3" s="531"/>
      <c r="CR3" s="532"/>
      <c r="CS3" s="530" t="s">
        <v>923</v>
      </c>
      <c r="CT3" s="531"/>
      <c r="CU3" s="532"/>
      <c r="CV3" s="530" t="s">
        <v>924</v>
      </c>
      <c r="CW3" s="531"/>
      <c r="CX3" s="532"/>
      <c r="CY3" s="530" t="s">
        <v>925</v>
      </c>
      <c r="CZ3" s="531"/>
      <c r="DA3" s="532"/>
      <c r="DB3" s="655" t="s">
        <v>926</v>
      </c>
      <c r="DC3" s="531"/>
      <c r="DD3" s="532"/>
      <c r="DE3" s="530" t="s">
        <v>927</v>
      </c>
      <c r="DF3" s="531"/>
      <c r="DG3" s="532"/>
      <c r="DH3" s="530" t="s">
        <v>928</v>
      </c>
      <c r="DI3" s="531"/>
      <c r="DJ3" s="532"/>
      <c r="DK3" s="530" t="s">
        <v>929</v>
      </c>
      <c r="DL3" s="531"/>
      <c r="DM3" s="532"/>
      <c r="DN3" s="530" t="s">
        <v>930</v>
      </c>
      <c r="DO3" s="531"/>
      <c r="DP3" s="532"/>
      <c r="DQ3" s="530" t="s">
        <v>931</v>
      </c>
      <c r="DR3" s="531"/>
      <c r="DS3" s="532"/>
      <c r="DT3" s="530" t="s">
        <v>932</v>
      </c>
      <c r="DU3" s="531"/>
      <c r="DV3" s="532"/>
      <c r="DW3" s="655" t="s">
        <v>933</v>
      </c>
      <c r="DX3" s="531"/>
      <c r="DY3" s="532"/>
      <c r="DZ3" s="530" t="s">
        <v>934</v>
      </c>
      <c r="EA3" s="531"/>
      <c r="EB3" s="532"/>
      <c r="EC3" s="530" t="s">
        <v>935</v>
      </c>
      <c r="ED3" s="531"/>
      <c r="EE3" s="532"/>
      <c r="EF3" s="530" t="s">
        <v>936</v>
      </c>
      <c r="EG3" s="531"/>
      <c r="EH3" s="532"/>
      <c r="EI3" s="530" t="s">
        <v>937</v>
      </c>
      <c r="EJ3" s="531"/>
      <c r="EK3" s="532"/>
      <c r="EL3" s="530" t="s">
        <v>938</v>
      </c>
      <c r="EM3" s="531"/>
      <c r="EN3" s="532"/>
      <c r="EO3" s="530" t="s">
        <v>939</v>
      </c>
      <c r="EP3" s="531"/>
      <c r="EQ3" s="532"/>
      <c r="ER3" s="250"/>
      <c r="ES3" s="530" t="s">
        <v>940</v>
      </c>
      <c r="ET3" s="531"/>
      <c r="EU3" s="532"/>
      <c r="EV3" s="531"/>
      <c r="EW3" s="531"/>
    </row>
    <row r="4" spans="1:153" ht="12.75">
      <c r="A4" s="531"/>
      <c r="B4" s="625" t="s">
        <v>8</v>
      </c>
      <c r="C4" s="626" t="s">
        <v>9</v>
      </c>
      <c r="D4" s="642" t="s">
        <v>10</v>
      </c>
      <c r="E4" s="633" t="s">
        <v>11</v>
      </c>
      <c r="F4" s="530"/>
      <c r="G4" s="531"/>
      <c r="H4" s="532"/>
      <c r="I4" s="530"/>
      <c r="J4" s="531"/>
      <c r="K4" s="532"/>
      <c r="L4" s="530"/>
      <c r="M4" s="531"/>
      <c r="N4" s="532"/>
      <c r="O4" s="530"/>
      <c r="P4" s="531"/>
      <c r="Q4" s="532"/>
      <c r="R4" s="530"/>
      <c r="S4" s="531"/>
      <c r="T4" s="532"/>
      <c r="U4" s="530"/>
      <c r="V4" s="531"/>
      <c r="W4" s="532"/>
      <c r="X4" s="530"/>
      <c r="Y4" s="531"/>
      <c r="Z4" s="532"/>
      <c r="AA4" s="530"/>
      <c r="AB4" s="531"/>
      <c r="AC4" s="532"/>
      <c r="AD4" s="530"/>
      <c r="AE4" s="531"/>
      <c r="AF4" s="532"/>
      <c r="AG4" s="530"/>
      <c r="AH4" s="531"/>
      <c r="AI4" s="532"/>
      <c r="AJ4" s="530"/>
      <c r="AK4" s="531"/>
      <c r="AL4" s="531"/>
      <c r="AM4" s="532"/>
      <c r="AN4" s="530"/>
      <c r="AO4" s="531"/>
      <c r="AP4" s="532"/>
      <c r="AQ4" s="530"/>
      <c r="AR4" s="531"/>
      <c r="AS4" s="532"/>
      <c r="AT4" s="530"/>
      <c r="AU4" s="531"/>
      <c r="AV4" s="532"/>
      <c r="AW4" s="530"/>
      <c r="AX4" s="531"/>
      <c r="AY4" s="532"/>
      <c r="AZ4" s="530"/>
      <c r="BA4" s="531"/>
      <c r="BB4" s="532"/>
      <c r="BC4" s="530"/>
      <c r="BD4" s="531"/>
      <c r="BE4" s="532"/>
      <c r="BF4" s="530"/>
      <c r="BG4" s="531"/>
      <c r="BH4" s="532"/>
      <c r="BI4" s="530"/>
      <c r="BJ4" s="531"/>
      <c r="BK4" s="532"/>
      <c r="BL4" s="530"/>
      <c r="BM4" s="531"/>
      <c r="BN4" s="532"/>
      <c r="BO4" s="530"/>
      <c r="BP4" s="531"/>
      <c r="BQ4" s="532"/>
      <c r="BR4" s="530"/>
      <c r="BS4" s="531"/>
      <c r="BT4" s="532"/>
      <c r="BU4" s="530"/>
      <c r="BV4" s="531"/>
      <c r="BW4" s="532"/>
      <c r="BX4" s="530"/>
      <c r="BY4" s="531"/>
      <c r="BZ4" s="532"/>
      <c r="CA4" s="530"/>
      <c r="CB4" s="531"/>
      <c r="CC4" s="532"/>
      <c r="CD4" s="530"/>
      <c r="CE4" s="531"/>
      <c r="CF4" s="532"/>
      <c r="CG4" s="530"/>
      <c r="CH4" s="531"/>
      <c r="CI4" s="532"/>
      <c r="CJ4" s="530"/>
      <c r="CK4" s="531"/>
      <c r="CL4" s="532"/>
      <c r="CM4" s="530"/>
      <c r="CN4" s="531"/>
      <c r="CO4" s="532"/>
      <c r="CP4" s="530"/>
      <c r="CQ4" s="531"/>
      <c r="CR4" s="532"/>
      <c r="CS4" s="530"/>
      <c r="CT4" s="531"/>
      <c r="CU4" s="532"/>
      <c r="CV4" s="530"/>
      <c r="CW4" s="531"/>
      <c r="CX4" s="532"/>
      <c r="CY4" s="530"/>
      <c r="CZ4" s="531"/>
      <c r="DA4" s="532"/>
      <c r="DB4" s="530"/>
      <c r="DC4" s="531"/>
      <c r="DD4" s="532"/>
      <c r="DE4" s="530"/>
      <c r="DF4" s="531"/>
      <c r="DG4" s="532"/>
      <c r="DH4" s="530"/>
      <c r="DI4" s="531"/>
      <c r="DJ4" s="532"/>
      <c r="DK4" s="530"/>
      <c r="DL4" s="531"/>
      <c r="DM4" s="532"/>
      <c r="DN4" s="530"/>
      <c r="DO4" s="531"/>
      <c r="DP4" s="532"/>
      <c r="DQ4" s="530"/>
      <c r="DR4" s="531"/>
      <c r="DS4" s="532"/>
      <c r="DT4" s="530"/>
      <c r="DU4" s="531"/>
      <c r="DV4" s="532"/>
      <c r="DW4" s="530"/>
      <c r="DX4" s="531"/>
      <c r="DY4" s="532"/>
      <c r="DZ4" s="530"/>
      <c r="EA4" s="531"/>
      <c r="EB4" s="532"/>
      <c r="EC4" s="530"/>
      <c r="ED4" s="531"/>
      <c r="EE4" s="532"/>
      <c r="EF4" s="530"/>
      <c r="EG4" s="531"/>
      <c r="EH4" s="532"/>
      <c r="EI4" s="530"/>
      <c r="EJ4" s="531"/>
      <c r="EK4" s="532"/>
      <c r="EL4" s="530"/>
      <c r="EM4" s="531"/>
      <c r="EN4" s="532"/>
      <c r="EO4" s="530"/>
      <c r="EP4" s="531"/>
      <c r="EQ4" s="532"/>
      <c r="ER4" s="250"/>
      <c r="ES4" s="530"/>
      <c r="ET4" s="531"/>
      <c r="EU4" s="532"/>
      <c r="EV4" s="531"/>
      <c r="EW4" s="531"/>
    </row>
    <row r="5" spans="1:153" ht="12.75">
      <c r="A5" s="531"/>
      <c r="B5" s="531"/>
      <c r="C5" s="531"/>
      <c r="D5" s="531"/>
      <c r="E5" s="532"/>
      <c r="F5" s="30" t="s">
        <v>99</v>
      </c>
      <c r="G5" s="31" t="s">
        <v>100</v>
      </c>
      <c r="H5" s="32" t="s">
        <v>102</v>
      </c>
      <c r="I5" s="30" t="s">
        <v>99</v>
      </c>
      <c r="J5" s="31" t="s">
        <v>100</v>
      </c>
      <c r="K5" s="32" t="s">
        <v>102</v>
      </c>
      <c r="L5" s="30" t="s">
        <v>99</v>
      </c>
      <c r="M5" s="31" t="s">
        <v>100</v>
      </c>
      <c r="N5" s="32" t="s">
        <v>102</v>
      </c>
      <c r="O5" s="30" t="s">
        <v>99</v>
      </c>
      <c r="P5" s="31" t="s">
        <v>100</v>
      </c>
      <c r="Q5" s="32" t="s">
        <v>102</v>
      </c>
      <c r="R5" s="30" t="s">
        <v>99</v>
      </c>
      <c r="S5" s="31" t="s">
        <v>100</v>
      </c>
      <c r="T5" s="32" t="s">
        <v>102</v>
      </c>
      <c r="U5" s="30" t="s">
        <v>99</v>
      </c>
      <c r="V5" s="31" t="s">
        <v>100</v>
      </c>
      <c r="W5" s="32" t="s">
        <v>102</v>
      </c>
      <c r="X5" s="356" t="s">
        <v>99</v>
      </c>
      <c r="Y5" s="357" t="s">
        <v>100</v>
      </c>
      <c r="Z5" s="358" t="s">
        <v>102</v>
      </c>
      <c r="AA5" s="356" t="s">
        <v>99</v>
      </c>
      <c r="AB5" s="357" t="s">
        <v>100</v>
      </c>
      <c r="AC5" s="358" t="s">
        <v>102</v>
      </c>
      <c r="AD5" s="356" t="s">
        <v>99</v>
      </c>
      <c r="AE5" s="357" t="s">
        <v>100</v>
      </c>
      <c r="AF5" s="358" t="s">
        <v>102</v>
      </c>
      <c r="AG5" s="30" t="s">
        <v>99</v>
      </c>
      <c r="AH5" s="31" t="s">
        <v>100</v>
      </c>
      <c r="AI5" s="32" t="s">
        <v>102</v>
      </c>
      <c r="AJ5" s="30" t="s">
        <v>99</v>
      </c>
      <c r="AK5" s="31" t="s">
        <v>100</v>
      </c>
      <c r="AL5" s="33" t="s">
        <v>102</v>
      </c>
      <c r="AM5" s="8" t="s">
        <v>943</v>
      </c>
      <c r="AN5" s="30" t="s">
        <v>99</v>
      </c>
      <c r="AO5" s="31" t="s">
        <v>100</v>
      </c>
      <c r="AP5" s="32" t="s">
        <v>102</v>
      </c>
      <c r="AQ5" s="30" t="s">
        <v>99</v>
      </c>
      <c r="AR5" s="31" t="s">
        <v>100</v>
      </c>
      <c r="AS5" s="32" t="s">
        <v>102</v>
      </c>
      <c r="AT5" s="30" t="s">
        <v>99</v>
      </c>
      <c r="AU5" s="31" t="s">
        <v>100</v>
      </c>
      <c r="AV5" s="32" t="s">
        <v>102</v>
      </c>
      <c r="AW5" s="30" t="s">
        <v>99</v>
      </c>
      <c r="AX5" s="31" t="s">
        <v>100</v>
      </c>
      <c r="AY5" s="32" t="s">
        <v>102</v>
      </c>
      <c r="AZ5" s="30" t="s">
        <v>99</v>
      </c>
      <c r="BA5" s="31" t="s">
        <v>100</v>
      </c>
      <c r="BB5" s="32" t="s">
        <v>102</v>
      </c>
      <c r="BC5" s="30" t="s">
        <v>99</v>
      </c>
      <c r="BD5" s="31" t="s">
        <v>100</v>
      </c>
      <c r="BE5" s="32" t="s">
        <v>102</v>
      </c>
      <c r="BF5" s="30" t="s">
        <v>99</v>
      </c>
      <c r="BG5" s="31" t="s">
        <v>100</v>
      </c>
      <c r="BH5" s="32" t="s">
        <v>102</v>
      </c>
      <c r="BI5" s="30" t="s">
        <v>99</v>
      </c>
      <c r="BJ5" s="31" t="s">
        <v>100</v>
      </c>
      <c r="BK5" s="32" t="s">
        <v>102</v>
      </c>
      <c r="BL5" s="30" t="s">
        <v>99</v>
      </c>
      <c r="BM5" s="31" t="s">
        <v>100</v>
      </c>
      <c r="BN5" s="32" t="s">
        <v>102</v>
      </c>
      <c r="BO5" s="30" t="s">
        <v>99</v>
      </c>
      <c r="BP5" s="31" t="s">
        <v>100</v>
      </c>
      <c r="BQ5" s="32" t="s">
        <v>102</v>
      </c>
      <c r="BR5" s="30" t="s">
        <v>99</v>
      </c>
      <c r="BS5" s="31" t="s">
        <v>100</v>
      </c>
      <c r="BT5" s="32" t="s">
        <v>102</v>
      </c>
      <c r="BU5" s="30" t="s">
        <v>99</v>
      </c>
      <c r="BV5" s="31" t="s">
        <v>100</v>
      </c>
      <c r="BW5" s="32" t="s">
        <v>102</v>
      </c>
      <c r="BX5" s="30" t="s">
        <v>99</v>
      </c>
      <c r="BY5" s="31" t="s">
        <v>100</v>
      </c>
      <c r="BZ5" s="32" t="s">
        <v>102</v>
      </c>
      <c r="CA5" s="30" t="s">
        <v>99</v>
      </c>
      <c r="CB5" s="31" t="s">
        <v>100</v>
      </c>
      <c r="CC5" s="32" t="s">
        <v>102</v>
      </c>
      <c r="CD5" s="359" t="s">
        <v>99</v>
      </c>
      <c r="CE5" s="360" t="s">
        <v>100</v>
      </c>
      <c r="CF5" s="361" t="s">
        <v>102</v>
      </c>
      <c r="CG5" s="30" t="s">
        <v>99</v>
      </c>
      <c r="CH5" s="31" t="s">
        <v>100</v>
      </c>
      <c r="CI5" s="32" t="s">
        <v>102</v>
      </c>
      <c r="CJ5" s="30" t="s">
        <v>99</v>
      </c>
      <c r="CK5" s="31" t="s">
        <v>100</v>
      </c>
      <c r="CL5" s="32" t="s">
        <v>102</v>
      </c>
      <c r="CM5" s="30" t="s">
        <v>99</v>
      </c>
      <c r="CN5" s="31" t="s">
        <v>100</v>
      </c>
      <c r="CO5" s="32" t="s">
        <v>102</v>
      </c>
      <c r="CP5" s="356" t="s">
        <v>99</v>
      </c>
      <c r="CQ5" s="357" t="s">
        <v>100</v>
      </c>
      <c r="CR5" s="358" t="s">
        <v>102</v>
      </c>
      <c r="CS5" s="30" t="s">
        <v>99</v>
      </c>
      <c r="CT5" s="31" t="s">
        <v>100</v>
      </c>
      <c r="CU5" s="32" t="s">
        <v>102</v>
      </c>
      <c r="CV5" s="30" t="s">
        <v>99</v>
      </c>
      <c r="CW5" s="31" t="s">
        <v>100</v>
      </c>
      <c r="CX5" s="32" t="s">
        <v>102</v>
      </c>
      <c r="CY5" s="30" t="s">
        <v>99</v>
      </c>
      <c r="CZ5" s="31" t="s">
        <v>100</v>
      </c>
      <c r="DA5" s="32" t="s">
        <v>102</v>
      </c>
      <c r="DB5" s="356" t="s">
        <v>99</v>
      </c>
      <c r="DC5" s="357" t="s">
        <v>100</v>
      </c>
      <c r="DD5" s="358" t="s">
        <v>102</v>
      </c>
      <c r="DE5" s="30" t="s">
        <v>99</v>
      </c>
      <c r="DF5" s="31" t="s">
        <v>100</v>
      </c>
      <c r="DG5" s="32" t="s">
        <v>102</v>
      </c>
      <c r="DH5" s="30" t="s">
        <v>99</v>
      </c>
      <c r="DI5" s="31" t="s">
        <v>100</v>
      </c>
      <c r="DJ5" s="32" t="s">
        <v>102</v>
      </c>
      <c r="DK5" s="30" t="s">
        <v>99</v>
      </c>
      <c r="DL5" s="31" t="s">
        <v>100</v>
      </c>
      <c r="DM5" s="32" t="s">
        <v>102</v>
      </c>
      <c r="DN5" s="30" t="s">
        <v>99</v>
      </c>
      <c r="DO5" s="31" t="s">
        <v>100</v>
      </c>
      <c r="DP5" s="32" t="s">
        <v>102</v>
      </c>
      <c r="DQ5" s="30" t="s">
        <v>99</v>
      </c>
      <c r="DR5" s="31" t="s">
        <v>100</v>
      </c>
      <c r="DS5" s="32" t="s">
        <v>102</v>
      </c>
      <c r="DT5" s="30" t="s">
        <v>99</v>
      </c>
      <c r="DU5" s="31" t="s">
        <v>100</v>
      </c>
      <c r="DV5" s="32" t="s">
        <v>102</v>
      </c>
      <c r="DW5" s="356" t="s">
        <v>99</v>
      </c>
      <c r="DX5" s="357" t="s">
        <v>100</v>
      </c>
      <c r="DY5" s="358" t="s">
        <v>102</v>
      </c>
      <c r="DZ5" s="30" t="s">
        <v>99</v>
      </c>
      <c r="EA5" s="31" t="s">
        <v>100</v>
      </c>
      <c r="EB5" s="32" t="s">
        <v>102</v>
      </c>
      <c r="EC5" s="30" t="s">
        <v>99</v>
      </c>
      <c r="ED5" s="31" t="s">
        <v>100</v>
      </c>
      <c r="EE5" s="32" t="s">
        <v>102</v>
      </c>
      <c r="EF5" s="30" t="s">
        <v>99</v>
      </c>
      <c r="EG5" s="31" t="s">
        <v>100</v>
      </c>
      <c r="EH5" s="32" t="s">
        <v>102</v>
      </c>
      <c r="EI5" s="30" t="s">
        <v>99</v>
      </c>
      <c r="EJ5" s="31" t="s">
        <v>100</v>
      </c>
      <c r="EK5" s="32" t="s">
        <v>102</v>
      </c>
      <c r="EL5" s="30" t="s">
        <v>99</v>
      </c>
      <c r="EM5" s="31" t="s">
        <v>100</v>
      </c>
      <c r="EN5" s="32" t="s">
        <v>102</v>
      </c>
      <c r="EO5" s="30" t="s">
        <v>99</v>
      </c>
      <c r="EP5" s="31" t="s">
        <v>100</v>
      </c>
      <c r="EQ5" s="32" t="s">
        <v>102</v>
      </c>
      <c r="ER5" s="365"/>
      <c r="ES5" s="30" t="s">
        <v>99</v>
      </c>
      <c r="ET5" s="31" t="s">
        <v>100</v>
      </c>
      <c r="EU5" s="32" t="s">
        <v>102</v>
      </c>
      <c r="EV5" s="531"/>
      <c r="EW5" s="531"/>
    </row>
    <row r="6" spans="1:153" ht="12.75">
      <c r="A6" s="40">
        <v>43815</v>
      </c>
      <c r="B6" s="366">
        <f t="shared" ref="B6:D6" si="0">SUM(F6,I6,L6,O6,R6,X6,AG6,AJ6,AN6,AQ6,AT6,AW6,AZ6,BC6,BF6,BI6,BL6,BO6,BR6,CA6,CG6,CJ6,CM6,CP6,CV6,CY6,DE6,DH6,DK6,DN6,DQ6,DT6,DZ6,EC6,EL6)</f>
        <v>41</v>
      </c>
      <c r="C6" s="367">
        <f t="shared" si="0"/>
        <v>0</v>
      </c>
      <c r="D6" s="368">
        <f t="shared" si="0"/>
        <v>0</v>
      </c>
      <c r="E6" s="369">
        <f t="shared" ref="E6:E110" si="1">B6-C6-D6</f>
        <v>41</v>
      </c>
      <c r="F6" s="18">
        <v>0</v>
      </c>
      <c r="G6" s="18">
        <v>0</v>
      </c>
      <c r="H6" s="317">
        <v>0</v>
      </c>
      <c r="I6" s="18">
        <v>0</v>
      </c>
      <c r="J6" s="18">
        <v>0</v>
      </c>
      <c r="K6" s="317">
        <v>0</v>
      </c>
      <c r="L6" s="18">
        <v>0</v>
      </c>
      <c r="M6" s="18">
        <v>0</v>
      </c>
      <c r="N6" s="317">
        <v>0</v>
      </c>
      <c r="O6" s="18">
        <v>0</v>
      </c>
      <c r="P6" s="18">
        <v>0</v>
      </c>
      <c r="Q6" s="317">
        <v>0</v>
      </c>
      <c r="R6" s="18">
        <v>0</v>
      </c>
      <c r="S6" s="18">
        <v>0</v>
      </c>
      <c r="T6" s="317">
        <v>0</v>
      </c>
      <c r="U6" s="18">
        <v>0</v>
      </c>
      <c r="V6" s="18">
        <v>0</v>
      </c>
      <c r="W6" s="317">
        <v>0</v>
      </c>
      <c r="X6" s="370">
        <v>0</v>
      </c>
      <c r="Y6" s="341">
        <v>0</v>
      </c>
      <c r="Z6" s="342">
        <v>0</v>
      </c>
      <c r="AA6" s="370">
        <v>0</v>
      </c>
      <c r="AB6" s="341">
        <v>0</v>
      </c>
      <c r="AC6" s="342">
        <v>0</v>
      </c>
      <c r="AD6" s="370">
        <v>0</v>
      </c>
      <c r="AE6" s="341">
        <v>0</v>
      </c>
      <c r="AF6" s="342">
        <v>0</v>
      </c>
      <c r="AG6" s="18">
        <v>0</v>
      </c>
      <c r="AH6" s="18">
        <v>0</v>
      </c>
      <c r="AI6" s="317">
        <v>0</v>
      </c>
      <c r="AJ6" s="105">
        <v>41</v>
      </c>
      <c r="AK6" s="18">
        <v>0</v>
      </c>
      <c r="AL6" s="18">
        <v>0</v>
      </c>
      <c r="AM6" s="371">
        <f t="shared" ref="AM6:AM110" si="2">AJ6-AK6-AL6</f>
        <v>41</v>
      </c>
      <c r="AN6" s="18">
        <v>0</v>
      </c>
      <c r="AO6" s="372">
        <v>0</v>
      </c>
      <c r="AP6" s="317">
        <v>0</v>
      </c>
      <c r="AQ6" s="18">
        <v>0</v>
      </c>
      <c r="AR6" s="18">
        <v>0</v>
      </c>
      <c r="AS6" s="317">
        <v>0</v>
      </c>
      <c r="AT6" s="18">
        <v>0</v>
      </c>
      <c r="AU6" s="372">
        <v>0</v>
      </c>
      <c r="AV6" s="317">
        <v>0</v>
      </c>
      <c r="AW6" s="18">
        <v>0</v>
      </c>
      <c r="AX6" s="372">
        <v>0</v>
      </c>
      <c r="AY6" s="317">
        <v>0</v>
      </c>
      <c r="AZ6" s="18">
        <v>0</v>
      </c>
      <c r="BA6" s="18">
        <v>0</v>
      </c>
      <c r="BB6" s="317">
        <v>0</v>
      </c>
      <c r="BC6" s="18">
        <v>0</v>
      </c>
      <c r="BD6" s="18">
        <v>0</v>
      </c>
      <c r="BE6" s="317">
        <v>0</v>
      </c>
      <c r="BF6" s="18">
        <v>0</v>
      </c>
      <c r="BG6" s="18">
        <v>0</v>
      </c>
      <c r="BH6" s="317">
        <v>0</v>
      </c>
      <c r="BI6" s="18">
        <v>0</v>
      </c>
      <c r="BJ6" s="372">
        <v>0</v>
      </c>
      <c r="BK6" s="317">
        <v>0</v>
      </c>
      <c r="BL6" s="18">
        <v>0</v>
      </c>
      <c r="BM6" s="18">
        <v>0</v>
      </c>
      <c r="BN6" s="317">
        <v>0</v>
      </c>
      <c r="BO6" s="18">
        <v>0</v>
      </c>
      <c r="BP6" s="372">
        <v>0</v>
      </c>
      <c r="BQ6" s="317">
        <v>0</v>
      </c>
      <c r="BR6" s="15">
        <v>0</v>
      </c>
      <c r="BS6" s="15">
        <v>0</v>
      </c>
      <c r="BT6" s="17">
        <v>0</v>
      </c>
      <c r="BU6" s="15">
        <v>0</v>
      </c>
      <c r="BV6" s="15">
        <v>0</v>
      </c>
      <c r="BW6" s="17">
        <v>0</v>
      </c>
      <c r="BX6" s="15">
        <v>0</v>
      </c>
      <c r="BY6" s="15">
        <v>0</v>
      </c>
      <c r="BZ6" s="17">
        <v>0</v>
      </c>
      <c r="CA6" s="18">
        <v>0</v>
      </c>
      <c r="CB6" s="18">
        <v>0</v>
      </c>
      <c r="CC6" s="317">
        <v>0</v>
      </c>
      <c r="CD6" s="373">
        <v>0</v>
      </c>
      <c r="CE6" s="374">
        <v>0</v>
      </c>
      <c r="CF6" s="375">
        <v>0</v>
      </c>
      <c r="CG6" s="18">
        <v>0</v>
      </c>
      <c r="CH6" s="18">
        <v>0</v>
      </c>
      <c r="CI6" s="317">
        <v>0</v>
      </c>
      <c r="CJ6" s="18">
        <v>0</v>
      </c>
      <c r="CK6" s="18">
        <v>0</v>
      </c>
      <c r="CL6" s="317">
        <v>0</v>
      </c>
      <c r="CM6" s="18">
        <v>0</v>
      </c>
      <c r="CN6" s="18">
        <v>0</v>
      </c>
      <c r="CO6" s="317">
        <v>0</v>
      </c>
      <c r="CP6" s="370">
        <v>0</v>
      </c>
      <c r="CQ6" s="341">
        <v>0</v>
      </c>
      <c r="CR6" s="342">
        <v>0</v>
      </c>
      <c r="CS6" s="18">
        <v>0</v>
      </c>
      <c r="CT6" s="18">
        <v>0</v>
      </c>
      <c r="CU6" s="317">
        <v>0</v>
      </c>
      <c r="CV6" s="18">
        <v>0</v>
      </c>
      <c r="CW6" s="18">
        <v>0</v>
      </c>
      <c r="CX6" s="317">
        <v>0</v>
      </c>
      <c r="CY6" s="18">
        <v>0</v>
      </c>
      <c r="CZ6" s="18">
        <v>0</v>
      </c>
      <c r="DA6" s="317">
        <v>0</v>
      </c>
      <c r="DB6" s="370">
        <v>0</v>
      </c>
      <c r="DC6" s="341">
        <v>0</v>
      </c>
      <c r="DD6" s="342">
        <v>0</v>
      </c>
      <c r="DE6" s="18">
        <v>0</v>
      </c>
      <c r="DF6" s="18">
        <v>0</v>
      </c>
      <c r="DG6" s="317">
        <v>0</v>
      </c>
      <c r="DH6" s="18">
        <v>0</v>
      </c>
      <c r="DI6" s="18">
        <v>0</v>
      </c>
      <c r="DJ6" s="317">
        <v>0</v>
      </c>
      <c r="DK6" s="18">
        <v>0</v>
      </c>
      <c r="DL6" s="372">
        <v>0</v>
      </c>
      <c r="DM6" s="317">
        <v>0</v>
      </c>
      <c r="DN6" s="18">
        <v>0</v>
      </c>
      <c r="DO6" s="18">
        <v>0</v>
      </c>
      <c r="DP6" s="317">
        <v>0</v>
      </c>
      <c r="DQ6" s="18">
        <v>0</v>
      </c>
      <c r="DR6" s="18">
        <v>0</v>
      </c>
      <c r="DS6" s="317">
        <v>0</v>
      </c>
      <c r="DT6" s="18">
        <v>0</v>
      </c>
      <c r="DU6" s="18">
        <v>0</v>
      </c>
      <c r="DV6" s="317">
        <v>0</v>
      </c>
      <c r="DW6" s="370">
        <v>0</v>
      </c>
      <c r="DX6" s="341">
        <v>0</v>
      </c>
      <c r="DY6" s="342">
        <v>0</v>
      </c>
      <c r="DZ6" s="18">
        <v>0</v>
      </c>
      <c r="EA6" s="372">
        <v>0</v>
      </c>
      <c r="EB6" s="317">
        <v>0</v>
      </c>
      <c r="EC6" s="18">
        <v>0</v>
      </c>
      <c r="ED6" s="18">
        <v>0</v>
      </c>
      <c r="EE6" s="317">
        <v>0</v>
      </c>
      <c r="EF6" s="18">
        <v>0</v>
      </c>
      <c r="EG6" s="18">
        <v>0</v>
      </c>
      <c r="EH6" s="317">
        <v>0</v>
      </c>
      <c r="EI6" s="18">
        <v>0</v>
      </c>
      <c r="EJ6" s="18">
        <v>0</v>
      </c>
      <c r="EK6" s="317">
        <v>0</v>
      </c>
      <c r="EL6" s="18">
        <v>0</v>
      </c>
      <c r="EM6" s="18">
        <v>0</v>
      </c>
      <c r="EN6" s="317">
        <v>0</v>
      </c>
      <c r="EO6" s="18">
        <v>0</v>
      </c>
      <c r="EP6" s="18">
        <v>0</v>
      </c>
      <c r="EQ6" s="317">
        <v>0</v>
      </c>
      <c r="ER6" s="83"/>
      <c r="ES6" s="18">
        <v>0</v>
      </c>
      <c r="ET6" s="18">
        <v>0</v>
      </c>
      <c r="EU6" s="317">
        <v>0</v>
      </c>
      <c r="EV6" s="55"/>
      <c r="EW6" s="56"/>
    </row>
    <row r="7" spans="1:153" ht="12.75">
      <c r="A7" s="43">
        <v>43830</v>
      </c>
      <c r="B7" s="376">
        <f t="shared" ref="B7:D7" si="3">SUM(F7,I7,L7,O7,R7,X7,AG7,AJ7,AN7,AQ7,AT7,AW7,AZ7,BC7,BF7,BI7,BL7,BO7,BR7,CA7,CG7,CJ7,CM7,CP7,CV7,CY7,DE7,DH7,DK7,DN7,DQ7,DT7,DZ7,EC7,EL7)</f>
        <v>41</v>
      </c>
      <c r="C7" s="377">
        <f t="shared" si="3"/>
        <v>0</v>
      </c>
      <c r="D7" s="378">
        <f t="shared" si="3"/>
        <v>0</v>
      </c>
      <c r="E7" s="379">
        <f t="shared" si="1"/>
        <v>41</v>
      </c>
      <c r="F7" s="22">
        <v>0</v>
      </c>
      <c r="G7" s="22">
        <v>0</v>
      </c>
      <c r="H7" s="24">
        <v>0</v>
      </c>
      <c r="I7" s="22">
        <v>0</v>
      </c>
      <c r="J7" s="22">
        <v>0</v>
      </c>
      <c r="K7" s="24">
        <v>0</v>
      </c>
      <c r="L7" s="22">
        <v>0</v>
      </c>
      <c r="M7" s="22">
        <v>0</v>
      </c>
      <c r="N7" s="24">
        <v>0</v>
      </c>
      <c r="O7" s="22">
        <v>0</v>
      </c>
      <c r="P7" s="22">
        <v>0</v>
      </c>
      <c r="Q7" s="24">
        <v>0</v>
      </c>
      <c r="R7" s="22">
        <v>0</v>
      </c>
      <c r="S7" s="22">
        <v>0</v>
      </c>
      <c r="T7" s="24">
        <v>0</v>
      </c>
      <c r="U7" s="22">
        <v>0</v>
      </c>
      <c r="V7" s="22">
        <v>0</v>
      </c>
      <c r="W7" s="24">
        <v>0</v>
      </c>
      <c r="X7" s="380">
        <v>0</v>
      </c>
      <c r="Y7" s="381">
        <v>0</v>
      </c>
      <c r="Z7" s="382">
        <v>0</v>
      </c>
      <c r="AA7" s="380">
        <v>0</v>
      </c>
      <c r="AB7" s="381">
        <v>0</v>
      </c>
      <c r="AC7" s="382">
        <v>0</v>
      </c>
      <c r="AD7" s="380">
        <v>0</v>
      </c>
      <c r="AE7" s="381">
        <v>0</v>
      </c>
      <c r="AF7" s="382">
        <v>0</v>
      </c>
      <c r="AG7" s="22">
        <v>0</v>
      </c>
      <c r="AH7" s="22">
        <v>0</v>
      </c>
      <c r="AI7" s="24">
        <v>0</v>
      </c>
      <c r="AJ7" s="116">
        <v>41</v>
      </c>
      <c r="AK7" s="27">
        <v>0</v>
      </c>
      <c r="AL7" s="27">
        <v>0</v>
      </c>
      <c r="AM7" s="383">
        <f t="shared" si="2"/>
        <v>41</v>
      </c>
      <c r="AN7" s="22">
        <v>0</v>
      </c>
      <c r="AO7" s="96">
        <v>0</v>
      </c>
      <c r="AP7" s="24">
        <v>0</v>
      </c>
      <c r="AQ7" s="22">
        <v>0</v>
      </c>
      <c r="AR7" s="22">
        <v>0</v>
      </c>
      <c r="AS7" s="24">
        <v>0</v>
      </c>
      <c r="AT7" s="22">
        <v>0</v>
      </c>
      <c r="AU7" s="96">
        <v>0</v>
      </c>
      <c r="AV7" s="24">
        <v>0</v>
      </c>
      <c r="AW7" s="22">
        <v>0</v>
      </c>
      <c r="AX7" s="96">
        <v>0</v>
      </c>
      <c r="AY7" s="24">
        <v>0</v>
      </c>
      <c r="AZ7" s="22">
        <v>0</v>
      </c>
      <c r="BA7" s="22">
        <v>0</v>
      </c>
      <c r="BB7" s="24">
        <v>0</v>
      </c>
      <c r="BC7" s="22">
        <v>0</v>
      </c>
      <c r="BD7" s="22">
        <v>0</v>
      </c>
      <c r="BE7" s="24">
        <v>0</v>
      </c>
      <c r="BF7" s="22">
        <v>0</v>
      </c>
      <c r="BG7" s="22">
        <v>0</v>
      </c>
      <c r="BH7" s="24">
        <v>0</v>
      </c>
      <c r="BI7" s="22">
        <v>0</v>
      </c>
      <c r="BJ7" s="96">
        <v>0</v>
      </c>
      <c r="BK7" s="24">
        <v>0</v>
      </c>
      <c r="BL7" s="22">
        <v>0</v>
      </c>
      <c r="BM7" s="22">
        <v>0</v>
      </c>
      <c r="BN7" s="24">
        <v>0</v>
      </c>
      <c r="BO7" s="22">
        <v>0</v>
      </c>
      <c r="BP7" s="96">
        <v>0</v>
      </c>
      <c r="BQ7" s="24">
        <v>0</v>
      </c>
      <c r="BR7" s="22">
        <v>0</v>
      </c>
      <c r="BS7" s="22">
        <v>0</v>
      </c>
      <c r="BT7" s="24">
        <v>0</v>
      </c>
      <c r="BU7" s="22">
        <v>0</v>
      </c>
      <c r="BV7" s="22">
        <v>0</v>
      </c>
      <c r="BW7" s="24">
        <v>0</v>
      </c>
      <c r="BX7" s="22">
        <v>0</v>
      </c>
      <c r="BY7" s="22">
        <v>0</v>
      </c>
      <c r="BZ7" s="24">
        <v>0</v>
      </c>
      <c r="CA7" s="22">
        <v>0</v>
      </c>
      <c r="CB7" s="22">
        <v>0</v>
      </c>
      <c r="CC7" s="24">
        <v>0</v>
      </c>
      <c r="CD7" s="384">
        <v>0</v>
      </c>
      <c r="CE7" s="46">
        <v>0</v>
      </c>
      <c r="CF7" s="385">
        <v>0</v>
      </c>
      <c r="CG7" s="22">
        <v>0</v>
      </c>
      <c r="CH7" s="22">
        <v>0</v>
      </c>
      <c r="CI7" s="24">
        <v>0</v>
      </c>
      <c r="CJ7" s="22">
        <v>0</v>
      </c>
      <c r="CK7" s="22">
        <v>0</v>
      </c>
      <c r="CL7" s="24">
        <v>0</v>
      </c>
      <c r="CM7" s="22">
        <v>0</v>
      </c>
      <c r="CN7" s="22">
        <v>0</v>
      </c>
      <c r="CO7" s="24">
        <v>0</v>
      </c>
      <c r="CP7" s="380">
        <v>0</v>
      </c>
      <c r="CQ7" s="381">
        <v>0</v>
      </c>
      <c r="CR7" s="382">
        <v>0</v>
      </c>
      <c r="CS7" s="22">
        <v>0</v>
      </c>
      <c r="CT7" s="22">
        <v>0</v>
      </c>
      <c r="CU7" s="24">
        <v>0</v>
      </c>
      <c r="CV7" s="22">
        <v>0</v>
      </c>
      <c r="CW7" s="22">
        <v>0</v>
      </c>
      <c r="CX7" s="24">
        <v>0</v>
      </c>
      <c r="CY7" s="22">
        <v>0</v>
      </c>
      <c r="CZ7" s="22">
        <v>0</v>
      </c>
      <c r="DA7" s="24">
        <v>0</v>
      </c>
      <c r="DB7" s="380">
        <v>0</v>
      </c>
      <c r="DC7" s="381">
        <v>0</v>
      </c>
      <c r="DD7" s="382">
        <v>0</v>
      </c>
      <c r="DE7" s="22">
        <v>0</v>
      </c>
      <c r="DF7" s="22">
        <v>0</v>
      </c>
      <c r="DG7" s="24">
        <v>0</v>
      </c>
      <c r="DH7" s="22">
        <v>0</v>
      </c>
      <c r="DI7" s="22">
        <v>0</v>
      </c>
      <c r="DJ7" s="24">
        <v>0</v>
      </c>
      <c r="DK7" s="22">
        <v>0</v>
      </c>
      <c r="DL7" s="96">
        <v>0</v>
      </c>
      <c r="DM7" s="24">
        <v>0</v>
      </c>
      <c r="DN7" s="22">
        <v>0</v>
      </c>
      <c r="DO7" s="22">
        <v>0</v>
      </c>
      <c r="DP7" s="24">
        <v>0</v>
      </c>
      <c r="DQ7" s="22">
        <v>0</v>
      </c>
      <c r="DR7" s="22">
        <v>0</v>
      </c>
      <c r="DS7" s="24">
        <v>0</v>
      </c>
      <c r="DT7" s="22">
        <v>0</v>
      </c>
      <c r="DU7" s="22">
        <v>0</v>
      </c>
      <c r="DV7" s="24">
        <v>0</v>
      </c>
      <c r="DW7" s="380">
        <v>0</v>
      </c>
      <c r="DX7" s="381">
        <v>0</v>
      </c>
      <c r="DY7" s="382">
        <v>0</v>
      </c>
      <c r="DZ7" s="22">
        <v>0</v>
      </c>
      <c r="EA7" s="96">
        <v>0</v>
      </c>
      <c r="EB7" s="24">
        <v>0</v>
      </c>
      <c r="EC7" s="22">
        <v>0</v>
      </c>
      <c r="ED7" s="22">
        <v>0</v>
      </c>
      <c r="EE7" s="24">
        <v>0</v>
      </c>
      <c r="EF7" s="22">
        <v>0</v>
      </c>
      <c r="EG7" s="22">
        <v>0</v>
      </c>
      <c r="EH7" s="24">
        <v>0</v>
      </c>
      <c r="EI7" s="22">
        <v>0</v>
      </c>
      <c r="EJ7" s="22">
        <v>0</v>
      </c>
      <c r="EK7" s="24">
        <v>0</v>
      </c>
      <c r="EL7" s="22">
        <v>0</v>
      </c>
      <c r="EM7" s="22">
        <v>0</v>
      </c>
      <c r="EN7" s="24">
        <v>0</v>
      </c>
      <c r="EO7" s="22">
        <v>0</v>
      </c>
      <c r="EP7" s="22">
        <v>0</v>
      </c>
      <c r="EQ7" s="24">
        <v>0</v>
      </c>
      <c r="ER7" s="54"/>
      <c r="ES7" s="22">
        <v>0</v>
      </c>
      <c r="ET7" s="22">
        <v>0</v>
      </c>
      <c r="EU7" s="24">
        <v>0</v>
      </c>
      <c r="EV7" s="66"/>
      <c r="EW7" s="67"/>
    </row>
    <row r="8" spans="1:153" ht="12.75">
      <c r="A8" s="40">
        <v>43839</v>
      </c>
      <c r="B8" s="366">
        <f t="shared" ref="B8:D8" si="4">SUM(F8,I8,L8,O8,R8,X8,AG8,AJ8,AN8,AQ8,AT8,AW8,AZ8,BC8,BF8,BI8,BL8,BO8,BR8,CA8,CG8,CJ8,CM8,CP8,CV8,CY8,DE8,DH8,DK8,DN8,DQ8,DT8,DZ8,EC8,EL8)</f>
        <v>41</v>
      </c>
      <c r="C8" s="367">
        <f t="shared" si="4"/>
        <v>1</v>
      </c>
      <c r="D8" s="368">
        <f t="shared" si="4"/>
        <v>0</v>
      </c>
      <c r="E8" s="369">
        <f t="shared" si="1"/>
        <v>40</v>
      </c>
      <c r="F8" s="18">
        <v>0</v>
      </c>
      <c r="G8" s="18">
        <v>0</v>
      </c>
      <c r="H8" s="317">
        <v>0</v>
      </c>
      <c r="I8" s="18">
        <v>0</v>
      </c>
      <c r="J8" s="18">
        <v>0</v>
      </c>
      <c r="K8" s="317">
        <v>0</v>
      </c>
      <c r="L8" s="18">
        <v>0</v>
      </c>
      <c r="M8" s="18">
        <v>0</v>
      </c>
      <c r="N8" s="317">
        <v>0</v>
      </c>
      <c r="O8" s="18">
        <v>0</v>
      </c>
      <c r="P8" s="18">
        <v>0</v>
      </c>
      <c r="Q8" s="317">
        <v>0</v>
      </c>
      <c r="R8" s="18">
        <v>0</v>
      </c>
      <c r="S8" s="18">
        <v>0</v>
      </c>
      <c r="T8" s="317">
        <v>0</v>
      </c>
      <c r="U8" s="18">
        <v>0</v>
      </c>
      <c r="V8" s="18">
        <v>0</v>
      </c>
      <c r="W8" s="317">
        <v>0</v>
      </c>
      <c r="X8" s="370">
        <v>0</v>
      </c>
      <c r="Y8" s="341">
        <v>0</v>
      </c>
      <c r="Z8" s="342">
        <v>0</v>
      </c>
      <c r="AA8" s="370">
        <v>0</v>
      </c>
      <c r="AB8" s="341">
        <v>0</v>
      </c>
      <c r="AC8" s="342">
        <v>0</v>
      </c>
      <c r="AD8" s="370">
        <v>0</v>
      </c>
      <c r="AE8" s="341">
        <v>0</v>
      </c>
      <c r="AF8" s="342">
        <v>0</v>
      </c>
      <c r="AG8" s="18">
        <v>0</v>
      </c>
      <c r="AH8" s="18">
        <v>0</v>
      </c>
      <c r="AI8" s="317">
        <v>0</v>
      </c>
      <c r="AJ8" s="105">
        <v>41</v>
      </c>
      <c r="AK8" s="139">
        <v>1</v>
      </c>
      <c r="AL8" s="18">
        <v>0</v>
      </c>
      <c r="AM8" s="371">
        <f t="shared" si="2"/>
        <v>40</v>
      </c>
      <c r="AN8" s="18">
        <v>0</v>
      </c>
      <c r="AO8" s="372">
        <v>0</v>
      </c>
      <c r="AP8" s="317">
        <v>0</v>
      </c>
      <c r="AQ8" s="18">
        <v>0</v>
      </c>
      <c r="AR8" s="18">
        <v>0</v>
      </c>
      <c r="AS8" s="317">
        <v>0</v>
      </c>
      <c r="AT8" s="18">
        <v>0</v>
      </c>
      <c r="AU8" s="372">
        <v>0</v>
      </c>
      <c r="AV8" s="317">
        <v>0</v>
      </c>
      <c r="AW8" s="18">
        <v>0</v>
      </c>
      <c r="AX8" s="372">
        <v>0</v>
      </c>
      <c r="AY8" s="317">
        <v>0</v>
      </c>
      <c r="AZ8" s="18">
        <v>0</v>
      </c>
      <c r="BA8" s="18">
        <v>0</v>
      </c>
      <c r="BB8" s="317">
        <v>0</v>
      </c>
      <c r="BC8" s="18">
        <v>0</v>
      </c>
      <c r="BD8" s="18">
        <v>0</v>
      </c>
      <c r="BE8" s="317">
        <v>0</v>
      </c>
      <c r="BF8" s="18">
        <v>0</v>
      </c>
      <c r="BG8" s="18">
        <v>0</v>
      </c>
      <c r="BH8" s="317">
        <v>0</v>
      </c>
      <c r="BI8" s="18">
        <v>0</v>
      </c>
      <c r="BJ8" s="372">
        <v>0</v>
      </c>
      <c r="BK8" s="317">
        <v>0</v>
      </c>
      <c r="BL8" s="18">
        <v>0</v>
      </c>
      <c r="BM8" s="18">
        <v>0</v>
      </c>
      <c r="BN8" s="317">
        <v>0</v>
      </c>
      <c r="BO8" s="18">
        <v>0</v>
      </c>
      <c r="BP8" s="372">
        <v>0</v>
      </c>
      <c r="BQ8" s="317">
        <v>0</v>
      </c>
      <c r="BR8" s="15">
        <v>0</v>
      </c>
      <c r="BS8" s="15">
        <v>0</v>
      </c>
      <c r="BT8" s="17">
        <v>0</v>
      </c>
      <c r="BU8" s="15">
        <v>0</v>
      </c>
      <c r="BV8" s="15">
        <v>0</v>
      </c>
      <c r="BW8" s="17">
        <v>0</v>
      </c>
      <c r="BX8" s="15">
        <v>0</v>
      </c>
      <c r="BY8" s="15">
        <v>0</v>
      </c>
      <c r="BZ8" s="17">
        <v>0</v>
      </c>
      <c r="CA8" s="18">
        <v>0</v>
      </c>
      <c r="CB8" s="18">
        <v>0</v>
      </c>
      <c r="CC8" s="317">
        <v>0</v>
      </c>
      <c r="CD8" s="373">
        <v>0</v>
      </c>
      <c r="CE8" s="374">
        <v>0</v>
      </c>
      <c r="CF8" s="375">
        <v>0</v>
      </c>
      <c r="CG8" s="18">
        <v>0</v>
      </c>
      <c r="CH8" s="18">
        <v>0</v>
      </c>
      <c r="CI8" s="317">
        <v>0</v>
      </c>
      <c r="CJ8" s="18">
        <v>0</v>
      </c>
      <c r="CK8" s="18">
        <v>0</v>
      </c>
      <c r="CL8" s="317">
        <v>0</v>
      </c>
      <c r="CM8" s="18">
        <v>0</v>
      </c>
      <c r="CN8" s="18">
        <v>0</v>
      </c>
      <c r="CO8" s="317">
        <v>0</v>
      </c>
      <c r="CP8" s="370">
        <v>0</v>
      </c>
      <c r="CQ8" s="341">
        <v>0</v>
      </c>
      <c r="CR8" s="342">
        <v>0</v>
      </c>
      <c r="CS8" s="18">
        <v>0</v>
      </c>
      <c r="CT8" s="18">
        <v>0</v>
      </c>
      <c r="CU8" s="317">
        <v>0</v>
      </c>
      <c r="CV8" s="18">
        <v>0</v>
      </c>
      <c r="CW8" s="18">
        <v>0</v>
      </c>
      <c r="CX8" s="317">
        <v>0</v>
      </c>
      <c r="CY8" s="18">
        <v>0</v>
      </c>
      <c r="CZ8" s="18">
        <v>0</v>
      </c>
      <c r="DA8" s="317">
        <v>0</v>
      </c>
      <c r="DB8" s="370">
        <v>0</v>
      </c>
      <c r="DC8" s="341">
        <v>0</v>
      </c>
      <c r="DD8" s="342">
        <v>0</v>
      </c>
      <c r="DE8" s="18">
        <v>0</v>
      </c>
      <c r="DF8" s="18">
        <v>0</v>
      </c>
      <c r="DG8" s="317">
        <v>0</v>
      </c>
      <c r="DH8" s="18">
        <v>0</v>
      </c>
      <c r="DI8" s="18">
        <v>0</v>
      </c>
      <c r="DJ8" s="317">
        <v>0</v>
      </c>
      <c r="DK8" s="18">
        <v>0</v>
      </c>
      <c r="DL8" s="372">
        <v>0</v>
      </c>
      <c r="DM8" s="317">
        <v>0</v>
      </c>
      <c r="DN8" s="18">
        <v>0</v>
      </c>
      <c r="DO8" s="18">
        <v>0</v>
      </c>
      <c r="DP8" s="317">
        <v>0</v>
      </c>
      <c r="DQ8" s="18">
        <v>0</v>
      </c>
      <c r="DR8" s="18">
        <v>0</v>
      </c>
      <c r="DS8" s="317">
        <v>0</v>
      </c>
      <c r="DT8" s="18">
        <v>0</v>
      </c>
      <c r="DU8" s="18">
        <v>0</v>
      </c>
      <c r="DV8" s="317">
        <v>0</v>
      </c>
      <c r="DW8" s="370">
        <v>0</v>
      </c>
      <c r="DX8" s="341">
        <v>0</v>
      </c>
      <c r="DY8" s="342">
        <v>0</v>
      </c>
      <c r="DZ8" s="18">
        <v>0</v>
      </c>
      <c r="EA8" s="372">
        <v>0</v>
      </c>
      <c r="EB8" s="317">
        <v>0</v>
      </c>
      <c r="EC8" s="18">
        <v>0</v>
      </c>
      <c r="ED8" s="18">
        <v>0</v>
      </c>
      <c r="EE8" s="317">
        <v>0</v>
      </c>
      <c r="EF8" s="18">
        <v>0</v>
      </c>
      <c r="EG8" s="18">
        <v>0</v>
      </c>
      <c r="EH8" s="317">
        <v>0</v>
      </c>
      <c r="EI8" s="18">
        <v>0</v>
      </c>
      <c r="EJ8" s="18">
        <v>0</v>
      </c>
      <c r="EK8" s="317">
        <v>0</v>
      </c>
      <c r="EL8" s="18">
        <v>0</v>
      </c>
      <c r="EM8" s="18">
        <v>0</v>
      </c>
      <c r="EN8" s="317">
        <v>0</v>
      </c>
      <c r="EO8" s="18">
        <v>0</v>
      </c>
      <c r="EP8" s="18">
        <v>0</v>
      </c>
      <c r="EQ8" s="317">
        <v>0</v>
      </c>
      <c r="ER8" s="83"/>
      <c r="ES8" s="18">
        <v>0</v>
      </c>
      <c r="ET8" s="18">
        <v>0</v>
      </c>
      <c r="EU8" s="317">
        <v>0</v>
      </c>
      <c r="EV8" s="651" t="s">
        <v>186</v>
      </c>
      <c r="EW8" s="656" t="s">
        <v>187</v>
      </c>
    </row>
    <row r="9" spans="1:153" ht="12.75">
      <c r="A9" s="40">
        <v>43840</v>
      </c>
      <c r="B9" s="366">
        <f t="shared" ref="B9:D9" si="5">SUM(F9,I9,L9,O9,R9,X9,AG9,AJ9,AN9,AQ9,AT9,AW9,AZ9,BC9,BF9,BI9,BL9,BO9,BR9,CA9,CG9,CJ9,CM9,CP9,CV9,CY9,DE9,DH9,DK9,DN9,DQ9,DT9,DZ9,EC9,EL9)</f>
        <v>41</v>
      </c>
      <c r="C9" s="367">
        <f t="shared" si="5"/>
        <v>1</v>
      </c>
      <c r="D9" s="368">
        <f t="shared" si="5"/>
        <v>0</v>
      </c>
      <c r="E9" s="369">
        <f t="shared" si="1"/>
        <v>40</v>
      </c>
      <c r="F9" s="18">
        <v>0</v>
      </c>
      <c r="G9" s="18">
        <v>0</v>
      </c>
      <c r="H9" s="317">
        <v>0</v>
      </c>
      <c r="I9" s="18">
        <v>0</v>
      </c>
      <c r="J9" s="18">
        <v>0</v>
      </c>
      <c r="K9" s="317">
        <v>0</v>
      </c>
      <c r="L9" s="18">
        <v>0</v>
      </c>
      <c r="M9" s="18">
        <v>0</v>
      </c>
      <c r="N9" s="317">
        <v>0</v>
      </c>
      <c r="O9" s="18">
        <v>0</v>
      </c>
      <c r="P9" s="18">
        <v>0</v>
      </c>
      <c r="Q9" s="317">
        <v>0</v>
      </c>
      <c r="R9" s="18">
        <v>0</v>
      </c>
      <c r="S9" s="18">
        <v>0</v>
      </c>
      <c r="T9" s="317">
        <v>0</v>
      </c>
      <c r="U9" s="18">
        <v>0</v>
      </c>
      <c r="V9" s="18">
        <v>0</v>
      </c>
      <c r="W9" s="317">
        <v>0</v>
      </c>
      <c r="X9" s="370">
        <v>0</v>
      </c>
      <c r="Y9" s="341">
        <v>0</v>
      </c>
      <c r="Z9" s="342">
        <v>0</v>
      </c>
      <c r="AA9" s="370">
        <v>0</v>
      </c>
      <c r="AB9" s="341">
        <v>0</v>
      </c>
      <c r="AC9" s="342">
        <v>0</v>
      </c>
      <c r="AD9" s="370">
        <v>0</v>
      </c>
      <c r="AE9" s="341">
        <v>0</v>
      </c>
      <c r="AF9" s="342">
        <v>0</v>
      </c>
      <c r="AG9" s="18">
        <v>0</v>
      </c>
      <c r="AH9" s="18">
        <v>0</v>
      </c>
      <c r="AI9" s="317">
        <v>0</v>
      </c>
      <c r="AJ9" s="105">
        <v>41</v>
      </c>
      <c r="AK9" s="139">
        <v>1</v>
      </c>
      <c r="AL9" s="18">
        <v>0</v>
      </c>
      <c r="AM9" s="371">
        <f t="shared" si="2"/>
        <v>40</v>
      </c>
      <c r="AN9" s="18">
        <v>0</v>
      </c>
      <c r="AO9" s="372">
        <v>0</v>
      </c>
      <c r="AP9" s="317">
        <v>0</v>
      </c>
      <c r="AQ9" s="18">
        <v>0</v>
      </c>
      <c r="AR9" s="18">
        <v>0</v>
      </c>
      <c r="AS9" s="317">
        <v>0</v>
      </c>
      <c r="AT9" s="18">
        <v>0</v>
      </c>
      <c r="AU9" s="372">
        <v>0</v>
      </c>
      <c r="AV9" s="317">
        <v>0</v>
      </c>
      <c r="AW9" s="18">
        <v>0</v>
      </c>
      <c r="AX9" s="372">
        <v>0</v>
      </c>
      <c r="AY9" s="317">
        <v>0</v>
      </c>
      <c r="AZ9" s="18">
        <v>0</v>
      </c>
      <c r="BA9" s="18">
        <v>0</v>
      </c>
      <c r="BB9" s="317">
        <v>0</v>
      </c>
      <c r="BC9" s="18">
        <v>0</v>
      </c>
      <c r="BD9" s="18">
        <v>0</v>
      </c>
      <c r="BE9" s="317">
        <v>0</v>
      </c>
      <c r="BF9" s="18">
        <v>0</v>
      </c>
      <c r="BG9" s="18">
        <v>0</v>
      </c>
      <c r="BH9" s="317">
        <v>0</v>
      </c>
      <c r="BI9" s="18">
        <v>0</v>
      </c>
      <c r="BJ9" s="372">
        <v>0</v>
      </c>
      <c r="BK9" s="317">
        <v>0</v>
      </c>
      <c r="BL9" s="18">
        <v>0</v>
      </c>
      <c r="BM9" s="18">
        <v>0</v>
      </c>
      <c r="BN9" s="317">
        <v>0</v>
      </c>
      <c r="BO9" s="18">
        <v>0</v>
      </c>
      <c r="BP9" s="372">
        <v>0</v>
      </c>
      <c r="BQ9" s="317">
        <v>0</v>
      </c>
      <c r="BR9" s="15">
        <v>0</v>
      </c>
      <c r="BS9" s="15">
        <v>0</v>
      </c>
      <c r="BT9" s="17">
        <v>0</v>
      </c>
      <c r="BU9" s="15">
        <v>0</v>
      </c>
      <c r="BV9" s="15">
        <v>0</v>
      </c>
      <c r="BW9" s="17">
        <v>0</v>
      </c>
      <c r="BX9" s="15">
        <v>0</v>
      </c>
      <c r="BY9" s="15">
        <v>0</v>
      </c>
      <c r="BZ9" s="17">
        <v>0</v>
      </c>
      <c r="CA9" s="18">
        <v>0</v>
      </c>
      <c r="CB9" s="18">
        <v>0</v>
      </c>
      <c r="CC9" s="317">
        <v>0</v>
      </c>
      <c r="CD9" s="386">
        <v>0</v>
      </c>
      <c r="CE9" s="387">
        <v>0</v>
      </c>
      <c r="CF9" s="388">
        <v>0</v>
      </c>
      <c r="CG9" s="18">
        <v>0</v>
      </c>
      <c r="CH9" s="18">
        <v>0</v>
      </c>
      <c r="CI9" s="317">
        <v>0</v>
      </c>
      <c r="CJ9" s="18">
        <v>0</v>
      </c>
      <c r="CK9" s="18">
        <v>0</v>
      </c>
      <c r="CL9" s="317">
        <v>0</v>
      </c>
      <c r="CM9" s="18">
        <v>0</v>
      </c>
      <c r="CN9" s="18">
        <v>0</v>
      </c>
      <c r="CO9" s="317">
        <v>0</v>
      </c>
      <c r="CP9" s="370">
        <v>0</v>
      </c>
      <c r="CQ9" s="341">
        <v>0</v>
      </c>
      <c r="CR9" s="342">
        <v>0</v>
      </c>
      <c r="CS9" s="18">
        <v>0</v>
      </c>
      <c r="CT9" s="18">
        <v>0</v>
      </c>
      <c r="CU9" s="317">
        <v>0</v>
      </c>
      <c r="CV9" s="18">
        <v>0</v>
      </c>
      <c r="CW9" s="18">
        <v>0</v>
      </c>
      <c r="CX9" s="317">
        <v>0</v>
      </c>
      <c r="CY9" s="18">
        <v>0</v>
      </c>
      <c r="CZ9" s="18">
        <v>0</v>
      </c>
      <c r="DA9" s="317">
        <v>0</v>
      </c>
      <c r="DB9" s="370">
        <v>0</v>
      </c>
      <c r="DC9" s="341">
        <v>0</v>
      </c>
      <c r="DD9" s="342">
        <v>0</v>
      </c>
      <c r="DE9" s="18">
        <v>0</v>
      </c>
      <c r="DF9" s="18">
        <v>0</v>
      </c>
      <c r="DG9" s="317">
        <v>0</v>
      </c>
      <c r="DH9" s="18">
        <v>0</v>
      </c>
      <c r="DI9" s="18">
        <v>0</v>
      </c>
      <c r="DJ9" s="317">
        <v>0</v>
      </c>
      <c r="DK9" s="18">
        <v>0</v>
      </c>
      <c r="DL9" s="372">
        <v>0</v>
      </c>
      <c r="DM9" s="317">
        <v>0</v>
      </c>
      <c r="DN9" s="18">
        <v>0</v>
      </c>
      <c r="DO9" s="18">
        <v>0</v>
      </c>
      <c r="DP9" s="317">
        <v>0</v>
      </c>
      <c r="DQ9" s="18">
        <v>0</v>
      </c>
      <c r="DR9" s="18">
        <v>0</v>
      </c>
      <c r="DS9" s="317">
        <v>0</v>
      </c>
      <c r="DT9" s="18">
        <v>0</v>
      </c>
      <c r="DU9" s="18">
        <v>0</v>
      </c>
      <c r="DV9" s="317">
        <v>0</v>
      </c>
      <c r="DW9" s="370">
        <v>0</v>
      </c>
      <c r="DX9" s="341">
        <v>0</v>
      </c>
      <c r="DY9" s="342">
        <v>0</v>
      </c>
      <c r="DZ9" s="18">
        <v>0</v>
      </c>
      <c r="EA9" s="372">
        <v>0</v>
      </c>
      <c r="EB9" s="317">
        <v>0</v>
      </c>
      <c r="EC9" s="18">
        <v>0</v>
      </c>
      <c r="ED9" s="18">
        <v>0</v>
      </c>
      <c r="EE9" s="317">
        <v>0</v>
      </c>
      <c r="EF9" s="18">
        <v>0</v>
      </c>
      <c r="EG9" s="18">
        <v>0</v>
      </c>
      <c r="EH9" s="317">
        <v>0</v>
      </c>
      <c r="EI9" s="18">
        <v>0</v>
      </c>
      <c r="EJ9" s="18">
        <v>0</v>
      </c>
      <c r="EK9" s="317">
        <v>0</v>
      </c>
      <c r="EL9" s="18">
        <v>0</v>
      </c>
      <c r="EM9" s="18">
        <v>0</v>
      </c>
      <c r="EN9" s="317">
        <v>0</v>
      </c>
      <c r="EO9" s="18">
        <v>0</v>
      </c>
      <c r="EP9" s="18">
        <v>0</v>
      </c>
      <c r="EQ9" s="317">
        <v>0</v>
      </c>
      <c r="ER9" s="83"/>
      <c r="ES9" s="18">
        <v>0</v>
      </c>
      <c r="ET9" s="18">
        <v>0</v>
      </c>
      <c r="EU9" s="317">
        <v>0</v>
      </c>
      <c r="EV9" s="531"/>
      <c r="EW9" s="531"/>
    </row>
    <row r="10" spans="1:153" ht="12.75">
      <c r="A10" s="40">
        <v>43841</v>
      </c>
      <c r="B10" s="366">
        <f t="shared" ref="B10:D10" si="6">SUM(F10,I10,L10,O10,R10,X10,AG10,AJ10,AN10,AQ10,AT10,AW10,AZ10,BC10,BF10,BI10,BL10,BO10,BR10,CA10,CG10,CJ10,CM10,CP10,CV10,CY10,DE10,DH10,DK10,DN10,DQ10,DT10,DZ10,EC10,EL10)</f>
        <v>41</v>
      </c>
      <c r="C10" s="367">
        <f t="shared" si="6"/>
        <v>1</v>
      </c>
      <c r="D10" s="368">
        <f t="shared" si="6"/>
        <v>0</v>
      </c>
      <c r="E10" s="369">
        <f t="shared" si="1"/>
        <v>40</v>
      </c>
      <c r="F10" s="18">
        <v>0</v>
      </c>
      <c r="G10" s="18">
        <v>0</v>
      </c>
      <c r="H10" s="317">
        <v>0</v>
      </c>
      <c r="I10" s="18">
        <v>0</v>
      </c>
      <c r="J10" s="18">
        <v>0</v>
      </c>
      <c r="K10" s="317">
        <v>0</v>
      </c>
      <c r="L10" s="18">
        <v>0</v>
      </c>
      <c r="M10" s="18">
        <v>0</v>
      </c>
      <c r="N10" s="317">
        <v>0</v>
      </c>
      <c r="O10" s="18">
        <v>0</v>
      </c>
      <c r="P10" s="18">
        <v>0</v>
      </c>
      <c r="Q10" s="317">
        <v>0</v>
      </c>
      <c r="R10" s="18">
        <v>0</v>
      </c>
      <c r="S10" s="18">
        <v>0</v>
      </c>
      <c r="T10" s="317">
        <v>0</v>
      </c>
      <c r="U10" s="18">
        <v>0</v>
      </c>
      <c r="V10" s="18">
        <v>0</v>
      </c>
      <c r="W10" s="317">
        <v>0</v>
      </c>
      <c r="X10" s="370">
        <v>0</v>
      </c>
      <c r="Y10" s="341">
        <v>0</v>
      </c>
      <c r="Z10" s="342">
        <v>0</v>
      </c>
      <c r="AA10" s="370">
        <v>0</v>
      </c>
      <c r="AB10" s="341">
        <v>0</v>
      </c>
      <c r="AC10" s="342">
        <v>0</v>
      </c>
      <c r="AD10" s="370">
        <v>0</v>
      </c>
      <c r="AE10" s="341">
        <v>0</v>
      </c>
      <c r="AF10" s="342">
        <v>0</v>
      </c>
      <c r="AG10" s="18">
        <v>0</v>
      </c>
      <c r="AH10" s="18">
        <v>0</v>
      </c>
      <c r="AI10" s="317">
        <v>0</v>
      </c>
      <c r="AJ10" s="105">
        <v>41</v>
      </c>
      <c r="AK10" s="139">
        <v>1</v>
      </c>
      <c r="AL10" s="18">
        <v>0</v>
      </c>
      <c r="AM10" s="371">
        <f t="shared" si="2"/>
        <v>40</v>
      </c>
      <c r="AN10" s="18">
        <v>0</v>
      </c>
      <c r="AO10" s="372">
        <v>0</v>
      </c>
      <c r="AP10" s="317">
        <v>0</v>
      </c>
      <c r="AQ10" s="18">
        <v>0</v>
      </c>
      <c r="AR10" s="18">
        <v>0</v>
      </c>
      <c r="AS10" s="317">
        <v>0</v>
      </c>
      <c r="AT10" s="18">
        <v>0</v>
      </c>
      <c r="AU10" s="372">
        <v>0</v>
      </c>
      <c r="AV10" s="317">
        <v>0</v>
      </c>
      <c r="AW10" s="18">
        <v>0</v>
      </c>
      <c r="AX10" s="372">
        <v>0</v>
      </c>
      <c r="AY10" s="317">
        <v>0</v>
      </c>
      <c r="AZ10" s="18">
        <v>0</v>
      </c>
      <c r="BA10" s="18">
        <v>0</v>
      </c>
      <c r="BB10" s="317">
        <v>0</v>
      </c>
      <c r="BC10" s="18">
        <v>0</v>
      </c>
      <c r="BD10" s="18">
        <v>0</v>
      </c>
      <c r="BE10" s="317">
        <v>0</v>
      </c>
      <c r="BF10" s="18">
        <v>0</v>
      </c>
      <c r="BG10" s="18">
        <v>0</v>
      </c>
      <c r="BH10" s="317">
        <v>0</v>
      </c>
      <c r="BI10" s="18">
        <v>0</v>
      </c>
      <c r="BJ10" s="372">
        <v>0</v>
      </c>
      <c r="BK10" s="317">
        <v>0</v>
      </c>
      <c r="BL10" s="18">
        <v>0</v>
      </c>
      <c r="BM10" s="18">
        <v>0</v>
      </c>
      <c r="BN10" s="317">
        <v>0</v>
      </c>
      <c r="BO10" s="18">
        <v>0</v>
      </c>
      <c r="BP10" s="372">
        <v>0</v>
      </c>
      <c r="BQ10" s="317">
        <v>0</v>
      </c>
      <c r="BR10" s="15">
        <v>0</v>
      </c>
      <c r="BS10" s="15">
        <v>0</v>
      </c>
      <c r="BT10" s="17">
        <v>0</v>
      </c>
      <c r="BU10" s="15">
        <v>0</v>
      </c>
      <c r="BV10" s="15">
        <v>0</v>
      </c>
      <c r="BW10" s="17">
        <v>0</v>
      </c>
      <c r="BX10" s="15">
        <v>0</v>
      </c>
      <c r="BY10" s="15">
        <v>0</v>
      </c>
      <c r="BZ10" s="17">
        <v>0</v>
      </c>
      <c r="CA10" s="18">
        <v>0</v>
      </c>
      <c r="CB10" s="18">
        <v>0</v>
      </c>
      <c r="CC10" s="317">
        <v>0</v>
      </c>
      <c r="CD10" s="373">
        <v>0</v>
      </c>
      <c r="CE10" s="374">
        <v>0</v>
      </c>
      <c r="CF10" s="375">
        <v>0</v>
      </c>
      <c r="CG10" s="18">
        <v>0</v>
      </c>
      <c r="CH10" s="18">
        <v>0</v>
      </c>
      <c r="CI10" s="317">
        <v>0</v>
      </c>
      <c r="CJ10" s="18">
        <v>0</v>
      </c>
      <c r="CK10" s="18">
        <v>0</v>
      </c>
      <c r="CL10" s="317">
        <v>0</v>
      </c>
      <c r="CM10" s="18">
        <v>0</v>
      </c>
      <c r="CN10" s="18">
        <v>0</v>
      </c>
      <c r="CO10" s="317">
        <v>0</v>
      </c>
      <c r="CP10" s="370">
        <v>0</v>
      </c>
      <c r="CQ10" s="341">
        <v>0</v>
      </c>
      <c r="CR10" s="342">
        <v>0</v>
      </c>
      <c r="CS10" s="18">
        <v>0</v>
      </c>
      <c r="CT10" s="18">
        <v>0</v>
      </c>
      <c r="CU10" s="317">
        <v>0</v>
      </c>
      <c r="CV10" s="18">
        <v>0</v>
      </c>
      <c r="CW10" s="18">
        <v>0</v>
      </c>
      <c r="CX10" s="317">
        <v>0</v>
      </c>
      <c r="CY10" s="18">
        <v>0</v>
      </c>
      <c r="CZ10" s="18">
        <v>0</v>
      </c>
      <c r="DA10" s="317">
        <v>0</v>
      </c>
      <c r="DB10" s="370">
        <v>0</v>
      </c>
      <c r="DC10" s="341">
        <v>0</v>
      </c>
      <c r="DD10" s="342">
        <v>0</v>
      </c>
      <c r="DE10" s="18">
        <v>0</v>
      </c>
      <c r="DF10" s="18">
        <v>0</v>
      </c>
      <c r="DG10" s="317">
        <v>0</v>
      </c>
      <c r="DH10" s="18">
        <v>0</v>
      </c>
      <c r="DI10" s="18">
        <v>0</v>
      </c>
      <c r="DJ10" s="317">
        <v>0</v>
      </c>
      <c r="DK10" s="18">
        <v>0</v>
      </c>
      <c r="DL10" s="372">
        <v>0</v>
      </c>
      <c r="DM10" s="317">
        <v>0</v>
      </c>
      <c r="DN10" s="18">
        <v>0</v>
      </c>
      <c r="DO10" s="18">
        <v>0</v>
      </c>
      <c r="DP10" s="317">
        <v>0</v>
      </c>
      <c r="DQ10" s="18">
        <v>0</v>
      </c>
      <c r="DR10" s="18">
        <v>0</v>
      </c>
      <c r="DS10" s="317">
        <v>0</v>
      </c>
      <c r="DT10" s="18">
        <v>0</v>
      </c>
      <c r="DU10" s="18">
        <v>0</v>
      </c>
      <c r="DV10" s="317">
        <v>0</v>
      </c>
      <c r="DW10" s="370">
        <v>0</v>
      </c>
      <c r="DX10" s="341">
        <v>0</v>
      </c>
      <c r="DY10" s="342">
        <v>0</v>
      </c>
      <c r="DZ10" s="18">
        <v>0</v>
      </c>
      <c r="EA10" s="372">
        <v>0</v>
      </c>
      <c r="EB10" s="317">
        <v>0</v>
      </c>
      <c r="EC10" s="18">
        <v>0</v>
      </c>
      <c r="ED10" s="18">
        <v>0</v>
      </c>
      <c r="EE10" s="317">
        <v>0</v>
      </c>
      <c r="EF10" s="18">
        <v>0</v>
      </c>
      <c r="EG10" s="18">
        <v>0</v>
      </c>
      <c r="EH10" s="317">
        <v>0</v>
      </c>
      <c r="EI10" s="18">
        <v>0</v>
      </c>
      <c r="EJ10" s="18">
        <v>0</v>
      </c>
      <c r="EK10" s="317">
        <v>0</v>
      </c>
      <c r="EL10" s="18">
        <v>0</v>
      </c>
      <c r="EM10" s="18">
        <v>0</v>
      </c>
      <c r="EN10" s="317">
        <v>0</v>
      </c>
      <c r="EO10" s="18">
        <v>0</v>
      </c>
      <c r="EP10" s="18">
        <v>0</v>
      </c>
      <c r="EQ10" s="317">
        <v>0</v>
      </c>
      <c r="ER10" s="83"/>
      <c r="ES10" s="18">
        <v>0</v>
      </c>
      <c r="ET10" s="18">
        <v>0</v>
      </c>
      <c r="EU10" s="317">
        <v>0</v>
      </c>
      <c r="EV10" s="531"/>
      <c r="EW10" s="531"/>
    </row>
    <row r="11" spans="1:153" ht="12.75">
      <c r="A11" s="40">
        <v>43842</v>
      </c>
      <c r="B11" s="366">
        <f t="shared" ref="B11:D11" si="7">SUM(F11,I11,L11,O11,R11,X11,AG11,AJ11,AN11,AQ11,AT11,AW11,AZ11,BC11,BF11,BI11,BL11,BO11,BR11,CA11,CG11,CJ11,CM11,CP11,CV11,CY11,DE11,DH11,DK11,DN11,DQ11,DT11,DZ11,EC11,EL11)</f>
        <v>41</v>
      </c>
      <c r="C11" s="367">
        <f t="shared" si="7"/>
        <v>1</v>
      </c>
      <c r="D11" s="368">
        <f t="shared" si="7"/>
        <v>0</v>
      </c>
      <c r="E11" s="369">
        <f t="shared" si="1"/>
        <v>40</v>
      </c>
      <c r="F11" s="18">
        <v>0</v>
      </c>
      <c r="G11" s="18">
        <v>0</v>
      </c>
      <c r="H11" s="317">
        <v>0</v>
      </c>
      <c r="I11" s="18">
        <v>0</v>
      </c>
      <c r="J11" s="18">
        <v>0</v>
      </c>
      <c r="K11" s="317">
        <v>0</v>
      </c>
      <c r="L11" s="18">
        <v>0</v>
      </c>
      <c r="M11" s="18">
        <v>0</v>
      </c>
      <c r="N11" s="317">
        <v>0</v>
      </c>
      <c r="O11" s="18">
        <v>0</v>
      </c>
      <c r="P11" s="18">
        <v>0</v>
      </c>
      <c r="Q11" s="317">
        <v>0</v>
      </c>
      <c r="R11" s="18">
        <v>0</v>
      </c>
      <c r="S11" s="18">
        <v>0</v>
      </c>
      <c r="T11" s="317">
        <v>0</v>
      </c>
      <c r="U11" s="18">
        <v>0</v>
      </c>
      <c r="V11" s="18">
        <v>0</v>
      </c>
      <c r="W11" s="317">
        <v>0</v>
      </c>
      <c r="X11" s="370">
        <v>0</v>
      </c>
      <c r="Y11" s="341">
        <v>0</v>
      </c>
      <c r="Z11" s="342">
        <v>0</v>
      </c>
      <c r="AA11" s="370">
        <v>0</v>
      </c>
      <c r="AB11" s="341">
        <v>0</v>
      </c>
      <c r="AC11" s="342">
        <v>0</v>
      </c>
      <c r="AD11" s="370">
        <v>0</v>
      </c>
      <c r="AE11" s="341">
        <v>0</v>
      </c>
      <c r="AF11" s="342">
        <v>0</v>
      </c>
      <c r="AG11" s="18">
        <v>0</v>
      </c>
      <c r="AH11" s="18">
        <v>0</v>
      </c>
      <c r="AI11" s="317">
        <v>0</v>
      </c>
      <c r="AJ11" s="105">
        <v>41</v>
      </c>
      <c r="AK11" s="139">
        <v>1</v>
      </c>
      <c r="AL11" s="18">
        <v>0</v>
      </c>
      <c r="AM11" s="371">
        <f t="shared" si="2"/>
        <v>40</v>
      </c>
      <c r="AN11" s="18">
        <v>0</v>
      </c>
      <c r="AO11" s="372">
        <v>0</v>
      </c>
      <c r="AP11" s="317">
        <v>0</v>
      </c>
      <c r="AQ11" s="18">
        <v>0</v>
      </c>
      <c r="AR11" s="18">
        <v>0</v>
      </c>
      <c r="AS11" s="317">
        <v>0</v>
      </c>
      <c r="AT11" s="18">
        <v>0</v>
      </c>
      <c r="AU11" s="372">
        <v>0</v>
      </c>
      <c r="AV11" s="317">
        <v>0</v>
      </c>
      <c r="AW11" s="18">
        <v>0</v>
      </c>
      <c r="AX11" s="372">
        <v>0</v>
      </c>
      <c r="AY11" s="317">
        <v>0</v>
      </c>
      <c r="AZ11" s="18">
        <v>0</v>
      </c>
      <c r="BA11" s="18">
        <v>0</v>
      </c>
      <c r="BB11" s="317">
        <v>0</v>
      </c>
      <c r="BC11" s="18">
        <v>0</v>
      </c>
      <c r="BD11" s="18">
        <v>0</v>
      </c>
      <c r="BE11" s="317">
        <v>0</v>
      </c>
      <c r="BF11" s="18">
        <v>0</v>
      </c>
      <c r="BG11" s="18">
        <v>0</v>
      </c>
      <c r="BH11" s="317">
        <v>0</v>
      </c>
      <c r="BI11" s="18">
        <v>0</v>
      </c>
      <c r="BJ11" s="372">
        <v>0</v>
      </c>
      <c r="BK11" s="317">
        <v>0</v>
      </c>
      <c r="BL11" s="18">
        <v>0</v>
      </c>
      <c r="BM11" s="18">
        <v>0</v>
      </c>
      <c r="BN11" s="317">
        <v>0</v>
      </c>
      <c r="BO11" s="18">
        <v>0</v>
      </c>
      <c r="BP11" s="372">
        <v>0</v>
      </c>
      <c r="BQ11" s="317">
        <v>0</v>
      </c>
      <c r="BR11" s="15">
        <v>0</v>
      </c>
      <c r="BS11" s="15">
        <v>0</v>
      </c>
      <c r="BT11" s="17">
        <v>0</v>
      </c>
      <c r="BU11" s="15">
        <v>0</v>
      </c>
      <c r="BV11" s="15">
        <v>0</v>
      </c>
      <c r="BW11" s="17">
        <v>0</v>
      </c>
      <c r="BX11" s="15">
        <v>0</v>
      </c>
      <c r="BY11" s="15">
        <v>0</v>
      </c>
      <c r="BZ11" s="17">
        <v>0</v>
      </c>
      <c r="CA11" s="18">
        <v>0</v>
      </c>
      <c r="CB11" s="18">
        <v>0</v>
      </c>
      <c r="CC11" s="317">
        <v>0</v>
      </c>
      <c r="CD11" s="386">
        <v>0</v>
      </c>
      <c r="CE11" s="387">
        <v>0</v>
      </c>
      <c r="CF11" s="388">
        <v>0</v>
      </c>
      <c r="CG11" s="18">
        <v>0</v>
      </c>
      <c r="CH11" s="18">
        <v>0</v>
      </c>
      <c r="CI11" s="317">
        <v>0</v>
      </c>
      <c r="CJ11" s="18">
        <v>0</v>
      </c>
      <c r="CK11" s="18">
        <v>0</v>
      </c>
      <c r="CL11" s="317">
        <v>0</v>
      </c>
      <c r="CM11" s="18">
        <v>0</v>
      </c>
      <c r="CN11" s="18">
        <v>0</v>
      </c>
      <c r="CO11" s="317">
        <v>0</v>
      </c>
      <c r="CP11" s="370">
        <v>0</v>
      </c>
      <c r="CQ11" s="341">
        <v>0</v>
      </c>
      <c r="CR11" s="342">
        <v>0</v>
      </c>
      <c r="CS11" s="18">
        <v>0</v>
      </c>
      <c r="CT11" s="18">
        <v>0</v>
      </c>
      <c r="CU11" s="317">
        <v>0</v>
      </c>
      <c r="CV11" s="18">
        <v>0</v>
      </c>
      <c r="CW11" s="18">
        <v>0</v>
      </c>
      <c r="CX11" s="317">
        <v>0</v>
      </c>
      <c r="CY11" s="18">
        <v>0</v>
      </c>
      <c r="CZ11" s="18">
        <v>0</v>
      </c>
      <c r="DA11" s="317">
        <v>0</v>
      </c>
      <c r="DB11" s="370">
        <v>0</v>
      </c>
      <c r="DC11" s="341">
        <v>0</v>
      </c>
      <c r="DD11" s="342">
        <v>0</v>
      </c>
      <c r="DE11" s="18">
        <v>0</v>
      </c>
      <c r="DF11" s="18">
        <v>0</v>
      </c>
      <c r="DG11" s="317">
        <v>0</v>
      </c>
      <c r="DH11" s="18">
        <v>0</v>
      </c>
      <c r="DI11" s="18">
        <v>0</v>
      </c>
      <c r="DJ11" s="317">
        <v>0</v>
      </c>
      <c r="DK11" s="18">
        <v>0</v>
      </c>
      <c r="DL11" s="372">
        <v>0</v>
      </c>
      <c r="DM11" s="317">
        <v>0</v>
      </c>
      <c r="DN11" s="18">
        <v>0</v>
      </c>
      <c r="DO11" s="18">
        <v>0</v>
      </c>
      <c r="DP11" s="317">
        <v>0</v>
      </c>
      <c r="DQ11" s="18">
        <v>0</v>
      </c>
      <c r="DR11" s="18">
        <v>0</v>
      </c>
      <c r="DS11" s="317">
        <v>0</v>
      </c>
      <c r="DT11" s="18">
        <v>0</v>
      </c>
      <c r="DU11" s="18">
        <v>0</v>
      </c>
      <c r="DV11" s="317">
        <v>0</v>
      </c>
      <c r="DW11" s="370">
        <v>0</v>
      </c>
      <c r="DX11" s="341">
        <v>0</v>
      </c>
      <c r="DY11" s="342">
        <v>0</v>
      </c>
      <c r="DZ11" s="18">
        <v>0</v>
      </c>
      <c r="EA11" s="372">
        <v>0</v>
      </c>
      <c r="EB11" s="317">
        <v>0</v>
      </c>
      <c r="EC11" s="18">
        <v>0</v>
      </c>
      <c r="ED11" s="18">
        <v>0</v>
      </c>
      <c r="EE11" s="317">
        <v>0</v>
      </c>
      <c r="EF11" s="18">
        <v>0</v>
      </c>
      <c r="EG11" s="18">
        <v>0</v>
      </c>
      <c r="EH11" s="317">
        <v>0</v>
      </c>
      <c r="EI11" s="18">
        <v>0</v>
      </c>
      <c r="EJ11" s="18">
        <v>0</v>
      </c>
      <c r="EK11" s="317">
        <v>0</v>
      </c>
      <c r="EL11" s="18">
        <v>0</v>
      </c>
      <c r="EM11" s="18">
        <v>0</v>
      </c>
      <c r="EN11" s="317">
        <v>0</v>
      </c>
      <c r="EO11" s="18">
        <v>0</v>
      </c>
      <c r="EP11" s="18">
        <v>0</v>
      </c>
      <c r="EQ11" s="317">
        <v>0</v>
      </c>
      <c r="ER11" s="83"/>
      <c r="ES11" s="18">
        <v>0</v>
      </c>
      <c r="ET11" s="18">
        <v>0</v>
      </c>
      <c r="EU11" s="317">
        <v>0</v>
      </c>
      <c r="EV11" s="329"/>
      <c r="EW11" s="329"/>
    </row>
    <row r="12" spans="1:153" ht="12.75">
      <c r="A12" s="40">
        <v>43843</v>
      </c>
      <c r="B12" s="366">
        <f t="shared" ref="B12:D12" si="8">SUM(F12,I12,L12,O12,R12,X12,AG12,AJ12,AN12,AQ12,AT12,AW12,AZ12,BC12,BF12,BI12,BL12,BO12,BR12,CA12,CG12,CJ12,CM12,CP12,CV12,CY12,DE12,DH12,DK12,DN12,DQ12,DT12,DZ12,EC12,EL12)</f>
        <v>42</v>
      </c>
      <c r="C12" s="367">
        <f t="shared" si="8"/>
        <v>1</v>
      </c>
      <c r="D12" s="368">
        <f t="shared" si="8"/>
        <v>0</v>
      </c>
      <c r="E12" s="369">
        <f t="shared" si="1"/>
        <v>41</v>
      </c>
      <c r="F12" s="18">
        <v>0</v>
      </c>
      <c r="G12" s="18">
        <v>0</v>
      </c>
      <c r="H12" s="317">
        <v>0</v>
      </c>
      <c r="I12" s="18">
        <v>0</v>
      </c>
      <c r="J12" s="18">
        <v>0</v>
      </c>
      <c r="K12" s="317">
        <v>0</v>
      </c>
      <c r="L12" s="18">
        <v>0</v>
      </c>
      <c r="M12" s="18">
        <v>0</v>
      </c>
      <c r="N12" s="317">
        <v>0</v>
      </c>
      <c r="O12" s="18">
        <v>0</v>
      </c>
      <c r="P12" s="18">
        <v>0</v>
      </c>
      <c r="Q12" s="317">
        <v>0</v>
      </c>
      <c r="R12" s="18">
        <v>0</v>
      </c>
      <c r="S12" s="18">
        <v>0</v>
      </c>
      <c r="T12" s="317">
        <v>0</v>
      </c>
      <c r="U12" s="18">
        <v>0</v>
      </c>
      <c r="V12" s="18">
        <v>0</v>
      </c>
      <c r="W12" s="317">
        <v>0</v>
      </c>
      <c r="X12" s="370">
        <v>0</v>
      </c>
      <c r="Y12" s="341">
        <v>0</v>
      </c>
      <c r="Z12" s="342">
        <v>0</v>
      </c>
      <c r="AA12" s="370">
        <v>0</v>
      </c>
      <c r="AB12" s="341">
        <v>0</v>
      </c>
      <c r="AC12" s="342">
        <v>0</v>
      </c>
      <c r="AD12" s="370">
        <v>0</v>
      </c>
      <c r="AE12" s="341">
        <v>0</v>
      </c>
      <c r="AF12" s="342">
        <v>0</v>
      </c>
      <c r="AG12" s="18">
        <v>0</v>
      </c>
      <c r="AH12" s="18">
        <v>0</v>
      </c>
      <c r="AI12" s="317">
        <v>0</v>
      </c>
      <c r="AJ12" s="105">
        <v>41</v>
      </c>
      <c r="AK12" s="139">
        <v>1</v>
      </c>
      <c r="AL12" s="18">
        <v>0</v>
      </c>
      <c r="AM12" s="371">
        <f t="shared" si="2"/>
        <v>40</v>
      </c>
      <c r="AN12" s="18">
        <v>0</v>
      </c>
      <c r="AO12" s="372">
        <v>0</v>
      </c>
      <c r="AP12" s="317">
        <v>0</v>
      </c>
      <c r="AQ12" s="18">
        <v>0</v>
      </c>
      <c r="AR12" s="18">
        <v>0</v>
      </c>
      <c r="AS12" s="317">
        <v>0</v>
      </c>
      <c r="AT12" s="18">
        <v>0</v>
      </c>
      <c r="AU12" s="372">
        <v>0</v>
      </c>
      <c r="AV12" s="317">
        <v>0</v>
      </c>
      <c r="AW12" s="18">
        <v>0</v>
      </c>
      <c r="AX12" s="372">
        <v>0</v>
      </c>
      <c r="AY12" s="317">
        <v>0</v>
      </c>
      <c r="AZ12" s="18">
        <v>0</v>
      </c>
      <c r="BA12" s="18">
        <v>0</v>
      </c>
      <c r="BB12" s="317">
        <v>0</v>
      </c>
      <c r="BC12" s="18">
        <v>0</v>
      </c>
      <c r="BD12" s="18">
        <v>0</v>
      </c>
      <c r="BE12" s="317">
        <v>0</v>
      </c>
      <c r="BF12" s="18">
        <v>0</v>
      </c>
      <c r="BG12" s="18">
        <v>0</v>
      </c>
      <c r="BH12" s="317">
        <v>0</v>
      </c>
      <c r="BI12" s="18">
        <v>0</v>
      </c>
      <c r="BJ12" s="372">
        <v>0</v>
      </c>
      <c r="BK12" s="317">
        <v>0</v>
      </c>
      <c r="BL12" s="18">
        <v>0</v>
      </c>
      <c r="BM12" s="18">
        <v>0</v>
      </c>
      <c r="BN12" s="317">
        <v>0</v>
      </c>
      <c r="BO12" s="18">
        <v>0</v>
      </c>
      <c r="BP12" s="372">
        <v>0</v>
      </c>
      <c r="BQ12" s="317">
        <v>0</v>
      </c>
      <c r="BR12" s="15">
        <v>0</v>
      </c>
      <c r="BS12" s="15">
        <v>0</v>
      </c>
      <c r="BT12" s="17">
        <v>0</v>
      </c>
      <c r="BU12" s="15">
        <v>0</v>
      </c>
      <c r="BV12" s="15">
        <v>0</v>
      </c>
      <c r="BW12" s="17">
        <v>0</v>
      </c>
      <c r="BX12" s="15">
        <v>0</v>
      </c>
      <c r="BY12" s="15">
        <v>0</v>
      </c>
      <c r="BZ12" s="17">
        <v>0</v>
      </c>
      <c r="CA12" s="18">
        <v>0</v>
      </c>
      <c r="CB12" s="18">
        <v>0</v>
      </c>
      <c r="CC12" s="317">
        <v>0</v>
      </c>
      <c r="CD12" s="373">
        <v>0</v>
      </c>
      <c r="CE12" s="374">
        <v>0</v>
      </c>
      <c r="CF12" s="375">
        <v>0</v>
      </c>
      <c r="CG12" s="18">
        <v>0</v>
      </c>
      <c r="CH12" s="18">
        <v>0</v>
      </c>
      <c r="CI12" s="317">
        <v>0</v>
      </c>
      <c r="CJ12" s="18">
        <v>0</v>
      </c>
      <c r="CK12" s="18">
        <v>0</v>
      </c>
      <c r="CL12" s="317">
        <v>0</v>
      </c>
      <c r="CM12" s="18">
        <v>0</v>
      </c>
      <c r="CN12" s="18">
        <v>0</v>
      </c>
      <c r="CO12" s="317">
        <v>0</v>
      </c>
      <c r="CP12" s="370">
        <v>0</v>
      </c>
      <c r="CQ12" s="341">
        <v>0</v>
      </c>
      <c r="CR12" s="342">
        <v>0</v>
      </c>
      <c r="CS12" s="18">
        <v>0</v>
      </c>
      <c r="CT12" s="18">
        <v>0</v>
      </c>
      <c r="CU12" s="317">
        <v>0</v>
      </c>
      <c r="CV12" s="18">
        <v>0</v>
      </c>
      <c r="CW12" s="18">
        <v>0</v>
      </c>
      <c r="CX12" s="317">
        <v>0</v>
      </c>
      <c r="CY12" s="18">
        <v>0</v>
      </c>
      <c r="CZ12" s="18">
        <v>0</v>
      </c>
      <c r="DA12" s="317">
        <v>0</v>
      </c>
      <c r="DB12" s="370">
        <v>0</v>
      </c>
      <c r="DC12" s="341">
        <v>0</v>
      </c>
      <c r="DD12" s="342">
        <v>0</v>
      </c>
      <c r="DE12" s="18">
        <v>0</v>
      </c>
      <c r="DF12" s="18">
        <v>0</v>
      </c>
      <c r="DG12" s="317">
        <v>0</v>
      </c>
      <c r="DH12" s="18">
        <v>0</v>
      </c>
      <c r="DI12" s="18">
        <v>0</v>
      </c>
      <c r="DJ12" s="317">
        <v>0</v>
      </c>
      <c r="DK12" s="18">
        <v>0</v>
      </c>
      <c r="DL12" s="372">
        <v>0</v>
      </c>
      <c r="DM12" s="317">
        <v>0</v>
      </c>
      <c r="DN12" s="18">
        <v>0</v>
      </c>
      <c r="DO12" s="18">
        <v>0</v>
      </c>
      <c r="DP12" s="317">
        <v>0</v>
      </c>
      <c r="DQ12" s="18">
        <v>0</v>
      </c>
      <c r="DR12" s="18">
        <v>0</v>
      </c>
      <c r="DS12" s="317">
        <v>0</v>
      </c>
      <c r="DT12" s="18">
        <v>0</v>
      </c>
      <c r="DU12" s="18">
        <v>0</v>
      </c>
      <c r="DV12" s="317">
        <v>0</v>
      </c>
      <c r="DW12" s="370">
        <v>0</v>
      </c>
      <c r="DX12" s="341">
        <v>0</v>
      </c>
      <c r="DY12" s="342">
        <v>0</v>
      </c>
      <c r="DZ12" s="18">
        <v>0</v>
      </c>
      <c r="EA12" s="372">
        <v>0</v>
      </c>
      <c r="EB12" s="317">
        <v>0</v>
      </c>
      <c r="EC12" s="105">
        <v>1</v>
      </c>
      <c r="ED12" s="18">
        <v>0</v>
      </c>
      <c r="EE12" s="317">
        <v>0</v>
      </c>
      <c r="EF12" s="18">
        <v>0</v>
      </c>
      <c r="EG12" s="18">
        <v>0</v>
      </c>
      <c r="EH12" s="317">
        <v>0</v>
      </c>
      <c r="EI12" s="18">
        <v>0</v>
      </c>
      <c r="EJ12" s="18">
        <v>0</v>
      </c>
      <c r="EK12" s="317">
        <v>0</v>
      </c>
      <c r="EL12" s="18">
        <v>0</v>
      </c>
      <c r="EM12" s="18">
        <v>0</v>
      </c>
      <c r="EN12" s="317">
        <v>0</v>
      </c>
      <c r="EO12" s="18">
        <v>0</v>
      </c>
      <c r="EP12" s="18">
        <v>0</v>
      </c>
      <c r="EQ12" s="317">
        <v>0</v>
      </c>
      <c r="ER12" s="83"/>
      <c r="ES12" s="18">
        <v>0</v>
      </c>
      <c r="ET12" s="18">
        <v>0</v>
      </c>
      <c r="EU12" s="317">
        <v>0</v>
      </c>
      <c r="EV12" s="55" t="s">
        <v>957</v>
      </c>
      <c r="EW12" s="57" t="s">
        <v>188</v>
      </c>
    </row>
    <row r="13" spans="1:153" ht="12.75">
      <c r="A13" s="40">
        <v>43844</v>
      </c>
      <c r="B13" s="366">
        <f t="shared" ref="B13:D13" si="9">SUM(F13,I13,L13,O13,R13,X13,AG13,AJ13,AN13,AQ13,AT13,AW13,AZ13,BC13,BF13,BI13,BL13,BO13,BR13,CA13,CG13,CJ13,CM13,CP13,CV13,CY13,DE13,DH13,DK13,DN13,DQ13,DT13,DZ13,EC13,EL13)</f>
        <v>42</v>
      </c>
      <c r="C13" s="367">
        <f t="shared" si="9"/>
        <v>1</v>
      </c>
      <c r="D13" s="368">
        <f t="shared" si="9"/>
        <v>0</v>
      </c>
      <c r="E13" s="369">
        <f t="shared" si="1"/>
        <v>41</v>
      </c>
      <c r="F13" s="18">
        <v>0</v>
      </c>
      <c r="G13" s="18">
        <v>0</v>
      </c>
      <c r="H13" s="317">
        <v>0</v>
      </c>
      <c r="I13" s="18">
        <v>0</v>
      </c>
      <c r="J13" s="18">
        <v>0</v>
      </c>
      <c r="K13" s="317">
        <v>0</v>
      </c>
      <c r="L13" s="18">
        <v>0</v>
      </c>
      <c r="M13" s="18">
        <v>0</v>
      </c>
      <c r="N13" s="317">
        <v>0</v>
      </c>
      <c r="O13" s="18">
        <v>0</v>
      </c>
      <c r="P13" s="18">
        <v>0</v>
      </c>
      <c r="Q13" s="317">
        <v>0</v>
      </c>
      <c r="R13" s="18">
        <v>0</v>
      </c>
      <c r="S13" s="18">
        <v>0</v>
      </c>
      <c r="T13" s="317">
        <v>0</v>
      </c>
      <c r="U13" s="18">
        <v>0</v>
      </c>
      <c r="V13" s="18">
        <v>0</v>
      </c>
      <c r="W13" s="317">
        <v>0</v>
      </c>
      <c r="X13" s="370">
        <v>0</v>
      </c>
      <c r="Y13" s="341">
        <v>0</v>
      </c>
      <c r="Z13" s="342">
        <v>0</v>
      </c>
      <c r="AA13" s="370">
        <v>0</v>
      </c>
      <c r="AB13" s="341">
        <v>0</v>
      </c>
      <c r="AC13" s="342">
        <v>0</v>
      </c>
      <c r="AD13" s="370">
        <v>0</v>
      </c>
      <c r="AE13" s="341">
        <v>0</v>
      </c>
      <c r="AF13" s="342">
        <v>0</v>
      </c>
      <c r="AG13" s="18">
        <v>0</v>
      </c>
      <c r="AH13" s="18">
        <v>0</v>
      </c>
      <c r="AI13" s="317">
        <v>0</v>
      </c>
      <c r="AJ13" s="105">
        <v>41</v>
      </c>
      <c r="AK13" s="139">
        <v>1</v>
      </c>
      <c r="AL13" s="18">
        <v>0</v>
      </c>
      <c r="AM13" s="371">
        <f t="shared" si="2"/>
        <v>40</v>
      </c>
      <c r="AN13" s="18">
        <v>0</v>
      </c>
      <c r="AO13" s="372">
        <v>0</v>
      </c>
      <c r="AP13" s="317">
        <v>0</v>
      </c>
      <c r="AQ13" s="18">
        <v>0</v>
      </c>
      <c r="AR13" s="18">
        <v>0</v>
      </c>
      <c r="AS13" s="317">
        <v>0</v>
      </c>
      <c r="AT13" s="18">
        <v>0</v>
      </c>
      <c r="AU13" s="372">
        <v>0</v>
      </c>
      <c r="AV13" s="317">
        <v>0</v>
      </c>
      <c r="AW13" s="18">
        <v>0</v>
      </c>
      <c r="AX13" s="372">
        <v>0</v>
      </c>
      <c r="AY13" s="317">
        <v>0</v>
      </c>
      <c r="AZ13" s="18">
        <v>0</v>
      </c>
      <c r="BA13" s="18">
        <v>0</v>
      </c>
      <c r="BB13" s="317">
        <v>0</v>
      </c>
      <c r="BC13" s="18">
        <v>0</v>
      </c>
      <c r="BD13" s="18">
        <v>0</v>
      </c>
      <c r="BE13" s="317">
        <v>0</v>
      </c>
      <c r="BF13" s="18">
        <v>0</v>
      </c>
      <c r="BG13" s="18">
        <v>0</v>
      </c>
      <c r="BH13" s="317">
        <v>0</v>
      </c>
      <c r="BI13" s="18">
        <v>0</v>
      </c>
      <c r="BJ13" s="372">
        <v>0</v>
      </c>
      <c r="BK13" s="317">
        <v>0</v>
      </c>
      <c r="BL13" s="18">
        <v>0</v>
      </c>
      <c r="BM13" s="18">
        <v>0</v>
      </c>
      <c r="BN13" s="317">
        <v>0</v>
      </c>
      <c r="BO13" s="18">
        <v>0</v>
      </c>
      <c r="BP13" s="372">
        <v>0</v>
      </c>
      <c r="BQ13" s="317">
        <v>0</v>
      </c>
      <c r="BR13" s="15">
        <v>0</v>
      </c>
      <c r="BS13" s="15">
        <v>0</v>
      </c>
      <c r="BT13" s="17">
        <v>0</v>
      </c>
      <c r="BU13" s="15">
        <v>0</v>
      </c>
      <c r="BV13" s="15">
        <v>0</v>
      </c>
      <c r="BW13" s="17">
        <v>0</v>
      </c>
      <c r="BX13" s="15">
        <v>0</v>
      </c>
      <c r="BY13" s="15">
        <v>0</v>
      </c>
      <c r="BZ13" s="17">
        <v>0</v>
      </c>
      <c r="CA13" s="18">
        <v>0</v>
      </c>
      <c r="CB13" s="18">
        <v>0</v>
      </c>
      <c r="CC13" s="317">
        <v>0</v>
      </c>
      <c r="CD13" s="386">
        <v>0</v>
      </c>
      <c r="CE13" s="387">
        <v>0</v>
      </c>
      <c r="CF13" s="388">
        <v>0</v>
      </c>
      <c r="CG13" s="18">
        <v>0</v>
      </c>
      <c r="CH13" s="18">
        <v>0</v>
      </c>
      <c r="CI13" s="317">
        <v>0</v>
      </c>
      <c r="CJ13" s="18">
        <v>0</v>
      </c>
      <c r="CK13" s="18">
        <v>0</v>
      </c>
      <c r="CL13" s="317">
        <v>0</v>
      </c>
      <c r="CM13" s="18">
        <v>0</v>
      </c>
      <c r="CN13" s="18">
        <v>0</v>
      </c>
      <c r="CO13" s="317">
        <v>0</v>
      </c>
      <c r="CP13" s="370">
        <v>0</v>
      </c>
      <c r="CQ13" s="341">
        <v>0</v>
      </c>
      <c r="CR13" s="342">
        <v>0</v>
      </c>
      <c r="CS13" s="18">
        <v>0</v>
      </c>
      <c r="CT13" s="18">
        <v>0</v>
      </c>
      <c r="CU13" s="317">
        <v>0</v>
      </c>
      <c r="CV13" s="18">
        <v>0</v>
      </c>
      <c r="CW13" s="18">
        <v>0</v>
      </c>
      <c r="CX13" s="317">
        <v>0</v>
      </c>
      <c r="CY13" s="18">
        <v>0</v>
      </c>
      <c r="CZ13" s="18">
        <v>0</v>
      </c>
      <c r="DA13" s="317">
        <v>0</v>
      </c>
      <c r="DB13" s="370">
        <v>0</v>
      </c>
      <c r="DC13" s="341">
        <v>0</v>
      </c>
      <c r="DD13" s="342">
        <v>0</v>
      </c>
      <c r="DE13" s="18">
        <v>0</v>
      </c>
      <c r="DF13" s="18">
        <v>0</v>
      </c>
      <c r="DG13" s="317">
        <v>0</v>
      </c>
      <c r="DH13" s="18">
        <v>0</v>
      </c>
      <c r="DI13" s="18">
        <v>0</v>
      </c>
      <c r="DJ13" s="317">
        <v>0</v>
      </c>
      <c r="DK13" s="18">
        <v>0</v>
      </c>
      <c r="DL13" s="372">
        <v>0</v>
      </c>
      <c r="DM13" s="317">
        <v>0</v>
      </c>
      <c r="DN13" s="18">
        <v>0</v>
      </c>
      <c r="DO13" s="18">
        <v>0</v>
      </c>
      <c r="DP13" s="317">
        <v>0</v>
      </c>
      <c r="DQ13" s="18">
        <v>0</v>
      </c>
      <c r="DR13" s="18">
        <v>0</v>
      </c>
      <c r="DS13" s="317">
        <v>0</v>
      </c>
      <c r="DT13" s="18">
        <v>0</v>
      </c>
      <c r="DU13" s="18">
        <v>0</v>
      </c>
      <c r="DV13" s="317">
        <v>0</v>
      </c>
      <c r="DW13" s="370">
        <v>0</v>
      </c>
      <c r="DX13" s="341">
        <v>0</v>
      </c>
      <c r="DY13" s="342">
        <v>0</v>
      </c>
      <c r="DZ13" s="18">
        <v>0</v>
      </c>
      <c r="EA13" s="372">
        <v>0</v>
      </c>
      <c r="EB13" s="317">
        <v>0</v>
      </c>
      <c r="EC13" s="105">
        <v>1</v>
      </c>
      <c r="ED13" s="18">
        <v>0</v>
      </c>
      <c r="EE13" s="317">
        <v>0</v>
      </c>
      <c r="EF13" s="341">
        <v>0</v>
      </c>
      <c r="EG13" s="341">
        <v>0</v>
      </c>
      <c r="EH13" s="342">
        <v>0</v>
      </c>
      <c r="EI13" s="18">
        <v>0</v>
      </c>
      <c r="EJ13" s="18">
        <v>0</v>
      </c>
      <c r="EK13" s="317">
        <v>0</v>
      </c>
      <c r="EL13" s="18">
        <v>0</v>
      </c>
      <c r="EM13" s="18">
        <v>0</v>
      </c>
      <c r="EN13" s="317">
        <v>0</v>
      </c>
      <c r="EO13" s="341">
        <v>0</v>
      </c>
      <c r="EP13" s="341">
        <v>0</v>
      </c>
      <c r="EQ13" s="342">
        <v>0</v>
      </c>
      <c r="ER13" s="83"/>
      <c r="ES13" s="341">
        <v>0</v>
      </c>
      <c r="ET13" s="341">
        <v>0</v>
      </c>
      <c r="EU13" s="342">
        <v>0</v>
      </c>
      <c r="EV13" s="55"/>
      <c r="EW13" s="64"/>
    </row>
    <row r="14" spans="1:153" ht="12.75">
      <c r="A14" s="40">
        <v>43845</v>
      </c>
      <c r="B14" s="366">
        <f t="shared" ref="B14:D14" si="10">SUM(F14,I14,L14,O14,R14,X14,AG14,AJ14,AN14,AQ14,AT14,AW14,AZ14,BC14,BF14,BI14,BL14,BO14,BR14,CA14,CG14,CJ14,CM14,CP14,CV14,CY14,DE14,DH14,DK14,DN14,DQ14,DT14,DZ14,EC14,EL14)</f>
        <v>43</v>
      </c>
      <c r="C14" s="367">
        <f t="shared" si="10"/>
        <v>1</v>
      </c>
      <c r="D14" s="368">
        <f t="shared" si="10"/>
        <v>0</v>
      </c>
      <c r="E14" s="369">
        <f t="shared" si="1"/>
        <v>42</v>
      </c>
      <c r="F14" s="18">
        <v>0</v>
      </c>
      <c r="G14" s="18">
        <v>0</v>
      </c>
      <c r="H14" s="317">
        <v>0</v>
      </c>
      <c r="I14" s="18">
        <v>0</v>
      </c>
      <c r="J14" s="18">
        <v>0</v>
      </c>
      <c r="K14" s="317">
        <v>0</v>
      </c>
      <c r="L14" s="18">
        <v>0</v>
      </c>
      <c r="M14" s="18">
        <v>0</v>
      </c>
      <c r="N14" s="317">
        <v>0</v>
      </c>
      <c r="O14" s="18">
        <v>0</v>
      </c>
      <c r="P14" s="18">
        <v>0</v>
      </c>
      <c r="Q14" s="317">
        <v>0</v>
      </c>
      <c r="R14" s="18">
        <v>0</v>
      </c>
      <c r="S14" s="18">
        <v>0</v>
      </c>
      <c r="T14" s="317">
        <v>0</v>
      </c>
      <c r="U14" s="18">
        <v>0</v>
      </c>
      <c r="V14" s="18">
        <v>0</v>
      </c>
      <c r="W14" s="317">
        <v>0</v>
      </c>
      <c r="X14" s="370">
        <v>0</v>
      </c>
      <c r="Y14" s="341">
        <v>0</v>
      </c>
      <c r="Z14" s="342">
        <v>0</v>
      </c>
      <c r="AA14" s="370">
        <v>0</v>
      </c>
      <c r="AB14" s="341">
        <v>0</v>
      </c>
      <c r="AC14" s="342">
        <v>0</v>
      </c>
      <c r="AD14" s="370">
        <v>0</v>
      </c>
      <c r="AE14" s="341">
        <v>0</v>
      </c>
      <c r="AF14" s="342">
        <v>0</v>
      </c>
      <c r="AG14" s="18">
        <v>0</v>
      </c>
      <c r="AH14" s="18">
        <v>0</v>
      </c>
      <c r="AI14" s="317">
        <v>0</v>
      </c>
      <c r="AJ14" s="105">
        <v>41</v>
      </c>
      <c r="AK14" s="139">
        <v>1</v>
      </c>
      <c r="AL14" s="18">
        <v>0</v>
      </c>
      <c r="AM14" s="371">
        <f t="shared" si="2"/>
        <v>40</v>
      </c>
      <c r="AN14" s="15">
        <v>0</v>
      </c>
      <c r="AO14" s="372">
        <v>0</v>
      </c>
      <c r="AP14" s="17">
        <v>0</v>
      </c>
      <c r="AQ14" s="15">
        <v>0</v>
      </c>
      <c r="AR14" s="15">
        <v>0</v>
      </c>
      <c r="AS14" s="17">
        <v>0</v>
      </c>
      <c r="AT14" s="15">
        <v>0</v>
      </c>
      <c r="AU14" s="372">
        <v>0</v>
      </c>
      <c r="AV14" s="17">
        <v>0</v>
      </c>
      <c r="AW14" s="15">
        <v>0</v>
      </c>
      <c r="AX14" s="372">
        <v>0</v>
      </c>
      <c r="AY14" s="17">
        <v>0</v>
      </c>
      <c r="AZ14" s="15">
        <v>0</v>
      </c>
      <c r="BA14" s="15">
        <v>0</v>
      </c>
      <c r="BB14" s="17">
        <v>0</v>
      </c>
      <c r="BC14" s="15">
        <v>0</v>
      </c>
      <c r="BD14" s="15">
        <v>0</v>
      </c>
      <c r="BE14" s="17">
        <v>0</v>
      </c>
      <c r="BF14" s="15">
        <v>0</v>
      </c>
      <c r="BG14" s="15">
        <v>0</v>
      </c>
      <c r="BH14" s="17">
        <v>0</v>
      </c>
      <c r="BI14" s="15">
        <v>0</v>
      </c>
      <c r="BJ14" s="372">
        <v>0</v>
      </c>
      <c r="BK14" s="17">
        <v>0</v>
      </c>
      <c r="BL14" s="15">
        <v>0</v>
      </c>
      <c r="BM14" s="15">
        <v>0</v>
      </c>
      <c r="BN14" s="17">
        <v>0</v>
      </c>
      <c r="BO14" s="87">
        <v>1</v>
      </c>
      <c r="BP14" s="372">
        <v>0</v>
      </c>
      <c r="BQ14" s="17">
        <v>0</v>
      </c>
      <c r="BR14" s="15">
        <v>0</v>
      </c>
      <c r="BS14" s="15">
        <v>0</v>
      </c>
      <c r="BT14" s="17">
        <v>0</v>
      </c>
      <c r="BU14" s="15">
        <v>0</v>
      </c>
      <c r="BV14" s="15">
        <v>0</v>
      </c>
      <c r="BW14" s="17">
        <v>0</v>
      </c>
      <c r="BX14" s="15">
        <v>0</v>
      </c>
      <c r="BY14" s="15">
        <v>0</v>
      </c>
      <c r="BZ14" s="17">
        <v>0</v>
      </c>
      <c r="CA14" s="15">
        <v>0</v>
      </c>
      <c r="CB14" s="15">
        <v>0</v>
      </c>
      <c r="CC14" s="17">
        <v>0</v>
      </c>
      <c r="CD14" s="392">
        <v>0</v>
      </c>
      <c r="CE14" s="41">
        <v>0</v>
      </c>
      <c r="CF14" s="393">
        <v>0</v>
      </c>
      <c r="CG14" s="15">
        <v>0</v>
      </c>
      <c r="CH14" s="15">
        <v>0</v>
      </c>
      <c r="CI14" s="17">
        <v>0</v>
      </c>
      <c r="CJ14" s="15">
        <v>0</v>
      </c>
      <c r="CK14" s="15">
        <v>0</v>
      </c>
      <c r="CL14" s="17">
        <v>0</v>
      </c>
      <c r="CM14" s="15">
        <v>0</v>
      </c>
      <c r="CN14" s="15">
        <v>0</v>
      </c>
      <c r="CO14" s="17">
        <v>0</v>
      </c>
      <c r="CP14" s="370">
        <v>0</v>
      </c>
      <c r="CQ14" s="341">
        <v>0</v>
      </c>
      <c r="CR14" s="342">
        <v>0</v>
      </c>
      <c r="CS14" s="18">
        <v>0</v>
      </c>
      <c r="CT14" s="18">
        <v>0</v>
      </c>
      <c r="CU14" s="317">
        <v>0</v>
      </c>
      <c r="CV14" s="15">
        <v>0</v>
      </c>
      <c r="CW14" s="15">
        <v>0</v>
      </c>
      <c r="CX14" s="17">
        <v>0</v>
      </c>
      <c r="CY14" s="15">
        <v>0</v>
      </c>
      <c r="CZ14" s="15">
        <v>0</v>
      </c>
      <c r="DA14" s="17">
        <v>0</v>
      </c>
      <c r="DB14" s="370">
        <v>0</v>
      </c>
      <c r="DC14" s="341">
        <v>0</v>
      </c>
      <c r="DD14" s="342">
        <v>0</v>
      </c>
      <c r="DE14" s="15">
        <v>0</v>
      </c>
      <c r="DF14" s="15">
        <v>0</v>
      </c>
      <c r="DG14" s="17">
        <v>0</v>
      </c>
      <c r="DH14" s="15">
        <v>0</v>
      </c>
      <c r="DI14" s="15">
        <v>0</v>
      </c>
      <c r="DJ14" s="17">
        <v>0</v>
      </c>
      <c r="DK14" s="15">
        <v>0</v>
      </c>
      <c r="DL14" s="372">
        <v>0</v>
      </c>
      <c r="DM14" s="17">
        <v>0</v>
      </c>
      <c r="DN14" s="15">
        <v>0</v>
      </c>
      <c r="DO14" s="15">
        <v>0</v>
      </c>
      <c r="DP14" s="17">
        <v>0</v>
      </c>
      <c r="DQ14" s="15">
        <v>0</v>
      </c>
      <c r="DR14" s="15">
        <v>0</v>
      </c>
      <c r="DS14" s="17">
        <v>0</v>
      </c>
      <c r="DT14" s="15">
        <v>0</v>
      </c>
      <c r="DU14" s="15">
        <v>0</v>
      </c>
      <c r="DV14" s="17">
        <v>0</v>
      </c>
      <c r="DW14" s="370">
        <v>0</v>
      </c>
      <c r="DX14" s="341">
        <v>0</v>
      </c>
      <c r="DY14" s="342">
        <v>0</v>
      </c>
      <c r="DZ14" s="15">
        <v>0</v>
      </c>
      <c r="EA14" s="372">
        <v>0</v>
      </c>
      <c r="EB14" s="17">
        <v>0</v>
      </c>
      <c r="EC14" s="105">
        <v>1</v>
      </c>
      <c r="ED14" s="15">
        <v>0</v>
      </c>
      <c r="EE14" s="17">
        <v>0</v>
      </c>
      <c r="EF14" s="15">
        <v>0</v>
      </c>
      <c r="EG14" s="15">
        <v>0</v>
      </c>
      <c r="EH14" s="17">
        <v>0</v>
      </c>
      <c r="EI14" s="15">
        <v>0</v>
      </c>
      <c r="EJ14" s="15">
        <v>0</v>
      </c>
      <c r="EK14" s="17">
        <v>0</v>
      </c>
      <c r="EL14" s="15">
        <v>0</v>
      </c>
      <c r="EM14" s="15">
        <v>0</v>
      </c>
      <c r="EN14" s="17">
        <v>0</v>
      </c>
      <c r="EO14" s="15">
        <v>0</v>
      </c>
      <c r="EP14" s="15">
        <v>0</v>
      </c>
      <c r="EQ14" s="17">
        <v>0</v>
      </c>
      <c r="ER14" s="54"/>
      <c r="ES14" s="15">
        <v>0</v>
      </c>
      <c r="ET14" s="15">
        <v>0</v>
      </c>
      <c r="EU14" s="17">
        <v>0</v>
      </c>
      <c r="EV14" s="55" t="s">
        <v>972</v>
      </c>
      <c r="EW14" s="57" t="s">
        <v>189</v>
      </c>
    </row>
    <row r="15" spans="1:153" ht="12.75">
      <c r="A15" s="40">
        <v>43846</v>
      </c>
      <c r="B15" s="366">
        <f t="shared" ref="B15:D15" si="11">SUM(F15,I15,L15,O15,R15,X15,AG15,AJ15,AN15,AQ15,AT15,AW15,AZ15,BC15,BF15,BI15,BL15,BO15,BR15,CA15,CG15,CJ15,CM15,CP15,CV15,CY15,DE15,DH15,DK15,DN15,DQ15,DT15,DZ15,EC15,EL15)</f>
        <v>43</v>
      </c>
      <c r="C15" s="367">
        <f t="shared" si="11"/>
        <v>1</v>
      </c>
      <c r="D15" s="368">
        <f t="shared" si="11"/>
        <v>0</v>
      </c>
      <c r="E15" s="369">
        <f t="shared" si="1"/>
        <v>42</v>
      </c>
      <c r="F15" s="18">
        <v>0</v>
      </c>
      <c r="G15" s="18">
        <v>0</v>
      </c>
      <c r="H15" s="317">
        <v>0</v>
      </c>
      <c r="I15" s="18">
        <v>0</v>
      </c>
      <c r="J15" s="18">
        <v>0</v>
      </c>
      <c r="K15" s="317">
        <v>0</v>
      </c>
      <c r="L15" s="18">
        <v>0</v>
      </c>
      <c r="M15" s="18">
        <v>0</v>
      </c>
      <c r="N15" s="317">
        <v>0</v>
      </c>
      <c r="O15" s="18">
        <v>0</v>
      </c>
      <c r="P15" s="18">
        <v>0</v>
      </c>
      <c r="Q15" s="317">
        <v>0</v>
      </c>
      <c r="R15" s="18">
        <v>0</v>
      </c>
      <c r="S15" s="18">
        <v>0</v>
      </c>
      <c r="T15" s="317">
        <v>0</v>
      </c>
      <c r="U15" s="18">
        <v>0</v>
      </c>
      <c r="V15" s="18">
        <v>0</v>
      </c>
      <c r="W15" s="317">
        <v>0</v>
      </c>
      <c r="X15" s="370">
        <v>0</v>
      </c>
      <c r="Y15" s="341">
        <v>0</v>
      </c>
      <c r="Z15" s="342">
        <v>0</v>
      </c>
      <c r="AA15" s="370">
        <v>0</v>
      </c>
      <c r="AB15" s="341">
        <v>0</v>
      </c>
      <c r="AC15" s="342">
        <v>0</v>
      </c>
      <c r="AD15" s="370">
        <v>0</v>
      </c>
      <c r="AE15" s="341">
        <v>0</v>
      </c>
      <c r="AF15" s="342">
        <v>0</v>
      </c>
      <c r="AG15" s="18">
        <v>0</v>
      </c>
      <c r="AH15" s="18">
        <v>0</v>
      </c>
      <c r="AI15" s="317">
        <v>0</v>
      </c>
      <c r="AJ15" s="105">
        <v>41</v>
      </c>
      <c r="AK15" s="139">
        <v>1</v>
      </c>
      <c r="AL15" s="18">
        <v>0</v>
      </c>
      <c r="AM15" s="371">
        <f t="shared" si="2"/>
        <v>40</v>
      </c>
      <c r="AN15" s="15">
        <v>0</v>
      </c>
      <c r="AO15" s="372">
        <v>0</v>
      </c>
      <c r="AP15" s="17">
        <v>0</v>
      </c>
      <c r="AQ15" s="15">
        <v>0</v>
      </c>
      <c r="AR15" s="15">
        <v>0</v>
      </c>
      <c r="AS15" s="17">
        <v>0</v>
      </c>
      <c r="AT15" s="15">
        <v>0</v>
      </c>
      <c r="AU15" s="372">
        <v>0</v>
      </c>
      <c r="AV15" s="17">
        <v>0</v>
      </c>
      <c r="AW15" s="15">
        <v>0</v>
      </c>
      <c r="AX15" s="372">
        <v>0</v>
      </c>
      <c r="AY15" s="17">
        <v>0</v>
      </c>
      <c r="AZ15" s="15">
        <v>0</v>
      </c>
      <c r="BA15" s="15">
        <v>0</v>
      </c>
      <c r="BB15" s="17">
        <v>0</v>
      </c>
      <c r="BC15" s="15">
        <v>0</v>
      </c>
      <c r="BD15" s="15">
        <v>0</v>
      </c>
      <c r="BE15" s="17">
        <v>0</v>
      </c>
      <c r="BF15" s="15">
        <v>0</v>
      </c>
      <c r="BG15" s="15">
        <v>0</v>
      </c>
      <c r="BH15" s="17">
        <v>0</v>
      </c>
      <c r="BI15" s="15">
        <v>0</v>
      </c>
      <c r="BJ15" s="372">
        <v>0</v>
      </c>
      <c r="BK15" s="17">
        <v>0</v>
      </c>
      <c r="BL15" s="15">
        <v>0</v>
      </c>
      <c r="BM15" s="15">
        <v>0</v>
      </c>
      <c r="BN15" s="17">
        <v>0</v>
      </c>
      <c r="BO15" s="87">
        <v>1</v>
      </c>
      <c r="BP15" s="372">
        <v>0</v>
      </c>
      <c r="BQ15" s="17">
        <v>0</v>
      </c>
      <c r="BR15" s="15">
        <v>0</v>
      </c>
      <c r="BS15" s="15">
        <v>0</v>
      </c>
      <c r="BT15" s="17">
        <v>0</v>
      </c>
      <c r="BU15" s="15">
        <v>0</v>
      </c>
      <c r="BV15" s="15">
        <v>0</v>
      </c>
      <c r="BW15" s="17">
        <v>0</v>
      </c>
      <c r="BX15" s="15">
        <v>0</v>
      </c>
      <c r="BY15" s="15">
        <v>0</v>
      </c>
      <c r="BZ15" s="17">
        <v>0</v>
      </c>
      <c r="CA15" s="15">
        <v>0</v>
      </c>
      <c r="CB15" s="15">
        <v>0</v>
      </c>
      <c r="CC15" s="17">
        <v>0</v>
      </c>
      <c r="CD15" s="394">
        <v>0</v>
      </c>
      <c r="CE15" s="63">
        <v>0</v>
      </c>
      <c r="CF15" s="395">
        <v>0</v>
      </c>
      <c r="CG15" s="15">
        <v>0</v>
      </c>
      <c r="CH15" s="15">
        <v>0</v>
      </c>
      <c r="CI15" s="17">
        <v>0</v>
      </c>
      <c r="CJ15" s="15">
        <v>0</v>
      </c>
      <c r="CK15" s="15">
        <v>0</v>
      </c>
      <c r="CL15" s="17">
        <v>0</v>
      </c>
      <c r="CM15" s="15">
        <v>0</v>
      </c>
      <c r="CN15" s="15">
        <v>0</v>
      </c>
      <c r="CO15" s="17">
        <v>0</v>
      </c>
      <c r="CP15" s="370">
        <v>0</v>
      </c>
      <c r="CQ15" s="341">
        <v>0</v>
      </c>
      <c r="CR15" s="342">
        <v>0</v>
      </c>
      <c r="CS15" s="18">
        <v>0</v>
      </c>
      <c r="CT15" s="18">
        <v>0</v>
      </c>
      <c r="CU15" s="317">
        <v>0</v>
      </c>
      <c r="CV15" s="15">
        <v>0</v>
      </c>
      <c r="CW15" s="15">
        <v>0</v>
      </c>
      <c r="CX15" s="17">
        <v>0</v>
      </c>
      <c r="CY15" s="15">
        <v>0</v>
      </c>
      <c r="CZ15" s="15">
        <v>0</v>
      </c>
      <c r="DA15" s="17">
        <v>0</v>
      </c>
      <c r="DB15" s="370">
        <v>0</v>
      </c>
      <c r="DC15" s="341">
        <v>0</v>
      </c>
      <c r="DD15" s="342">
        <v>0</v>
      </c>
      <c r="DE15" s="15">
        <v>0</v>
      </c>
      <c r="DF15" s="15">
        <v>0</v>
      </c>
      <c r="DG15" s="17">
        <v>0</v>
      </c>
      <c r="DH15" s="15">
        <v>0</v>
      </c>
      <c r="DI15" s="15">
        <v>0</v>
      </c>
      <c r="DJ15" s="17">
        <v>0</v>
      </c>
      <c r="DK15" s="15">
        <v>0</v>
      </c>
      <c r="DL15" s="372">
        <v>0</v>
      </c>
      <c r="DM15" s="17">
        <v>0</v>
      </c>
      <c r="DN15" s="15">
        <v>0</v>
      </c>
      <c r="DO15" s="15">
        <v>0</v>
      </c>
      <c r="DP15" s="17">
        <v>0</v>
      </c>
      <c r="DQ15" s="15">
        <v>0</v>
      </c>
      <c r="DR15" s="15">
        <v>0</v>
      </c>
      <c r="DS15" s="17">
        <v>0</v>
      </c>
      <c r="DT15" s="15">
        <v>0</v>
      </c>
      <c r="DU15" s="15">
        <v>0</v>
      </c>
      <c r="DV15" s="17">
        <v>0</v>
      </c>
      <c r="DW15" s="370">
        <v>0</v>
      </c>
      <c r="DX15" s="341">
        <v>0</v>
      </c>
      <c r="DY15" s="342">
        <v>0</v>
      </c>
      <c r="DZ15" s="15">
        <v>0</v>
      </c>
      <c r="EA15" s="372">
        <v>0</v>
      </c>
      <c r="EB15" s="17">
        <v>0</v>
      </c>
      <c r="EC15" s="105">
        <v>1</v>
      </c>
      <c r="ED15" s="15">
        <v>0</v>
      </c>
      <c r="EE15" s="17">
        <v>0</v>
      </c>
      <c r="EF15" s="50">
        <v>0</v>
      </c>
      <c r="EG15" s="50">
        <v>0</v>
      </c>
      <c r="EH15" s="52">
        <v>0</v>
      </c>
      <c r="EI15" s="15">
        <v>0</v>
      </c>
      <c r="EJ15" s="15">
        <v>0</v>
      </c>
      <c r="EK15" s="17">
        <v>0</v>
      </c>
      <c r="EL15" s="15">
        <v>0</v>
      </c>
      <c r="EM15" s="15">
        <v>0</v>
      </c>
      <c r="EN15" s="17">
        <v>0</v>
      </c>
      <c r="EO15" s="50">
        <v>0</v>
      </c>
      <c r="EP15" s="50">
        <v>0</v>
      </c>
      <c r="EQ15" s="52">
        <v>0</v>
      </c>
      <c r="ER15" s="54"/>
      <c r="ES15" s="50">
        <v>0</v>
      </c>
      <c r="ET15" s="50">
        <v>0</v>
      </c>
      <c r="EU15" s="52">
        <v>0</v>
      </c>
      <c r="EV15" s="55"/>
      <c r="EW15" s="64"/>
    </row>
    <row r="16" spans="1:153" ht="12.75">
      <c r="A16" s="40">
        <v>43847</v>
      </c>
      <c r="B16" s="366">
        <f t="shared" ref="B16:D16" si="12">SUM(F16,I16,L16,O16,R16,X16,AG16,AJ16,AN16,AQ16,AT16,AW16,AZ16,BC16,BF16,BI16,BL16,BO16,BR16,CA16,CG16,CJ16,CM16,CP16,CV16,CY16,DE16,DH16,DK16,DN16,DQ16,DT16,DZ16,EC16,EL16)</f>
        <v>43</v>
      </c>
      <c r="C16" s="367">
        <f t="shared" si="12"/>
        <v>1</v>
      </c>
      <c r="D16" s="368">
        <f t="shared" si="12"/>
        <v>0</v>
      </c>
      <c r="E16" s="369">
        <f t="shared" si="1"/>
        <v>42</v>
      </c>
      <c r="F16" s="18">
        <v>0</v>
      </c>
      <c r="G16" s="18">
        <v>0</v>
      </c>
      <c r="H16" s="317">
        <v>0</v>
      </c>
      <c r="I16" s="18">
        <v>0</v>
      </c>
      <c r="J16" s="18">
        <v>0</v>
      </c>
      <c r="K16" s="317">
        <v>0</v>
      </c>
      <c r="L16" s="18">
        <v>0</v>
      </c>
      <c r="M16" s="18">
        <v>0</v>
      </c>
      <c r="N16" s="317">
        <v>0</v>
      </c>
      <c r="O16" s="18">
        <v>0</v>
      </c>
      <c r="P16" s="18">
        <v>0</v>
      </c>
      <c r="Q16" s="317">
        <v>0</v>
      </c>
      <c r="R16" s="18">
        <v>0</v>
      </c>
      <c r="S16" s="18">
        <v>0</v>
      </c>
      <c r="T16" s="317">
        <v>0</v>
      </c>
      <c r="U16" s="18">
        <v>0</v>
      </c>
      <c r="V16" s="18">
        <v>0</v>
      </c>
      <c r="W16" s="317">
        <v>0</v>
      </c>
      <c r="X16" s="370">
        <v>0</v>
      </c>
      <c r="Y16" s="341">
        <v>0</v>
      </c>
      <c r="Z16" s="342">
        <v>0</v>
      </c>
      <c r="AA16" s="370">
        <v>0</v>
      </c>
      <c r="AB16" s="341">
        <v>0</v>
      </c>
      <c r="AC16" s="342">
        <v>0</v>
      </c>
      <c r="AD16" s="370">
        <v>0</v>
      </c>
      <c r="AE16" s="341">
        <v>0</v>
      </c>
      <c r="AF16" s="342">
        <v>0</v>
      </c>
      <c r="AG16" s="18">
        <v>0</v>
      </c>
      <c r="AH16" s="18">
        <v>0</v>
      </c>
      <c r="AI16" s="317">
        <v>0</v>
      </c>
      <c r="AJ16" s="105">
        <v>41</v>
      </c>
      <c r="AK16" s="139">
        <v>1</v>
      </c>
      <c r="AL16" s="18">
        <v>0</v>
      </c>
      <c r="AM16" s="371">
        <f t="shared" si="2"/>
        <v>40</v>
      </c>
      <c r="AN16" s="15">
        <v>0</v>
      </c>
      <c r="AO16" s="372">
        <v>0</v>
      </c>
      <c r="AP16" s="17">
        <v>0</v>
      </c>
      <c r="AQ16" s="15">
        <v>0</v>
      </c>
      <c r="AR16" s="15">
        <v>0</v>
      </c>
      <c r="AS16" s="17">
        <v>0</v>
      </c>
      <c r="AT16" s="15">
        <v>0</v>
      </c>
      <c r="AU16" s="372">
        <v>0</v>
      </c>
      <c r="AV16" s="17">
        <v>0</v>
      </c>
      <c r="AW16" s="15">
        <v>0</v>
      </c>
      <c r="AX16" s="372">
        <v>0</v>
      </c>
      <c r="AY16" s="17">
        <v>0</v>
      </c>
      <c r="AZ16" s="15">
        <v>0</v>
      </c>
      <c r="BA16" s="15">
        <v>0</v>
      </c>
      <c r="BB16" s="17">
        <v>0</v>
      </c>
      <c r="BC16" s="15">
        <v>0</v>
      </c>
      <c r="BD16" s="15">
        <v>0</v>
      </c>
      <c r="BE16" s="17">
        <v>0</v>
      </c>
      <c r="BF16" s="15">
        <v>0</v>
      </c>
      <c r="BG16" s="15">
        <v>0</v>
      </c>
      <c r="BH16" s="17">
        <v>0</v>
      </c>
      <c r="BI16" s="15">
        <v>0</v>
      </c>
      <c r="BJ16" s="372">
        <v>0</v>
      </c>
      <c r="BK16" s="17">
        <v>0</v>
      </c>
      <c r="BL16" s="15">
        <v>0</v>
      </c>
      <c r="BM16" s="15">
        <v>0</v>
      </c>
      <c r="BN16" s="17">
        <v>0</v>
      </c>
      <c r="BO16" s="87">
        <v>1</v>
      </c>
      <c r="BP16" s="372">
        <v>0</v>
      </c>
      <c r="BQ16" s="17">
        <v>0</v>
      </c>
      <c r="BR16" s="15">
        <v>0</v>
      </c>
      <c r="BS16" s="15">
        <v>0</v>
      </c>
      <c r="BT16" s="17">
        <v>0</v>
      </c>
      <c r="BU16" s="15">
        <v>0</v>
      </c>
      <c r="BV16" s="15">
        <v>0</v>
      </c>
      <c r="BW16" s="17">
        <v>0</v>
      </c>
      <c r="BX16" s="15">
        <v>0</v>
      </c>
      <c r="BY16" s="15">
        <v>0</v>
      </c>
      <c r="BZ16" s="17">
        <v>0</v>
      </c>
      <c r="CA16" s="15">
        <v>0</v>
      </c>
      <c r="CB16" s="15">
        <v>0</v>
      </c>
      <c r="CC16" s="17">
        <v>0</v>
      </c>
      <c r="CD16" s="392">
        <v>0</v>
      </c>
      <c r="CE16" s="41">
        <v>0</v>
      </c>
      <c r="CF16" s="393">
        <v>0</v>
      </c>
      <c r="CG16" s="15">
        <v>0</v>
      </c>
      <c r="CH16" s="15">
        <v>0</v>
      </c>
      <c r="CI16" s="17">
        <v>0</v>
      </c>
      <c r="CJ16" s="15">
        <v>0</v>
      </c>
      <c r="CK16" s="15">
        <v>0</v>
      </c>
      <c r="CL16" s="17">
        <v>0</v>
      </c>
      <c r="CM16" s="15">
        <v>0</v>
      </c>
      <c r="CN16" s="15">
        <v>0</v>
      </c>
      <c r="CO16" s="17">
        <v>0</v>
      </c>
      <c r="CP16" s="370">
        <v>0</v>
      </c>
      <c r="CQ16" s="341">
        <v>0</v>
      </c>
      <c r="CR16" s="342">
        <v>0</v>
      </c>
      <c r="CS16" s="18">
        <v>0</v>
      </c>
      <c r="CT16" s="18">
        <v>0</v>
      </c>
      <c r="CU16" s="317">
        <v>0</v>
      </c>
      <c r="CV16" s="15">
        <v>0</v>
      </c>
      <c r="CW16" s="15">
        <v>0</v>
      </c>
      <c r="CX16" s="17">
        <v>0</v>
      </c>
      <c r="CY16" s="15">
        <v>0</v>
      </c>
      <c r="CZ16" s="15">
        <v>0</v>
      </c>
      <c r="DA16" s="17">
        <v>0</v>
      </c>
      <c r="DB16" s="370">
        <v>0</v>
      </c>
      <c r="DC16" s="341">
        <v>0</v>
      </c>
      <c r="DD16" s="342">
        <v>0</v>
      </c>
      <c r="DE16" s="15">
        <v>0</v>
      </c>
      <c r="DF16" s="15">
        <v>0</v>
      </c>
      <c r="DG16" s="17">
        <v>0</v>
      </c>
      <c r="DH16" s="15">
        <v>0</v>
      </c>
      <c r="DI16" s="15">
        <v>0</v>
      </c>
      <c r="DJ16" s="17">
        <v>0</v>
      </c>
      <c r="DK16" s="15">
        <v>0</v>
      </c>
      <c r="DL16" s="372">
        <v>0</v>
      </c>
      <c r="DM16" s="17">
        <v>0</v>
      </c>
      <c r="DN16" s="15">
        <v>0</v>
      </c>
      <c r="DO16" s="15">
        <v>0</v>
      </c>
      <c r="DP16" s="17">
        <v>0</v>
      </c>
      <c r="DQ16" s="15">
        <v>0</v>
      </c>
      <c r="DR16" s="15">
        <v>0</v>
      </c>
      <c r="DS16" s="17">
        <v>0</v>
      </c>
      <c r="DT16" s="15">
        <v>0</v>
      </c>
      <c r="DU16" s="15">
        <v>0</v>
      </c>
      <c r="DV16" s="17">
        <v>0</v>
      </c>
      <c r="DW16" s="370">
        <v>0</v>
      </c>
      <c r="DX16" s="341">
        <v>0</v>
      </c>
      <c r="DY16" s="342">
        <v>0</v>
      </c>
      <c r="DZ16" s="15">
        <v>0</v>
      </c>
      <c r="EA16" s="372">
        <v>0</v>
      </c>
      <c r="EB16" s="17">
        <v>0</v>
      </c>
      <c r="EC16" s="105">
        <v>1</v>
      </c>
      <c r="ED16" s="15">
        <v>0</v>
      </c>
      <c r="EE16" s="17">
        <v>0</v>
      </c>
      <c r="EF16" s="50">
        <v>0</v>
      </c>
      <c r="EG16" s="50">
        <v>0</v>
      </c>
      <c r="EH16" s="52">
        <v>0</v>
      </c>
      <c r="EI16" s="15">
        <v>0</v>
      </c>
      <c r="EJ16" s="15">
        <v>0</v>
      </c>
      <c r="EK16" s="17">
        <v>0</v>
      </c>
      <c r="EL16" s="15">
        <v>0</v>
      </c>
      <c r="EM16" s="15">
        <v>0</v>
      </c>
      <c r="EN16" s="17">
        <v>0</v>
      </c>
      <c r="EO16" s="50">
        <v>0</v>
      </c>
      <c r="EP16" s="50">
        <v>0</v>
      </c>
      <c r="EQ16" s="52">
        <v>0</v>
      </c>
      <c r="ER16" s="54"/>
      <c r="ES16" s="50">
        <v>0</v>
      </c>
      <c r="ET16" s="50">
        <v>0</v>
      </c>
      <c r="EU16" s="52">
        <v>0</v>
      </c>
      <c r="EV16" s="55"/>
      <c r="EW16" s="64"/>
    </row>
    <row r="17" spans="1:153" ht="12.75">
      <c r="A17" s="40">
        <v>43848</v>
      </c>
      <c r="B17" s="366">
        <f t="shared" ref="B17:D17" si="13">SUM(F17,I17,L17,O17,R17,X17,AG17,AJ17,AN17,AQ17,AT17,AW17,AZ17,BC17,BF17,BI17,BL17,BO17,BR17,CA17,CG17,CJ17,CM17,CP17,CV17,CY17,DE17,DH17,DK17,DN17,DQ17,DT17,DZ17,EC17,EL17)</f>
        <v>43</v>
      </c>
      <c r="C17" s="367">
        <f t="shared" si="13"/>
        <v>2</v>
      </c>
      <c r="D17" s="368">
        <f t="shared" si="13"/>
        <v>0</v>
      </c>
      <c r="E17" s="369">
        <f t="shared" si="1"/>
        <v>41</v>
      </c>
      <c r="F17" s="15">
        <v>0</v>
      </c>
      <c r="G17" s="15">
        <v>0</v>
      </c>
      <c r="H17" s="17">
        <v>0</v>
      </c>
      <c r="I17" s="15">
        <v>0</v>
      </c>
      <c r="J17" s="15">
        <v>0</v>
      </c>
      <c r="K17" s="17">
        <v>0</v>
      </c>
      <c r="L17" s="15">
        <v>0</v>
      </c>
      <c r="M17" s="15">
        <v>0</v>
      </c>
      <c r="N17" s="17">
        <v>0</v>
      </c>
      <c r="O17" s="15">
        <v>0</v>
      </c>
      <c r="P17" s="15">
        <v>0</v>
      </c>
      <c r="Q17" s="17">
        <v>0</v>
      </c>
      <c r="R17" s="15">
        <v>0</v>
      </c>
      <c r="S17" s="15">
        <v>0</v>
      </c>
      <c r="T17" s="17">
        <v>0</v>
      </c>
      <c r="U17" s="15">
        <v>0</v>
      </c>
      <c r="V17" s="15">
        <v>0</v>
      </c>
      <c r="W17" s="17">
        <v>0</v>
      </c>
      <c r="X17" s="396">
        <v>0</v>
      </c>
      <c r="Y17" s="50">
        <v>0</v>
      </c>
      <c r="Z17" s="52">
        <v>0</v>
      </c>
      <c r="AA17" s="396">
        <v>0</v>
      </c>
      <c r="AB17" s="50">
        <v>0</v>
      </c>
      <c r="AC17" s="52">
        <v>0</v>
      </c>
      <c r="AD17" s="396">
        <v>0</v>
      </c>
      <c r="AE17" s="50">
        <v>0</v>
      </c>
      <c r="AF17" s="52">
        <v>0</v>
      </c>
      <c r="AG17" s="15">
        <v>0</v>
      </c>
      <c r="AH17" s="15">
        <v>0</v>
      </c>
      <c r="AI17" s="17">
        <v>0</v>
      </c>
      <c r="AJ17" s="105">
        <v>41</v>
      </c>
      <c r="AK17" s="139">
        <v>2</v>
      </c>
      <c r="AL17" s="18">
        <v>0</v>
      </c>
      <c r="AM17" s="371">
        <f t="shared" si="2"/>
        <v>39</v>
      </c>
      <c r="AN17" s="15">
        <v>0</v>
      </c>
      <c r="AO17" s="372">
        <v>0</v>
      </c>
      <c r="AP17" s="17">
        <v>0</v>
      </c>
      <c r="AQ17" s="15">
        <v>0</v>
      </c>
      <c r="AR17" s="15">
        <v>0</v>
      </c>
      <c r="AS17" s="17">
        <v>0</v>
      </c>
      <c r="AT17" s="15">
        <v>0</v>
      </c>
      <c r="AU17" s="372">
        <v>0</v>
      </c>
      <c r="AV17" s="17">
        <v>0</v>
      </c>
      <c r="AW17" s="15">
        <v>0</v>
      </c>
      <c r="AX17" s="372">
        <v>0</v>
      </c>
      <c r="AY17" s="17">
        <v>0</v>
      </c>
      <c r="AZ17" s="15">
        <v>0</v>
      </c>
      <c r="BA17" s="15">
        <v>0</v>
      </c>
      <c r="BB17" s="17">
        <v>0</v>
      </c>
      <c r="BC17" s="15">
        <v>0</v>
      </c>
      <c r="BD17" s="15">
        <v>0</v>
      </c>
      <c r="BE17" s="17">
        <v>0</v>
      </c>
      <c r="BF17" s="15">
        <v>0</v>
      </c>
      <c r="BG17" s="15">
        <v>0</v>
      </c>
      <c r="BH17" s="17">
        <v>0</v>
      </c>
      <c r="BI17" s="15">
        <v>0</v>
      </c>
      <c r="BJ17" s="372">
        <v>0</v>
      </c>
      <c r="BK17" s="17">
        <v>0</v>
      </c>
      <c r="BL17" s="15">
        <v>0</v>
      </c>
      <c r="BM17" s="15">
        <v>0</v>
      </c>
      <c r="BN17" s="17">
        <v>0</v>
      </c>
      <c r="BO17" s="87">
        <v>1</v>
      </c>
      <c r="BP17" s="372">
        <v>0</v>
      </c>
      <c r="BQ17" s="17">
        <v>0</v>
      </c>
      <c r="BR17" s="15">
        <v>0</v>
      </c>
      <c r="BS17" s="15">
        <v>0</v>
      </c>
      <c r="BT17" s="17">
        <v>0</v>
      </c>
      <c r="BU17" s="15">
        <v>0</v>
      </c>
      <c r="BV17" s="15">
        <v>0</v>
      </c>
      <c r="BW17" s="17">
        <v>0</v>
      </c>
      <c r="BX17" s="15">
        <v>0</v>
      </c>
      <c r="BY17" s="15">
        <v>0</v>
      </c>
      <c r="BZ17" s="17">
        <v>0</v>
      </c>
      <c r="CA17" s="15">
        <v>0</v>
      </c>
      <c r="CB17" s="15">
        <v>0</v>
      </c>
      <c r="CC17" s="17">
        <v>0</v>
      </c>
      <c r="CD17" s="394">
        <v>0</v>
      </c>
      <c r="CE17" s="63">
        <v>0</v>
      </c>
      <c r="CF17" s="395">
        <v>0</v>
      </c>
      <c r="CG17" s="15">
        <v>0</v>
      </c>
      <c r="CH17" s="15">
        <v>0</v>
      </c>
      <c r="CI17" s="17">
        <v>0</v>
      </c>
      <c r="CJ17" s="15">
        <v>0</v>
      </c>
      <c r="CK17" s="15">
        <v>0</v>
      </c>
      <c r="CL17" s="17">
        <v>0</v>
      </c>
      <c r="CM17" s="15">
        <v>0</v>
      </c>
      <c r="CN17" s="15">
        <v>0</v>
      </c>
      <c r="CO17" s="17">
        <v>0</v>
      </c>
      <c r="CP17" s="396">
        <v>0</v>
      </c>
      <c r="CQ17" s="50">
        <v>0</v>
      </c>
      <c r="CR17" s="52">
        <v>0</v>
      </c>
      <c r="CS17" s="15">
        <v>0</v>
      </c>
      <c r="CT17" s="15">
        <v>0</v>
      </c>
      <c r="CU17" s="17">
        <v>0</v>
      </c>
      <c r="CV17" s="15">
        <v>0</v>
      </c>
      <c r="CW17" s="15">
        <v>0</v>
      </c>
      <c r="CX17" s="17">
        <v>0</v>
      </c>
      <c r="CY17" s="15">
        <v>0</v>
      </c>
      <c r="CZ17" s="15">
        <v>0</v>
      </c>
      <c r="DA17" s="17">
        <v>0</v>
      </c>
      <c r="DB17" s="396">
        <v>0</v>
      </c>
      <c r="DC17" s="50">
        <v>0</v>
      </c>
      <c r="DD17" s="52">
        <v>0</v>
      </c>
      <c r="DE17" s="15">
        <v>0</v>
      </c>
      <c r="DF17" s="15">
        <v>0</v>
      </c>
      <c r="DG17" s="17">
        <v>0</v>
      </c>
      <c r="DH17" s="15">
        <v>0</v>
      </c>
      <c r="DI17" s="15">
        <v>0</v>
      </c>
      <c r="DJ17" s="17">
        <v>0</v>
      </c>
      <c r="DK17" s="15">
        <v>0</v>
      </c>
      <c r="DL17" s="372">
        <v>0</v>
      </c>
      <c r="DM17" s="17">
        <v>0</v>
      </c>
      <c r="DN17" s="15">
        <v>0</v>
      </c>
      <c r="DO17" s="15">
        <v>0</v>
      </c>
      <c r="DP17" s="17">
        <v>0</v>
      </c>
      <c r="DQ17" s="15">
        <v>0</v>
      </c>
      <c r="DR17" s="15">
        <v>0</v>
      </c>
      <c r="DS17" s="17">
        <v>0</v>
      </c>
      <c r="DT17" s="15">
        <v>0</v>
      </c>
      <c r="DU17" s="15">
        <v>0</v>
      </c>
      <c r="DV17" s="17">
        <v>0</v>
      </c>
      <c r="DW17" s="396">
        <v>0</v>
      </c>
      <c r="DX17" s="50">
        <v>0</v>
      </c>
      <c r="DY17" s="52">
        <v>0</v>
      </c>
      <c r="DZ17" s="15">
        <v>0</v>
      </c>
      <c r="EA17" s="372">
        <v>0</v>
      </c>
      <c r="EB17" s="17">
        <v>0</v>
      </c>
      <c r="EC17" s="105">
        <v>1</v>
      </c>
      <c r="ED17" s="15">
        <v>0</v>
      </c>
      <c r="EE17" s="17">
        <v>0</v>
      </c>
      <c r="EF17" s="15">
        <v>0</v>
      </c>
      <c r="EG17" s="15">
        <v>0</v>
      </c>
      <c r="EH17" s="17">
        <v>0</v>
      </c>
      <c r="EI17" s="15">
        <v>0</v>
      </c>
      <c r="EJ17" s="15">
        <v>0</v>
      </c>
      <c r="EK17" s="17">
        <v>0</v>
      </c>
      <c r="EL17" s="15">
        <v>0</v>
      </c>
      <c r="EM17" s="15">
        <v>0</v>
      </c>
      <c r="EN17" s="17">
        <v>0</v>
      </c>
      <c r="EO17" s="15">
        <v>0</v>
      </c>
      <c r="EP17" s="15">
        <v>0</v>
      </c>
      <c r="EQ17" s="17">
        <v>0</v>
      </c>
      <c r="ER17" s="54"/>
      <c r="ES17" s="15">
        <v>0</v>
      </c>
      <c r="ET17" s="15">
        <v>0</v>
      </c>
      <c r="EU17" s="17">
        <v>0</v>
      </c>
      <c r="EV17" s="55"/>
      <c r="EW17" s="56"/>
    </row>
    <row r="18" spans="1:153" ht="12.75">
      <c r="A18" s="40">
        <v>43849</v>
      </c>
      <c r="B18" s="366">
        <f t="shared" ref="B18:D18" si="14">SUM(F18,I18,L18,O18,R18,X18,AG18,AJ18,AN18,AQ18,AT18,AW18,AZ18,BC18,BF18,BI18,BL18,BO18,BR18,CA18,CG18,CJ18,CM18,CP18,CV18,CY18,DE18,DH18,DK18,DN18,DQ18,DT18,DZ18,EC18,EL18)</f>
        <v>43</v>
      </c>
      <c r="C18" s="367">
        <f t="shared" si="14"/>
        <v>2</v>
      </c>
      <c r="D18" s="368">
        <f t="shared" si="14"/>
        <v>0</v>
      </c>
      <c r="E18" s="369">
        <f t="shared" si="1"/>
        <v>41</v>
      </c>
      <c r="F18" s="15">
        <v>0</v>
      </c>
      <c r="G18" s="15">
        <v>0</v>
      </c>
      <c r="H18" s="17">
        <v>0</v>
      </c>
      <c r="I18" s="15">
        <v>0</v>
      </c>
      <c r="J18" s="15">
        <v>0</v>
      </c>
      <c r="K18" s="17">
        <v>0</v>
      </c>
      <c r="L18" s="15">
        <v>0</v>
      </c>
      <c r="M18" s="15">
        <v>0</v>
      </c>
      <c r="N18" s="17">
        <v>0</v>
      </c>
      <c r="O18" s="15">
        <v>0</v>
      </c>
      <c r="P18" s="15">
        <v>0</v>
      </c>
      <c r="Q18" s="17">
        <v>0</v>
      </c>
      <c r="R18" s="15">
        <v>0</v>
      </c>
      <c r="S18" s="15">
        <v>0</v>
      </c>
      <c r="T18" s="17">
        <v>0</v>
      </c>
      <c r="U18" s="15">
        <v>0</v>
      </c>
      <c r="V18" s="15">
        <v>0</v>
      </c>
      <c r="W18" s="17">
        <v>0</v>
      </c>
      <c r="X18" s="396">
        <v>0</v>
      </c>
      <c r="Y18" s="50">
        <v>0</v>
      </c>
      <c r="Z18" s="52">
        <v>0</v>
      </c>
      <c r="AA18" s="396">
        <v>0</v>
      </c>
      <c r="AB18" s="50">
        <v>0</v>
      </c>
      <c r="AC18" s="52">
        <v>0</v>
      </c>
      <c r="AD18" s="396">
        <v>0</v>
      </c>
      <c r="AE18" s="50">
        <v>0</v>
      </c>
      <c r="AF18" s="52">
        <v>0</v>
      </c>
      <c r="AG18" s="15">
        <v>0</v>
      </c>
      <c r="AH18" s="15">
        <v>0</v>
      </c>
      <c r="AI18" s="17">
        <v>0</v>
      </c>
      <c r="AJ18" s="105">
        <v>41</v>
      </c>
      <c r="AK18" s="139">
        <v>2</v>
      </c>
      <c r="AL18" s="18">
        <v>0</v>
      </c>
      <c r="AM18" s="371">
        <f t="shared" si="2"/>
        <v>39</v>
      </c>
      <c r="AN18" s="15">
        <v>0</v>
      </c>
      <c r="AO18" s="372">
        <v>0</v>
      </c>
      <c r="AP18" s="17">
        <v>0</v>
      </c>
      <c r="AQ18" s="15">
        <v>0</v>
      </c>
      <c r="AR18" s="15">
        <v>0</v>
      </c>
      <c r="AS18" s="17">
        <v>0</v>
      </c>
      <c r="AT18" s="15">
        <v>0</v>
      </c>
      <c r="AU18" s="372">
        <v>0</v>
      </c>
      <c r="AV18" s="17">
        <v>0</v>
      </c>
      <c r="AW18" s="15">
        <v>0</v>
      </c>
      <c r="AX18" s="372">
        <v>0</v>
      </c>
      <c r="AY18" s="17">
        <v>0</v>
      </c>
      <c r="AZ18" s="15">
        <v>0</v>
      </c>
      <c r="BA18" s="15">
        <v>0</v>
      </c>
      <c r="BB18" s="17">
        <v>0</v>
      </c>
      <c r="BC18" s="15">
        <v>0</v>
      </c>
      <c r="BD18" s="15">
        <v>0</v>
      </c>
      <c r="BE18" s="17">
        <v>0</v>
      </c>
      <c r="BF18" s="15">
        <v>0</v>
      </c>
      <c r="BG18" s="15">
        <v>0</v>
      </c>
      <c r="BH18" s="17">
        <v>0</v>
      </c>
      <c r="BI18" s="15">
        <v>0</v>
      </c>
      <c r="BJ18" s="372">
        <v>0</v>
      </c>
      <c r="BK18" s="17">
        <v>0</v>
      </c>
      <c r="BL18" s="15">
        <v>0</v>
      </c>
      <c r="BM18" s="15">
        <v>0</v>
      </c>
      <c r="BN18" s="17">
        <v>0</v>
      </c>
      <c r="BO18" s="87">
        <v>1</v>
      </c>
      <c r="BP18" s="372">
        <v>0</v>
      </c>
      <c r="BQ18" s="17">
        <v>0</v>
      </c>
      <c r="BR18" s="15">
        <v>0</v>
      </c>
      <c r="BS18" s="15">
        <v>0</v>
      </c>
      <c r="BT18" s="17">
        <v>0</v>
      </c>
      <c r="BU18" s="15">
        <v>0</v>
      </c>
      <c r="BV18" s="15">
        <v>0</v>
      </c>
      <c r="BW18" s="17">
        <v>0</v>
      </c>
      <c r="BX18" s="15">
        <v>0</v>
      </c>
      <c r="BY18" s="15">
        <v>0</v>
      </c>
      <c r="BZ18" s="17">
        <v>0</v>
      </c>
      <c r="CA18" s="15">
        <v>0</v>
      </c>
      <c r="CB18" s="15">
        <v>0</v>
      </c>
      <c r="CC18" s="17">
        <v>0</v>
      </c>
      <c r="CD18" s="392">
        <v>0</v>
      </c>
      <c r="CE18" s="41">
        <v>0</v>
      </c>
      <c r="CF18" s="393">
        <v>0</v>
      </c>
      <c r="CG18" s="15">
        <v>0</v>
      </c>
      <c r="CH18" s="15">
        <v>0</v>
      </c>
      <c r="CI18" s="17">
        <v>0</v>
      </c>
      <c r="CJ18" s="15">
        <v>0</v>
      </c>
      <c r="CK18" s="15">
        <v>0</v>
      </c>
      <c r="CL18" s="17">
        <v>0</v>
      </c>
      <c r="CM18" s="15">
        <v>0</v>
      </c>
      <c r="CN18" s="15">
        <v>0</v>
      </c>
      <c r="CO18" s="17">
        <v>0</v>
      </c>
      <c r="CP18" s="396">
        <v>0</v>
      </c>
      <c r="CQ18" s="50">
        <v>0</v>
      </c>
      <c r="CR18" s="52">
        <v>0</v>
      </c>
      <c r="CS18" s="15">
        <v>0</v>
      </c>
      <c r="CT18" s="15">
        <v>0</v>
      </c>
      <c r="CU18" s="17">
        <v>0</v>
      </c>
      <c r="CV18" s="15">
        <v>0</v>
      </c>
      <c r="CW18" s="15">
        <v>0</v>
      </c>
      <c r="CX18" s="17">
        <v>0</v>
      </c>
      <c r="CY18" s="15">
        <v>0</v>
      </c>
      <c r="CZ18" s="15">
        <v>0</v>
      </c>
      <c r="DA18" s="17">
        <v>0</v>
      </c>
      <c r="DB18" s="396">
        <v>0</v>
      </c>
      <c r="DC18" s="50">
        <v>0</v>
      </c>
      <c r="DD18" s="52">
        <v>0</v>
      </c>
      <c r="DE18" s="15">
        <v>0</v>
      </c>
      <c r="DF18" s="15">
        <v>0</v>
      </c>
      <c r="DG18" s="17">
        <v>0</v>
      </c>
      <c r="DH18" s="15">
        <v>0</v>
      </c>
      <c r="DI18" s="15">
        <v>0</v>
      </c>
      <c r="DJ18" s="17">
        <v>0</v>
      </c>
      <c r="DK18" s="15">
        <v>0</v>
      </c>
      <c r="DL18" s="372">
        <v>0</v>
      </c>
      <c r="DM18" s="17">
        <v>0</v>
      </c>
      <c r="DN18" s="15">
        <v>0</v>
      </c>
      <c r="DO18" s="15">
        <v>0</v>
      </c>
      <c r="DP18" s="17">
        <v>0</v>
      </c>
      <c r="DQ18" s="15">
        <v>0</v>
      </c>
      <c r="DR18" s="15">
        <v>0</v>
      </c>
      <c r="DS18" s="17">
        <v>0</v>
      </c>
      <c r="DT18" s="15">
        <v>0</v>
      </c>
      <c r="DU18" s="15">
        <v>0</v>
      </c>
      <c r="DV18" s="17">
        <v>0</v>
      </c>
      <c r="DW18" s="396">
        <v>0</v>
      </c>
      <c r="DX18" s="50">
        <v>0</v>
      </c>
      <c r="DY18" s="52">
        <v>0</v>
      </c>
      <c r="DZ18" s="15">
        <v>0</v>
      </c>
      <c r="EA18" s="372">
        <v>0</v>
      </c>
      <c r="EB18" s="17">
        <v>0</v>
      </c>
      <c r="EC18" s="105">
        <v>1</v>
      </c>
      <c r="ED18" s="15">
        <v>0</v>
      </c>
      <c r="EE18" s="17">
        <v>0</v>
      </c>
      <c r="EF18" s="344">
        <v>0</v>
      </c>
      <c r="EG18" s="344">
        <v>0</v>
      </c>
      <c r="EH18" s="346">
        <v>0</v>
      </c>
      <c r="EI18" s="15">
        <v>0</v>
      </c>
      <c r="EJ18" s="15">
        <v>0</v>
      </c>
      <c r="EK18" s="17">
        <v>0</v>
      </c>
      <c r="EL18" s="15">
        <v>0</v>
      </c>
      <c r="EM18" s="15">
        <v>0</v>
      </c>
      <c r="EN18" s="17">
        <v>0</v>
      </c>
      <c r="EO18" s="344">
        <v>0</v>
      </c>
      <c r="EP18" s="344">
        <v>0</v>
      </c>
      <c r="EQ18" s="346">
        <v>0</v>
      </c>
      <c r="ER18" s="54"/>
      <c r="ES18" s="344">
        <v>0</v>
      </c>
      <c r="ET18" s="344">
        <v>0</v>
      </c>
      <c r="EU18" s="346">
        <v>0</v>
      </c>
      <c r="EV18" s="55"/>
      <c r="EW18" s="56"/>
    </row>
    <row r="19" spans="1:153" ht="12.75">
      <c r="A19" s="40">
        <v>43850</v>
      </c>
      <c r="B19" s="366">
        <f t="shared" ref="B19:D19" si="15">SUM(F19,I19,L19,O19,R19,X19,AG19,AJ19,AN19,AQ19,AT19,AW19,AZ19,BC19,BF19,BI19,BL19,BO19,BR19,CA19,CG19,CJ19,CM19,CP19,CV19,CY19,DE19,DH19,DK19,DN19,DQ19,DT19,DZ19,EC19,EL19)</f>
        <v>282</v>
      </c>
      <c r="C19" s="367">
        <f t="shared" si="15"/>
        <v>6</v>
      </c>
      <c r="D19" s="368">
        <f t="shared" si="15"/>
        <v>0</v>
      </c>
      <c r="E19" s="369">
        <f t="shared" si="1"/>
        <v>276</v>
      </c>
      <c r="F19" s="18">
        <v>0</v>
      </c>
      <c r="G19" s="18">
        <v>0</v>
      </c>
      <c r="H19" s="317">
        <v>0</v>
      </c>
      <c r="I19" s="18">
        <v>0</v>
      </c>
      <c r="J19" s="18">
        <v>0</v>
      </c>
      <c r="K19" s="317">
        <v>0</v>
      </c>
      <c r="L19" s="18">
        <v>0</v>
      </c>
      <c r="M19" s="18">
        <v>0</v>
      </c>
      <c r="N19" s="317">
        <v>0</v>
      </c>
      <c r="O19" s="18">
        <v>0</v>
      </c>
      <c r="P19" s="18">
        <v>0</v>
      </c>
      <c r="Q19" s="317">
        <v>0</v>
      </c>
      <c r="R19" s="18">
        <v>0</v>
      </c>
      <c r="S19" s="18">
        <v>0</v>
      </c>
      <c r="T19" s="317">
        <v>0</v>
      </c>
      <c r="U19" s="18">
        <v>0</v>
      </c>
      <c r="V19" s="18">
        <v>0</v>
      </c>
      <c r="W19" s="317">
        <v>0</v>
      </c>
      <c r="X19" s="370">
        <v>0</v>
      </c>
      <c r="Y19" s="341">
        <v>0</v>
      </c>
      <c r="Z19" s="342">
        <v>0</v>
      </c>
      <c r="AA19" s="370">
        <v>0</v>
      </c>
      <c r="AB19" s="341">
        <v>0</v>
      </c>
      <c r="AC19" s="342">
        <v>0</v>
      </c>
      <c r="AD19" s="370">
        <v>0</v>
      </c>
      <c r="AE19" s="341">
        <v>0</v>
      </c>
      <c r="AF19" s="342">
        <v>0</v>
      </c>
      <c r="AG19" s="18">
        <v>0</v>
      </c>
      <c r="AH19" s="18">
        <v>0</v>
      </c>
      <c r="AI19" s="317">
        <v>0</v>
      </c>
      <c r="AJ19" s="105">
        <v>278</v>
      </c>
      <c r="AK19" s="139">
        <v>6</v>
      </c>
      <c r="AL19" s="18">
        <v>0</v>
      </c>
      <c r="AM19" s="371">
        <f t="shared" si="2"/>
        <v>272</v>
      </c>
      <c r="AN19" s="105">
        <v>1</v>
      </c>
      <c r="AO19" s="372">
        <v>0</v>
      </c>
      <c r="AP19" s="317">
        <v>0</v>
      </c>
      <c r="AQ19" s="18">
        <v>0</v>
      </c>
      <c r="AR19" s="18">
        <v>0</v>
      </c>
      <c r="AS19" s="317">
        <v>0</v>
      </c>
      <c r="AT19" s="18">
        <v>0</v>
      </c>
      <c r="AU19" s="372">
        <v>0</v>
      </c>
      <c r="AV19" s="317">
        <v>0</v>
      </c>
      <c r="AW19" s="18">
        <v>0</v>
      </c>
      <c r="AX19" s="372">
        <v>0</v>
      </c>
      <c r="AY19" s="317">
        <v>0</v>
      </c>
      <c r="AZ19" s="18">
        <v>0</v>
      </c>
      <c r="BA19" s="18">
        <v>0</v>
      </c>
      <c r="BB19" s="317">
        <v>0</v>
      </c>
      <c r="BC19" s="18">
        <v>0</v>
      </c>
      <c r="BD19" s="18">
        <v>0</v>
      </c>
      <c r="BE19" s="317">
        <v>0</v>
      </c>
      <c r="BF19" s="18">
        <v>0</v>
      </c>
      <c r="BG19" s="18">
        <v>0</v>
      </c>
      <c r="BH19" s="317">
        <v>0</v>
      </c>
      <c r="BI19" s="18">
        <v>0</v>
      </c>
      <c r="BJ19" s="372">
        <v>0</v>
      </c>
      <c r="BK19" s="317">
        <v>0</v>
      </c>
      <c r="BL19" s="18">
        <v>0</v>
      </c>
      <c r="BM19" s="18">
        <v>0</v>
      </c>
      <c r="BN19" s="317">
        <v>0</v>
      </c>
      <c r="BO19" s="87">
        <v>1</v>
      </c>
      <c r="BP19" s="372">
        <v>0</v>
      </c>
      <c r="BQ19" s="317">
        <v>0</v>
      </c>
      <c r="BR19" s="15">
        <v>0</v>
      </c>
      <c r="BS19" s="15">
        <v>0</v>
      </c>
      <c r="BT19" s="17">
        <v>0</v>
      </c>
      <c r="BU19" s="15">
        <v>0</v>
      </c>
      <c r="BV19" s="15">
        <v>0</v>
      </c>
      <c r="BW19" s="17">
        <v>0</v>
      </c>
      <c r="BX19" s="15">
        <v>0</v>
      </c>
      <c r="BY19" s="15">
        <v>0</v>
      </c>
      <c r="BZ19" s="17">
        <v>0</v>
      </c>
      <c r="CA19" s="18">
        <v>0</v>
      </c>
      <c r="CB19" s="18">
        <v>0</v>
      </c>
      <c r="CC19" s="317">
        <v>0</v>
      </c>
      <c r="CD19" s="386">
        <v>0</v>
      </c>
      <c r="CE19" s="387">
        <v>0</v>
      </c>
      <c r="CF19" s="388">
        <v>0</v>
      </c>
      <c r="CG19" s="18">
        <v>0</v>
      </c>
      <c r="CH19" s="18">
        <v>0</v>
      </c>
      <c r="CI19" s="317">
        <v>0</v>
      </c>
      <c r="CJ19" s="18">
        <v>0</v>
      </c>
      <c r="CK19" s="18">
        <v>0</v>
      </c>
      <c r="CL19" s="317">
        <v>0</v>
      </c>
      <c r="CM19" s="18">
        <v>0</v>
      </c>
      <c r="CN19" s="18">
        <v>0</v>
      </c>
      <c r="CO19" s="317">
        <v>0</v>
      </c>
      <c r="CP19" s="370">
        <v>0</v>
      </c>
      <c r="CQ19" s="341">
        <v>0</v>
      </c>
      <c r="CR19" s="342">
        <v>0</v>
      </c>
      <c r="CS19" s="18">
        <v>0</v>
      </c>
      <c r="CT19" s="18">
        <v>0</v>
      </c>
      <c r="CU19" s="317">
        <v>0</v>
      </c>
      <c r="CV19" s="18">
        <v>0</v>
      </c>
      <c r="CW19" s="18">
        <v>0</v>
      </c>
      <c r="CX19" s="317">
        <v>0</v>
      </c>
      <c r="CY19" s="18">
        <v>0</v>
      </c>
      <c r="CZ19" s="18">
        <v>0</v>
      </c>
      <c r="DA19" s="317">
        <v>0</v>
      </c>
      <c r="DB19" s="370">
        <v>0</v>
      </c>
      <c r="DC19" s="341">
        <v>0</v>
      </c>
      <c r="DD19" s="342">
        <v>0</v>
      </c>
      <c r="DE19" s="18">
        <v>0</v>
      </c>
      <c r="DF19" s="18">
        <v>0</v>
      </c>
      <c r="DG19" s="317">
        <v>0</v>
      </c>
      <c r="DH19" s="18">
        <v>0</v>
      </c>
      <c r="DI19" s="18">
        <v>0</v>
      </c>
      <c r="DJ19" s="317">
        <v>0</v>
      </c>
      <c r="DK19" s="18">
        <v>0</v>
      </c>
      <c r="DL19" s="372">
        <v>0</v>
      </c>
      <c r="DM19" s="317">
        <v>0</v>
      </c>
      <c r="DN19" s="18">
        <v>0</v>
      </c>
      <c r="DO19" s="18">
        <v>0</v>
      </c>
      <c r="DP19" s="317">
        <v>0</v>
      </c>
      <c r="DQ19" s="18">
        <v>0</v>
      </c>
      <c r="DR19" s="18">
        <v>0</v>
      </c>
      <c r="DS19" s="317">
        <v>0</v>
      </c>
      <c r="DT19" s="18">
        <v>0</v>
      </c>
      <c r="DU19" s="18">
        <v>0</v>
      </c>
      <c r="DV19" s="317">
        <v>0</v>
      </c>
      <c r="DW19" s="370">
        <v>0</v>
      </c>
      <c r="DX19" s="341">
        <v>0</v>
      </c>
      <c r="DY19" s="342">
        <v>0</v>
      </c>
      <c r="DZ19" s="18">
        <v>0</v>
      </c>
      <c r="EA19" s="372">
        <v>0</v>
      </c>
      <c r="EB19" s="317">
        <v>0</v>
      </c>
      <c r="EC19" s="105">
        <v>2</v>
      </c>
      <c r="ED19" s="18">
        <v>0</v>
      </c>
      <c r="EE19" s="317">
        <v>0</v>
      </c>
      <c r="EF19" s="18">
        <v>0</v>
      </c>
      <c r="EG19" s="18">
        <v>0</v>
      </c>
      <c r="EH19" s="317">
        <v>0</v>
      </c>
      <c r="EI19" s="18">
        <v>0</v>
      </c>
      <c r="EJ19" s="18">
        <v>0</v>
      </c>
      <c r="EK19" s="317">
        <v>0</v>
      </c>
      <c r="EL19" s="18">
        <v>0</v>
      </c>
      <c r="EM19" s="18">
        <v>0</v>
      </c>
      <c r="EN19" s="317">
        <v>0</v>
      </c>
      <c r="EO19" s="18">
        <v>0</v>
      </c>
      <c r="EP19" s="18">
        <v>0</v>
      </c>
      <c r="EQ19" s="317">
        <v>0</v>
      </c>
      <c r="ER19" s="83"/>
      <c r="ES19" s="18">
        <v>0</v>
      </c>
      <c r="ET19" s="18">
        <v>0</v>
      </c>
      <c r="EU19" s="317">
        <v>0</v>
      </c>
      <c r="EV19" s="55" t="s">
        <v>986</v>
      </c>
      <c r="EW19" s="57" t="s">
        <v>189</v>
      </c>
    </row>
    <row r="20" spans="1:153" ht="12.75">
      <c r="A20" s="40">
        <v>43851</v>
      </c>
      <c r="B20" s="366">
        <f t="shared" ref="B20:D20" si="16">SUM(F20,I20,L20,O20,R20,X20,AG20,AJ20,AN20,AQ20,AT20,AW20,AZ20,BC20,BF20,BI20,BL20,BO20,BR20,CA20,CG20,CJ20,CM20,CP20,CV20,CY20,DE20,DH20,DK20,DN20,DQ20,DT20,DZ20,EC20,EL20)</f>
        <v>331</v>
      </c>
      <c r="C20" s="367">
        <f t="shared" si="16"/>
        <v>6</v>
      </c>
      <c r="D20" s="368">
        <f t="shared" si="16"/>
        <v>25</v>
      </c>
      <c r="E20" s="369">
        <f t="shared" si="1"/>
        <v>300</v>
      </c>
      <c r="F20" s="15">
        <v>0</v>
      </c>
      <c r="G20" s="15">
        <v>0</v>
      </c>
      <c r="H20" s="17">
        <v>0</v>
      </c>
      <c r="I20" s="15">
        <v>0</v>
      </c>
      <c r="J20" s="15">
        <v>0</v>
      </c>
      <c r="K20" s="17">
        <v>0</v>
      </c>
      <c r="L20" s="15">
        <v>0</v>
      </c>
      <c r="M20" s="15">
        <v>0</v>
      </c>
      <c r="N20" s="17">
        <v>0</v>
      </c>
      <c r="O20" s="15">
        <v>0</v>
      </c>
      <c r="P20" s="15">
        <v>0</v>
      </c>
      <c r="Q20" s="17">
        <v>0</v>
      </c>
      <c r="R20" s="15">
        <v>0</v>
      </c>
      <c r="S20" s="15">
        <v>0</v>
      </c>
      <c r="T20" s="17">
        <v>0</v>
      </c>
      <c r="U20" s="15">
        <v>0</v>
      </c>
      <c r="V20" s="15">
        <v>0</v>
      </c>
      <c r="W20" s="17">
        <v>0</v>
      </c>
      <c r="X20" s="396">
        <v>0</v>
      </c>
      <c r="Y20" s="50">
        <v>0</v>
      </c>
      <c r="Z20" s="52">
        <v>0</v>
      </c>
      <c r="AA20" s="396">
        <v>0</v>
      </c>
      <c r="AB20" s="50">
        <v>0</v>
      </c>
      <c r="AC20" s="52">
        <v>0</v>
      </c>
      <c r="AD20" s="396">
        <v>0</v>
      </c>
      <c r="AE20" s="50">
        <v>0</v>
      </c>
      <c r="AF20" s="52">
        <v>0</v>
      </c>
      <c r="AG20" s="15">
        <v>0</v>
      </c>
      <c r="AH20" s="15">
        <v>0</v>
      </c>
      <c r="AI20" s="17">
        <v>0</v>
      </c>
      <c r="AJ20" s="105">
        <v>326</v>
      </c>
      <c r="AK20" s="139">
        <v>6</v>
      </c>
      <c r="AL20" s="397">
        <v>25</v>
      </c>
      <c r="AM20" s="371">
        <f t="shared" si="2"/>
        <v>295</v>
      </c>
      <c r="AN20" s="105">
        <v>1</v>
      </c>
      <c r="AO20" s="372">
        <v>0</v>
      </c>
      <c r="AP20" s="17">
        <v>0</v>
      </c>
      <c r="AQ20" s="15">
        <v>0</v>
      </c>
      <c r="AR20" s="15">
        <v>0</v>
      </c>
      <c r="AS20" s="17">
        <v>0</v>
      </c>
      <c r="AT20" s="15">
        <v>0</v>
      </c>
      <c r="AU20" s="372">
        <v>0</v>
      </c>
      <c r="AV20" s="17">
        <v>0</v>
      </c>
      <c r="AW20" s="15">
        <v>0</v>
      </c>
      <c r="AX20" s="372">
        <v>0</v>
      </c>
      <c r="AY20" s="17">
        <v>0</v>
      </c>
      <c r="AZ20" s="15">
        <v>0</v>
      </c>
      <c r="BA20" s="15">
        <v>0</v>
      </c>
      <c r="BB20" s="17">
        <v>0</v>
      </c>
      <c r="BC20" s="15">
        <v>0</v>
      </c>
      <c r="BD20" s="15">
        <v>0</v>
      </c>
      <c r="BE20" s="17">
        <v>0</v>
      </c>
      <c r="BF20" s="15">
        <v>0</v>
      </c>
      <c r="BG20" s="15">
        <v>0</v>
      </c>
      <c r="BH20" s="17">
        <v>0</v>
      </c>
      <c r="BI20" s="15">
        <v>0</v>
      </c>
      <c r="BJ20" s="372">
        <v>0</v>
      </c>
      <c r="BK20" s="17">
        <v>0</v>
      </c>
      <c r="BL20" s="15">
        <v>0</v>
      </c>
      <c r="BM20" s="15">
        <v>0</v>
      </c>
      <c r="BN20" s="17">
        <v>0</v>
      </c>
      <c r="BO20" s="87">
        <v>1</v>
      </c>
      <c r="BP20" s="372">
        <v>0</v>
      </c>
      <c r="BQ20" s="17">
        <v>0</v>
      </c>
      <c r="BR20" s="15">
        <v>0</v>
      </c>
      <c r="BS20" s="15">
        <v>0</v>
      </c>
      <c r="BT20" s="17">
        <v>0</v>
      </c>
      <c r="BU20" s="15">
        <v>0</v>
      </c>
      <c r="BV20" s="15">
        <v>0</v>
      </c>
      <c r="BW20" s="17">
        <v>0</v>
      </c>
      <c r="BX20" s="15">
        <v>0</v>
      </c>
      <c r="BY20" s="15">
        <v>0</v>
      </c>
      <c r="BZ20" s="17">
        <v>0</v>
      </c>
      <c r="CA20" s="15">
        <v>0</v>
      </c>
      <c r="CB20" s="15">
        <v>0</v>
      </c>
      <c r="CC20" s="17">
        <v>0</v>
      </c>
      <c r="CD20" s="392">
        <v>0</v>
      </c>
      <c r="CE20" s="41">
        <v>0</v>
      </c>
      <c r="CF20" s="393">
        <v>0</v>
      </c>
      <c r="CG20" s="15">
        <v>0</v>
      </c>
      <c r="CH20" s="15">
        <v>0</v>
      </c>
      <c r="CI20" s="17">
        <v>0</v>
      </c>
      <c r="CJ20" s="15">
        <v>0</v>
      </c>
      <c r="CK20" s="15">
        <v>0</v>
      </c>
      <c r="CL20" s="17">
        <v>0</v>
      </c>
      <c r="CM20" s="15">
        <v>0</v>
      </c>
      <c r="CN20" s="15">
        <v>0</v>
      </c>
      <c r="CO20" s="17">
        <v>0</v>
      </c>
      <c r="CP20" s="396">
        <v>0</v>
      </c>
      <c r="CQ20" s="50">
        <v>0</v>
      </c>
      <c r="CR20" s="52">
        <v>0</v>
      </c>
      <c r="CS20" s="15">
        <v>0</v>
      </c>
      <c r="CT20" s="15">
        <v>0</v>
      </c>
      <c r="CU20" s="17">
        <v>0</v>
      </c>
      <c r="CV20" s="15">
        <v>0</v>
      </c>
      <c r="CW20" s="15">
        <v>0</v>
      </c>
      <c r="CX20" s="17">
        <v>0</v>
      </c>
      <c r="CY20" s="15">
        <v>0</v>
      </c>
      <c r="CZ20" s="15">
        <v>0</v>
      </c>
      <c r="DA20" s="17">
        <v>0</v>
      </c>
      <c r="DB20" s="396">
        <v>0</v>
      </c>
      <c r="DC20" s="50">
        <v>0</v>
      </c>
      <c r="DD20" s="52">
        <v>0</v>
      </c>
      <c r="DE20" s="15">
        <v>0</v>
      </c>
      <c r="DF20" s="15">
        <v>0</v>
      </c>
      <c r="DG20" s="17">
        <v>0</v>
      </c>
      <c r="DH20" s="15">
        <v>0</v>
      </c>
      <c r="DI20" s="15">
        <v>0</v>
      </c>
      <c r="DJ20" s="17">
        <v>0</v>
      </c>
      <c r="DK20" s="15">
        <v>0</v>
      </c>
      <c r="DL20" s="372">
        <v>0</v>
      </c>
      <c r="DM20" s="17">
        <v>0</v>
      </c>
      <c r="DN20" s="15">
        <v>0</v>
      </c>
      <c r="DO20" s="15">
        <v>0</v>
      </c>
      <c r="DP20" s="17">
        <v>0</v>
      </c>
      <c r="DQ20" s="15">
        <v>0</v>
      </c>
      <c r="DR20" s="15">
        <v>0</v>
      </c>
      <c r="DS20" s="17">
        <v>0</v>
      </c>
      <c r="DT20" s="15">
        <v>0</v>
      </c>
      <c r="DU20" s="15">
        <v>0</v>
      </c>
      <c r="DV20" s="17">
        <v>0</v>
      </c>
      <c r="DW20" s="396">
        <v>0</v>
      </c>
      <c r="DX20" s="50">
        <v>0</v>
      </c>
      <c r="DY20" s="52">
        <v>0</v>
      </c>
      <c r="DZ20" s="105">
        <v>1</v>
      </c>
      <c r="EA20" s="15">
        <v>0</v>
      </c>
      <c r="EB20" s="17">
        <v>0</v>
      </c>
      <c r="EC20" s="105">
        <v>2</v>
      </c>
      <c r="ED20" s="15">
        <v>0</v>
      </c>
      <c r="EE20" s="17">
        <v>0</v>
      </c>
      <c r="EF20" s="15">
        <v>0</v>
      </c>
      <c r="EG20" s="15">
        <v>0</v>
      </c>
      <c r="EH20" s="17">
        <v>0</v>
      </c>
      <c r="EI20" s="15">
        <v>0</v>
      </c>
      <c r="EJ20" s="15">
        <v>0</v>
      </c>
      <c r="EK20" s="17">
        <v>0</v>
      </c>
      <c r="EL20" s="15">
        <v>0</v>
      </c>
      <c r="EM20" s="15">
        <v>0</v>
      </c>
      <c r="EN20" s="17">
        <v>0</v>
      </c>
      <c r="EO20" s="15">
        <v>0</v>
      </c>
      <c r="EP20" s="15">
        <v>0</v>
      </c>
      <c r="EQ20" s="17">
        <v>0</v>
      </c>
      <c r="ER20" s="54"/>
      <c r="ES20" s="15">
        <v>0</v>
      </c>
      <c r="ET20" s="15">
        <v>0</v>
      </c>
      <c r="EU20" s="17">
        <v>0</v>
      </c>
      <c r="EV20" s="55" t="s">
        <v>994</v>
      </c>
      <c r="EW20" s="56"/>
    </row>
    <row r="21" spans="1:153" ht="12.75">
      <c r="A21" s="40">
        <v>43852</v>
      </c>
      <c r="B21" s="366">
        <f t="shared" ref="B21:D21" si="17">SUM(F21,I21,L21,O21,R21,X21,AG21,AJ21,AN21,AQ21,AT21,AW21,AZ21,BC21,BF21,BI21,BL21,BO21,BR21,CA21,CG21,CJ21,CM21,CP21,CV21,CY21,DE21,DH21,DK21,DN21,DQ21,DT21,DZ21,EC21,EL21)</f>
        <v>554</v>
      </c>
      <c r="C21" s="367">
        <f t="shared" si="17"/>
        <v>8</v>
      </c>
      <c r="D21" s="368">
        <f t="shared" si="17"/>
        <v>28</v>
      </c>
      <c r="E21" s="369">
        <f t="shared" si="1"/>
        <v>518</v>
      </c>
      <c r="F21" s="18">
        <v>0</v>
      </c>
      <c r="G21" s="18">
        <v>0</v>
      </c>
      <c r="H21" s="317">
        <v>0</v>
      </c>
      <c r="I21" s="18">
        <v>0</v>
      </c>
      <c r="J21" s="18">
        <v>0</v>
      </c>
      <c r="K21" s="317">
        <v>0</v>
      </c>
      <c r="L21" s="18">
        <v>0</v>
      </c>
      <c r="M21" s="18">
        <v>0</v>
      </c>
      <c r="N21" s="317">
        <v>0</v>
      </c>
      <c r="O21" s="18">
        <v>0</v>
      </c>
      <c r="P21" s="18">
        <v>0</v>
      </c>
      <c r="Q21" s="317">
        <v>0</v>
      </c>
      <c r="R21" s="18">
        <v>0</v>
      </c>
      <c r="S21" s="18">
        <v>0</v>
      </c>
      <c r="T21" s="317">
        <v>0</v>
      </c>
      <c r="U21" s="18">
        <v>0</v>
      </c>
      <c r="V21" s="18">
        <v>0</v>
      </c>
      <c r="W21" s="317">
        <v>0</v>
      </c>
      <c r="X21" s="370">
        <v>0</v>
      </c>
      <c r="Y21" s="341">
        <v>0</v>
      </c>
      <c r="Z21" s="342">
        <v>0</v>
      </c>
      <c r="AA21" s="370">
        <v>0</v>
      </c>
      <c r="AB21" s="341">
        <v>0</v>
      </c>
      <c r="AC21" s="342">
        <v>0</v>
      </c>
      <c r="AD21" s="370">
        <v>0</v>
      </c>
      <c r="AE21" s="341">
        <v>0</v>
      </c>
      <c r="AF21" s="342">
        <v>0</v>
      </c>
      <c r="AG21" s="18">
        <v>0</v>
      </c>
      <c r="AH21" s="18">
        <v>0</v>
      </c>
      <c r="AI21" s="317">
        <v>0</v>
      </c>
      <c r="AJ21" s="105">
        <v>547</v>
      </c>
      <c r="AK21" s="139">
        <v>8</v>
      </c>
      <c r="AL21" s="397">
        <v>28</v>
      </c>
      <c r="AM21" s="371">
        <f t="shared" si="2"/>
        <v>511</v>
      </c>
      <c r="AN21" s="105">
        <v>1</v>
      </c>
      <c r="AO21" s="372">
        <v>0</v>
      </c>
      <c r="AP21" s="317">
        <v>0</v>
      </c>
      <c r="AQ21" s="18">
        <v>0</v>
      </c>
      <c r="AR21" s="18">
        <v>0</v>
      </c>
      <c r="AS21" s="317">
        <v>0</v>
      </c>
      <c r="AT21" s="18">
        <v>0</v>
      </c>
      <c r="AU21" s="372">
        <v>0</v>
      </c>
      <c r="AV21" s="317">
        <v>0</v>
      </c>
      <c r="AW21" s="18">
        <v>0</v>
      </c>
      <c r="AX21" s="372">
        <v>0</v>
      </c>
      <c r="AY21" s="317">
        <v>0</v>
      </c>
      <c r="AZ21" s="18">
        <v>0</v>
      </c>
      <c r="BA21" s="18">
        <v>0</v>
      </c>
      <c r="BB21" s="317">
        <v>0</v>
      </c>
      <c r="BC21" s="18">
        <v>0</v>
      </c>
      <c r="BD21" s="18">
        <v>0</v>
      </c>
      <c r="BE21" s="317">
        <v>0</v>
      </c>
      <c r="BF21" s="18">
        <v>0</v>
      </c>
      <c r="BG21" s="18">
        <v>0</v>
      </c>
      <c r="BH21" s="317">
        <v>0</v>
      </c>
      <c r="BI21" s="18">
        <v>0</v>
      </c>
      <c r="BJ21" s="372">
        <v>0</v>
      </c>
      <c r="BK21" s="317">
        <v>0</v>
      </c>
      <c r="BL21" s="18">
        <v>0</v>
      </c>
      <c r="BM21" s="18">
        <v>0</v>
      </c>
      <c r="BN21" s="317">
        <v>0</v>
      </c>
      <c r="BO21" s="87">
        <v>1</v>
      </c>
      <c r="BP21" s="372">
        <v>0</v>
      </c>
      <c r="BQ21" s="317">
        <v>0</v>
      </c>
      <c r="BR21" s="15">
        <v>0</v>
      </c>
      <c r="BS21" s="15">
        <v>0</v>
      </c>
      <c r="BT21" s="17">
        <v>0</v>
      </c>
      <c r="BU21" s="15">
        <v>0</v>
      </c>
      <c r="BV21" s="15">
        <v>0</v>
      </c>
      <c r="BW21" s="17">
        <v>0</v>
      </c>
      <c r="BX21" s="15">
        <v>0</v>
      </c>
      <c r="BY21" s="15">
        <v>0</v>
      </c>
      <c r="BZ21" s="17">
        <v>0</v>
      </c>
      <c r="CA21" s="18">
        <v>0</v>
      </c>
      <c r="CB21" s="18">
        <v>0</v>
      </c>
      <c r="CC21" s="317">
        <v>0</v>
      </c>
      <c r="CD21" s="386">
        <v>0</v>
      </c>
      <c r="CE21" s="387">
        <v>0</v>
      </c>
      <c r="CF21" s="388">
        <v>0</v>
      </c>
      <c r="CG21" s="18">
        <v>0</v>
      </c>
      <c r="CH21" s="18">
        <v>0</v>
      </c>
      <c r="CI21" s="317">
        <v>0</v>
      </c>
      <c r="CJ21" s="18">
        <v>0</v>
      </c>
      <c r="CK21" s="18">
        <v>0</v>
      </c>
      <c r="CL21" s="317">
        <v>0</v>
      </c>
      <c r="CM21" s="18">
        <v>0</v>
      </c>
      <c r="CN21" s="18">
        <v>0</v>
      </c>
      <c r="CO21" s="317">
        <v>0</v>
      </c>
      <c r="CP21" s="370">
        <v>0</v>
      </c>
      <c r="CQ21" s="341">
        <v>0</v>
      </c>
      <c r="CR21" s="342">
        <v>0</v>
      </c>
      <c r="CS21" s="18">
        <v>0</v>
      </c>
      <c r="CT21" s="18">
        <v>0</v>
      </c>
      <c r="CU21" s="317">
        <v>0</v>
      </c>
      <c r="CV21" s="18">
        <v>0</v>
      </c>
      <c r="CW21" s="18">
        <v>0</v>
      </c>
      <c r="CX21" s="317">
        <v>0</v>
      </c>
      <c r="CY21" s="18">
        <v>0</v>
      </c>
      <c r="CZ21" s="18">
        <v>0</v>
      </c>
      <c r="DA21" s="317">
        <v>0</v>
      </c>
      <c r="DB21" s="370">
        <v>0</v>
      </c>
      <c r="DC21" s="341">
        <v>0</v>
      </c>
      <c r="DD21" s="342">
        <v>0</v>
      </c>
      <c r="DE21" s="18">
        <v>0</v>
      </c>
      <c r="DF21" s="18">
        <v>0</v>
      </c>
      <c r="DG21" s="317">
        <v>0</v>
      </c>
      <c r="DH21" s="18">
        <v>0</v>
      </c>
      <c r="DI21" s="18">
        <v>0</v>
      </c>
      <c r="DJ21" s="317">
        <v>0</v>
      </c>
      <c r="DK21" s="18">
        <v>0</v>
      </c>
      <c r="DL21" s="372">
        <v>0</v>
      </c>
      <c r="DM21" s="317">
        <v>0</v>
      </c>
      <c r="DN21" s="18">
        <v>0</v>
      </c>
      <c r="DO21" s="18">
        <v>0</v>
      </c>
      <c r="DP21" s="317">
        <v>0</v>
      </c>
      <c r="DQ21" s="18">
        <v>0</v>
      </c>
      <c r="DR21" s="18">
        <v>0</v>
      </c>
      <c r="DS21" s="317">
        <v>0</v>
      </c>
      <c r="DT21" s="18">
        <v>0</v>
      </c>
      <c r="DU21" s="18">
        <v>0</v>
      </c>
      <c r="DV21" s="317">
        <v>0</v>
      </c>
      <c r="DW21" s="370">
        <v>0</v>
      </c>
      <c r="DX21" s="341">
        <v>0</v>
      </c>
      <c r="DY21" s="342">
        <v>0</v>
      </c>
      <c r="DZ21" s="105">
        <v>1</v>
      </c>
      <c r="EA21" s="18">
        <v>0</v>
      </c>
      <c r="EB21" s="317">
        <v>0</v>
      </c>
      <c r="EC21" s="105">
        <v>4</v>
      </c>
      <c r="ED21" s="18">
        <v>0</v>
      </c>
      <c r="EE21" s="317">
        <v>0</v>
      </c>
      <c r="EF21" s="18">
        <v>0</v>
      </c>
      <c r="EG21" s="18">
        <v>0</v>
      </c>
      <c r="EH21" s="317">
        <v>0</v>
      </c>
      <c r="EI21" s="18">
        <v>0</v>
      </c>
      <c r="EJ21" s="18">
        <v>0</v>
      </c>
      <c r="EK21" s="317">
        <v>0</v>
      </c>
      <c r="EL21" s="18">
        <v>0</v>
      </c>
      <c r="EM21" s="18">
        <v>0</v>
      </c>
      <c r="EN21" s="317">
        <v>0</v>
      </c>
      <c r="EO21" s="18">
        <v>0</v>
      </c>
      <c r="EP21" s="18">
        <v>0</v>
      </c>
      <c r="EQ21" s="317">
        <v>0</v>
      </c>
      <c r="ER21" s="83"/>
      <c r="ES21" s="18">
        <v>0</v>
      </c>
      <c r="ET21" s="18">
        <v>0</v>
      </c>
      <c r="EU21" s="317">
        <v>0</v>
      </c>
      <c r="EV21" s="55" t="s">
        <v>1001</v>
      </c>
      <c r="EW21" s="57" t="s">
        <v>1002</v>
      </c>
    </row>
    <row r="22" spans="1:153" ht="51">
      <c r="A22" s="93">
        <v>43853</v>
      </c>
      <c r="B22" s="366">
        <f t="shared" ref="B22:D22" si="18">SUM(F22,I22,L22,O22,R22,X22,AG22,AJ22,AN22,AQ22,AT22,AW22,AZ22,BC22,BF22,BI22,BL22,BO22,BR22,CA22,CG22,CJ22,CM22,CP22,CV22,CY22,DE22,DH22,DK22,DN22,DQ22,DT22,DZ22,EC22,EL22)</f>
        <v>648</v>
      </c>
      <c r="C22" s="367">
        <f t="shared" si="18"/>
        <v>16</v>
      </c>
      <c r="D22" s="368">
        <f t="shared" si="18"/>
        <v>30</v>
      </c>
      <c r="E22" s="369">
        <f t="shared" si="1"/>
        <v>602</v>
      </c>
      <c r="F22" s="15">
        <v>0</v>
      </c>
      <c r="G22" s="15">
        <v>0</v>
      </c>
      <c r="H22" s="17">
        <v>0</v>
      </c>
      <c r="I22" s="15">
        <v>0</v>
      </c>
      <c r="J22" s="15">
        <v>0</v>
      </c>
      <c r="K22" s="17">
        <v>0</v>
      </c>
      <c r="L22" s="15">
        <v>0</v>
      </c>
      <c r="M22" s="15">
        <v>0</v>
      </c>
      <c r="N22" s="17">
        <v>0</v>
      </c>
      <c r="O22" s="15">
        <v>0</v>
      </c>
      <c r="P22" s="15">
        <v>0</v>
      </c>
      <c r="Q22" s="17">
        <v>0</v>
      </c>
      <c r="R22" s="15">
        <v>0</v>
      </c>
      <c r="S22" s="15">
        <v>0</v>
      </c>
      <c r="T22" s="17">
        <v>0</v>
      </c>
      <c r="U22" s="15">
        <v>0</v>
      </c>
      <c r="V22" s="15">
        <v>0</v>
      </c>
      <c r="W22" s="17">
        <v>0</v>
      </c>
      <c r="X22" s="396">
        <v>0</v>
      </c>
      <c r="Y22" s="50">
        <v>0</v>
      </c>
      <c r="Z22" s="52">
        <v>0</v>
      </c>
      <c r="AA22" s="396">
        <v>0</v>
      </c>
      <c r="AB22" s="50">
        <v>0</v>
      </c>
      <c r="AC22" s="52">
        <v>0</v>
      </c>
      <c r="AD22" s="396">
        <v>0</v>
      </c>
      <c r="AE22" s="50">
        <v>0</v>
      </c>
      <c r="AF22" s="52">
        <v>0</v>
      </c>
      <c r="AG22" s="15">
        <v>0</v>
      </c>
      <c r="AH22" s="15">
        <v>0</v>
      </c>
      <c r="AI22" s="17">
        <v>0</v>
      </c>
      <c r="AJ22" s="105">
        <v>639</v>
      </c>
      <c r="AK22" s="139">
        <v>16</v>
      </c>
      <c r="AL22" s="397">
        <v>30</v>
      </c>
      <c r="AM22" s="371">
        <f t="shared" si="2"/>
        <v>593</v>
      </c>
      <c r="AN22" s="105">
        <v>1</v>
      </c>
      <c r="AO22" s="372">
        <v>0</v>
      </c>
      <c r="AP22" s="17">
        <v>0</v>
      </c>
      <c r="AQ22" s="15">
        <v>0</v>
      </c>
      <c r="AR22" s="15">
        <v>0</v>
      </c>
      <c r="AS22" s="17">
        <v>0</v>
      </c>
      <c r="AT22" s="15">
        <v>0</v>
      </c>
      <c r="AU22" s="372">
        <v>0</v>
      </c>
      <c r="AV22" s="17">
        <v>0</v>
      </c>
      <c r="AW22" s="15">
        <v>0</v>
      </c>
      <c r="AX22" s="372">
        <v>0</v>
      </c>
      <c r="AY22" s="17">
        <v>0</v>
      </c>
      <c r="AZ22" s="15">
        <v>0</v>
      </c>
      <c r="BA22" s="15">
        <v>0</v>
      </c>
      <c r="BB22" s="17">
        <v>0</v>
      </c>
      <c r="BC22" s="15">
        <v>0</v>
      </c>
      <c r="BD22" s="15">
        <v>0</v>
      </c>
      <c r="BE22" s="17">
        <v>0</v>
      </c>
      <c r="BF22" s="15">
        <v>0</v>
      </c>
      <c r="BG22" s="15">
        <v>0</v>
      </c>
      <c r="BH22" s="17">
        <v>0</v>
      </c>
      <c r="BI22" s="15">
        <v>0</v>
      </c>
      <c r="BJ22" s="372">
        <v>0</v>
      </c>
      <c r="BK22" s="17">
        <v>0</v>
      </c>
      <c r="BL22" s="15">
        <v>0</v>
      </c>
      <c r="BM22" s="15">
        <v>0</v>
      </c>
      <c r="BN22" s="17">
        <v>0</v>
      </c>
      <c r="BO22" s="87">
        <v>1</v>
      </c>
      <c r="BP22" s="372">
        <v>0</v>
      </c>
      <c r="BQ22" s="17">
        <v>0</v>
      </c>
      <c r="BR22" s="15">
        <v>0</v>
      </c>
      <c r="BS22" s="15">
        <v>0</v>
      </c>
      <c r="BT22" s="17">
        <v>0</v>
      </c>
      <c r="BU22" s="15">
        <v>0</v>
      </c>
      <c r="BV22" s="15">
        <v>0</v>
      </c>
      <c r="BW22" s="17">
        <v>0</v>
      </c>
      <c r="BX22" s="15">
        <v>0</v>
      </c>
      <c r="BY22" s="15">
        <v>0</v>
      </c>
      <c r="BZ22" s="17">
        <v>0</v>
      </c>
      <c r="CA22" s="15">
        <v>0</v>
      </c>
      <c r="CB22" s="15">
        <v>0</v>
      </c>
      <c r="CC22" s="17">
        <v>0</v>
      </c>
      <c r="CD22" s="392">
        <v>0</v>
      </c>
      <c r="CE22" s="41">
        <v>0</v>
      </c>
      <c r="CF22" s="393">
        <v>0</v>
      </c>
      <c r="CG22" s="15">
        <v>0</v>
      </c>
      <c r="CH22" s="15">
        <v>0</v>
      </c>
      <c r="CI22" s="17">
        <v>0</v>
      </c>
      <c r="CJ22" s="15">
        <v>0</v>
      </c>
      <c r="CK22" s="15">
        <v>0</v>
      </c>
      <c r="CL22" s="17">
        <v>0</v>
      </c>
      <c r="CM22" s="15">
        <v>0</v>
      </c>
      <c r="CN22" s="15">
        <v>0</v>
      </c>
      <c r="CO22" s="17">
        <v>0</v>
      </c>
      <c r="CP22" s="396">
        <v>0</v>
      </c>
      <c r="CQ22" s="50">
        <v>0</v>
      </c>
      <c r="CR22" s="52">
        <v>0</v>
      </c>
      <c r="CS22" s="15">
        <v>0</v>
      </c>
      <c r="CT22" s="15">
        <v>0</v>
      </c>
      <c r="CU22" s="17">
        <v>0</v>
      </c>
      <c r="CV22" s="15">
        <v>0</v>
      </c>
      <c r="CW22" s="15">
        <v>0</v>
      </c>
      <c r="CX22" s="17">
        <v>0</v>
      </c>
      <c r="CY22" s="15">
        <v>0</v>
      </c>
      <c r="CZ22" s="15">
        <v>0</v>
      </c>
      <c r="DA22" s="17">
        <v>0</v>
      </c>
      <c r="DB22" s="396">
        <v>0</v>
      </c>
      <c r="DC22" s="50">
        <v>0</v>
      </c>
      <c r="DD22" s="52">
        <v>0</v>
      </c>
      <c r="DE22" s="15">
        <v>0</v>
      </c>
      <c r="DF22" s="15">
        <v>0</v>
      </c>
      <c r="DG22" s="17">
        <v>0</v>
      </c>
      <c r="DH22" s="15">
        <v>0</v>
      </c>
      <c r="DI22" s="15">
        <v>0</v>
      </c>
      <c r="DJ22" s="17">
        <v>0</v>
      </c>
      <c r="DK22" s="15">
        <v>0</v>
      </c>
      <c r="DL22" s="372">
        <v>0</v>
      </c>
      <c r="DM22" s="17">
        <v>0</v>
      </c>
      <c r="DN22" s="15">
        <v>0</v>
      </c>
      <c r="DO22" s="15">
        <v>0</v>
      </c>
      <c r="DP22" s="17">
        <v>0</v>
      </c>
      <c r="DQ22" s="15">
        <v>0</v>
      </c>
      <c r="DR22" s="15">
        <v>0</v>
      </c>
      <c r="DS22" s="17">
        <v>0</v>
      </c>
      <c r="DT22" s="15">
        <v>0</v>
      </c>
      <c r="DU22" s="15">
        <v>0</v>
      </c>
      <c r="DV22" s="17">
        <v>0</v>
      </c>
      <c r="DW22" s="396">
        <v>0</v>
      </c>
      <c r="DX22" s="50">
        <v>0</v>
      </c>
      <c r="DY22" s="52">
        <v>0</v>
      </c>
      <c r="DZ22" s="105">
        <v>1</v>
      </c>
      <c r="EA22" s="15">
        <v>0</v>
      </c>
      <c r="EB22" s="17">
        <v>0</v>
      </c>
      <c r="EC22" s="105">
        <v>4</v>
      </c>
      <c r="ED22" s="15">
        <v>0</v>
      </c>
      <c r="EE22" s="17">
        <v>0</v>
      </c>
      <c r="EF22" s="15">
        <v>0</v>
      </c>
      <c r="EG22" s="15">
        <v>0</v>
      </c>
      <c r="EH22" s="17">
        <v>0</v>
      </c>
      <c r="EI22" s="15">
        <v>0</v>
      </c>
      <c r="EJ22" s="15">
        <v>0</v>
      </c>
      <c r="EK22" s="17">
        <v>0</v>
      </c>
      <c r="EL22" s="105">
        <v>2</v>
      </c>
      <c r="EM22" s="15">
        <v>0</v>
      </c>
      <c r="EN22" s="17">
        <v>0</v>
      </c>
      <c r="EO22" s="15">
        <v>0</v>
      </c>
      <c r="EP22" s="15">
        <v>0</v>
      </c>
      <c r="EQ22" s="17">
        <v>0</v>
      </c>
      <c r="ER22" s="54"/>
      <c r="ES22" s="15">
        <v>0</v>
      </c>
      <c r="ET22" s="15">
        <v>0</v>
      </c>
      <c r="EU22" s="17">
        <v>0</v>
      </c>
      <c r="EV22" s="39" t="s">
        <v>190</v>
      </c>
      <c r="EW22" s="75" t="s">
        <v>191</v>
      </c>
    </row>
    <row r="23" spans="1:153" ht="12.75">
      <c r="A23" s="93">
        <v>43854</v>
      </c>
      <c r="B23" s="366">
        <f t="shared" ref="B23:D23" si="19">SUM(F23,I23,L23,O23,R23,X23,AG23,AJ23,AN23,AQ23,AT23,AW23,AZ23,BC23,BF23,BI23,BL23,BO23,BR23,CA23,CG23,CJ23,CM23,CP23,CV23,CY23,DE23,DH23,DK23,DN23,DQ23,DT23,DZ23,EC23,EL23)</f>
        <v>934</v>
      </c>
      <c r="C23" s="367">
        <f t="shared" si="19"/>
        <v>25</v>
      </c>
      <c r="D23" s="368">
        <f t="shared" si="19"/>
        <v>36</v>
      </c>
      <c r="E23" s="369">
        <f t="shared" si="1"/>
        <v>873</v>
      </c>
      <c r="F23" s="18">
        <v>0</v>
      </c>
      <c r="G23" s="18">
        <v>0</v>
      </c>
      <c r="H23" s="317">
        <v>0</v>
      </c>
      <c r="I23" s="18">
        <v>0</v>
      </c>
      <c r="J23" s="18">
        <v>0</v>
      </c>
      <c r="K23" s="317">
        <v>0</v>
      </c>
      <c r="L23" s="18">
        <v>0</v>
      </c>
      <c r="M23" s="18">
        <v>0</v>
      </c>
      <c r="N23" s="317">
        <v>0</v>
      </c>
      <c r="O23" s="18">
        <v>0</v>
      </c>
      <c r="P23" s="18">
        <v>0</v>
      </c>
      <c r="Q23" s="317">
        <v>0</v>
      </c>
      <c r="R23" s="18">
        <v>0</v>
      </c>
      <c r="S23" s="18">
        <v>0</v>
      </c>
      <c r="T23" s="317">
        <v>0</v>
      </c>
      <c r="U23" s="18">
        <v>0</v>
      </c>
      <c r="V23" s="18">
        <v>0</v>
      </c>
      <c r="W23" s="317">
        <v>0</v>
      </c>
      <c r="X23" s="370">
        <v>0</v>
      </c>
      <c r="Y23" s="341">
        <v>0</v>
      </c>
      <c r="Z23" s="342">
        <v>0</v>
      </c>
      <c r="AA23" s="370">
        <v>0</v>
      </c>
      <c r="AB23" s="341">
        <v>0</v>
      </c>
      <c r="AC23" s="342">
        <v>0</v>
      </c>
      <c r="AD23" s="370">
        <v>0</v>
      </c>
      <c r="AE23" s="341">
        <v>0</v>
      </c>
      <c r="AF23" s="342">
        <v>0</v>
      </c>
      <c r="AG23" s="18">
        <v>0</v>
      </c>
      <c r="AH23" s="18">
        <v>0</v>
      </c>
      <c r="AI23" s="317">
        <v>0</v>
      </c>
      <c r="AJ23" s="105">
        <v>916</v>
      </c>
      <c r="AK23" s="139">
        <v>25</v>
      </c>
      <c r="AL23" s="397">
        <v>36</v>
      </c>
      <c r="AM23" s="371">
        <f t="shared" si="2"/>
        <v>855</v>
      </c>
      <c r="AN23" s="105">
        <v>1</v>
      </c>
      <c r="AO23" s="372">
        <v>0</v>
      </c>
      <c r="AP23" s="317">
        <v>0</v>
      </c>
      <c r="AQ23" s="18">
        <v>0</v>
      </c>
      <c r="AR23" s="18">
        <v>0</v>
      </c>
      <c r="AS23" s="317">
        <v>0</v>
      </c>
      <c r="AT23" s="18">
        <v>0</v>
      </c>
      <c r="AU23" s="372">
        <v>0</v>
      </c>
      <c r="AV23" s="317">
        <v>0</v>
      </c>
      <c r="AW23" s="87">
        <v>5</v>
      </c>
      <c r="AX23" s="372">
        <v>0</v>
      </c>
      <c r="AY23" s="317">
        <v>0</v>
      </c>
      <c r="AZ23" s="18">
        <v>0</v>
      </c>
      <c r="BA23" s="18">
        <v>0</v>
      </c>
      <c r="BB23" s="317">
        <v>0</v>
      </c>
      <c r="BC23" s="18">
        <v>0</v>
      </c>
      <c r="BD23" s="18">
        <v>0</v>
      </c>
      <c r="BE23" s="317">
        <v>0</v>
      </c>
      <c r="BF23" s="18">
        <v>0</v>
      </c>
      <c r="BG23" s="18">
        <v>0</v>
      </c>
      <c r="BH23" s="317">
        <v>0</v>
      </c>
      <c r="BI23" s="18">
        <v>0</v>
      </c>
      <c r="BJ23" s="372">
        <v>0</v>
      </c>
      <c r="BK23" s="317">
        <v>0</v>
      </c>
      <c r="BL23" s="18">
        <v>0</v>
      </c>
      <c r="BM23" s="18">
        <v>0</v>
      </c>
      <c r="BN23" s="317">
        <v>0</v>
      </c>
      <c r="BO23" s="87">
        <v>1</v>
      </c>
      <c r="BP23" s="372">
        <v>0</v>
      </c>
      <c r="BQ23" s="317">
        <v>0</v>
      </c>
      <c r="BR23" s="15">
        <v>0</v>
      </c>
      <c r="BS23" s="15">
        <v>0</v>
      </c>
      <c r="BT23" s="17">
        <v>0</v>
      </c>
      <c r="BU23" s="15">
        <v>0</v>
      </c>
      <c r="BV23" s="15">
        <v>0</v>
      </c>
      <c r="BW23" s="17">
        <v>0</v>
      </c>
      <c r="BX23" s="15">
        <v>0</v>
      </c>
      <c r="BY23" s="15">
        <v>0</v>
      </c>
      <c r="BZ23" s="17">
        <v>0</v>
      </c>
      <c r="CA23" s="18">
        <v>0</v>
      </c>
      <c r="CB23" s="18">
        <v>0</v>
      </c>
      <c r="CC23" s="317">
        <v>0</v>
      </c>
      <c r="CD23" s="386">
        <v>0</v>
      </c>
      <c r="CE23" s="387">
        <v>0</v>
      </c>
      <c r="CF23" s="388">
        <v>0</v>
      </c>
      <c r="CG23" s="18">
        <v>0</v>
      </c>
      <c r="CH23" s="18">
        <v>0</v>
      </c>
      <c r="CI23" s="317">
        <v>0</v>
      </c>
      <c r="CJ23" s="105">
        <v>2</v>
      </c>
      <c r="CK23" s="18">
        <v>0</v>
      </c>
      <c r="CL23" s="317">
        <v>0</v>
      </c>
      <c r="CM23" s="18">
        <v>0</v>
      </c>
      <c r="CN23" s="18">
        <v>0</v>
      </c>
      <c r="CO23" s="317">
        <v>0</v>
      </c>
      <c r="CP23" s="370">
        <v>0</v>
      </c>
      <c r="CQ23" s="341">
        <v>0</v>
      </c>
      <c r="CR23" s="342">
        <v>0</v>
      </c>
      <c r="CS23" s="18">
        <v>0</v>
      </c>
      <c r="CT23" s="18">
        <v>0</v>
      </c>
      <c r="CU23" s="317">
        <v>0</v>
      </c>
      <c r="CV23" s="87">
        <v>1</v>
      </c>
      <c r="CW23" s="18">
        <v>0</v>
      </c>
      <c r="CX23" s="317">
        <v>0</v>
      </c>
      <c r="CY23" s="18">
        <v>0</v>
      </c>
      <c r="CZ23" s="18">
        <v>0</v>
      </c>
      <c r="DA23" s="317">
        <v>0</v>
      </c>
      <c r="DB23" s="370">
        <v>0</v>
      </c>
      <c r="DC23" s="341">
        <v>0</v>
      </c>
      <c r="DD23" s="342">
        <v>0</v>
      </c>
      <c r="DE23" s="18">
        <v>0</v>
      </c>
      <c r="DF23" s="18">
        <v>0</v>
      </c>
      <c r="DG23" s="317">
        <v>0</v>
      </c>
      <c r="DH23" s="18">
        <v>0</v>
      </c>
      <c r="DI23" s="18">
        <v>0</v>
      </c>
      <c r="DJ23" s="317">
        <v>0</v>
      </c>
      <c r="DK23" s="18">
        <v>0</v>
      </c>
      <c r="DL23" s="372">
        <v>0</v>
      </c>
      <c r="DM23" s="317">
        <v>0</v>
      </c>
      <c r="DN23" s="18">
        <v>0</v>
      </c>
      <c r="DO23" s="18">
        <v>0</v>
      </c>
      <c r="DP23" s="317">
        <v>0</v>
      </c>
      <c r="DQ23" s="105">
        <v>1</v>
      </c>
      <c r="DR23" s="18">
        <v>0</v>
      </c>
      <c r="DS23" s="317">
        <v>0</v>
      </c>
      <c r="DT23" s="18">
        <v>0</v>
      </c>
      <c r="DU23" s="18">
        <v>0</v>
      </c>
      <c r="DV23" s="317">
        <v>0</v>
      </c>
      <c r="DW23" s="370">
        <v>0</v>
      </c>
      <c r="DX23" s="341">
        <v>0</v>
      </c>
      <c r="DY23" s="342">
        <v>0</v>
      </c>
      <c r="DZ23" s="105">
        <v>1</v>
      </c>
      <c r="EA23" s="18">
        <v>0</v>
      </c>
      <c r="EB23" s="317">
        <v>0</v>
      </c>
      <c r="EC23" s="105">
        <v>4</v>
      </c>
      <c r="ED23" s="18">
        <v>0</v>
      </c>
      <c r="EE23" s="317">
        <v>0</v>
      </c>
      <c r="EF23" s="18">
        <v>0</v>
      </c>
      <c r="EG23" s="18">
        <v>0</v>
      </c>
      <c r="EH23" s="317">
        <v>0</v>
      </c>
      <c r="EI23" s="18">
        <v>0</v>
      </c>
      <c r="EJ23" s="18">
        <v>0</v>
      </c>
      <c r="EK23" s="317">
        <v>0</v>
      </c>
      <c r="EL23" s="105">
        <v>2</v>
      </c>
      <c r="EM23" s="18">
        <v>0</v>
      </c>
      <c r="EN23" s="317">
        <v>0</v>
      </c>
      <c r="EO23" s="18">
        <v>0</v>
      </c>
      <c r="EP23" s="18">
        <v>0</v>
      </c>
      <c r="EQ23" s="317">
        <v>0</v>
      </c>
      <c r="ER23" s="83"/>
      <c r="ES23" s="18">
        <v>0</v>
      </c>
      <c r="ET23" s="18">
        <v>0</v>
      </c>
      <c r="EU23" s="317">
        <v>0</v>
      </c>
      <c r="EV23" s="55" t="s">
        <v>1011</v>
      </c>
      <c r="EW23" s="77" t="s">
        <v>192</v>
      </c>
    </row>
    <row r="24" spans="1:153" ht="12.75">
      <c r="A24" s="40">
        <v>43855</v>
      </c>
      <c r="B24" s="366">
        <f t="shared" ref="B24:D24" si="20">SUM(F24,I24,L24,O24,R24,X24,AG24,AJ24,AN24,AQ24,AT24,AW24,AZ24,BC24,BF24,BI24,BL24,BO24,BR24,CA24,CG24,CJ24,CM24,CP24,CV24,CY24,DE24,DH24,DK24,DN24,DQ24,DT24,DZ24,EC24,EL24)</f>
        <v>2065</v>
      </c>
      <c r="C24" s="367">
        <f t="shared" si="20"/>
        <v>40</v>
      </c>
      <c r="D24" s="368">
        <f t="shared" si="20"/>
        <v>49</v>
      </c>
      <c r="E24" s="369">
        <f t="shared" si="1"/>
        <v>1976</v>
      </c>
      <c r="F24" s="15">
        <v>0</v>
      </c>
      <c r="G24" s="15">
        <v>0</v>
      </c>
      <c r="H24" s="17">
        <v>0</v>
      </c>
      <c r="I24" s="15">
        <v>0</v>
      </c>
      <c r="J24" s="15">
        <v>0</v>
      </c>
      <c r="K24" s="17">
        <v>0</v>
      </c>
      <c r="L24" s="15">
        <v>0</v>
      </c>
      <c r="M24" s="15">
        <v>0</v>
      </c>
      <c r="N24" s="17">
        <v>0</v>
      </c>
      <c r="O24" s="15">
        <v>0</v>
      </c>
      <c r="P24" s="15">
        <v>0</v>
      </c>
      <c r="Q24" s="17">
        <v>0</v>
      </c>
      <c r="R24" s="15">
        <v>0</v>
      </c>
      <c r="S24" s="15">
        <v>0</v>
      </c>
      <c r="T24" s="17">
        <v>0</v>
      </c>
      <c r="U24" s="15">
        <v>0</v>
      </c>
      <c r="V24" s="15">
        <v>0</v>
      </c>
      <c r="W24" s="17">
        <v>0</v>
      </c>
      <c r="X24" s="396">
        <v>0</v>
      </c>
      <c r="Y24" s="50">
        <v>0</v>
      </c>
      <c r="Z24" s="52">
        <v>0</v>
      </c>
      <c r="AA24" s="396">
        <v>0</v>
      </c>
      <c r="AB24" s="50">
        <v>0</v>
      </c>
      <c r="AC24" s="52">
        <v>0</v>
      </c>
      <c r="AD24" s="396">
        <v>0</v>
      </c>
      <c r="AE24" s="50">
        <v>0</v>
      </c>
      <c r="AF24" s="52">
        <v>0</v>
      </c>
      <c r="AG24" s="15">
        <v>0</v>
      </c>
      <c r="AH24" s="15">
        <v>0</v>
      </c>
      <c r="AI24" s="17">
        <v>0</v>
      </c>
      <c r="AJ24" s="105">
        <v>2040</v>
      </c>
      <c r="AK24" s="139">
        <v>40</v>
      </c>
      <c r="AL24" s="397">
        <v>49</v>
      </c>
      <c r="AM24" s="371">
        <f t="shared" si="2"/>
        <v>1951</v>
      </c>
      <c r="AN24" s="105">
        <v>2</v>
      </c>
      <c r="AO24" s="372">
        <v>0</v>
      </c>
      <c r="AP24" s="17">
        <v>0</v>
      </c>
      <c r="AQ24" s="15">
        <v>0</v>
      </c>
      <c r="AR24" s="15">
        <v>0</v>
      </c>
      <c r="AS24" s="17">
        <v>0</v>
      </c>
      <c r="AT24" s="15">
        <v>0</v>
      </c>
      <c r="AU24" s="372">
        <v>0</v>
      </c>
      <c r="AV24" s="17">
        <v>0</v>
      </c>
      <c r="AW24" s="87">
        <v>5</v>
      </c>
      <c r="AX24" s="372">
        <v>0</v>
      </c>
      <c r="AY24" s="17">
        <v>0</v>
      </c>
      <c r="AZ24" s="15">
        <v>0</v>
      </c>
      <c r="BA24" s="15">
        <v>0</v>
      </c>
      <c r="BB24" s="17">
        <v>0</v>
      </c>
      <c r="BC24" s="15">
        <v>0</v>
      </c>
      <c r="BD24" s="15">
        <v>0</v>
      </c>
      <c r="BE24" s="17">
        <v>0</v>
      </c>
      <c r="BF24" s="15">
        <v>0</v>
      </c>
      <c r="BG24" s="15">
        <v>0</v>
      </c>
      <c r="BH24" s="17">
        <v>0</v>
      </c>
      <c r="BI24" s="15">
        <v>0</v>
      </c>
      <c r="BJ24" s="372">
        <v>0</v>
      </c>
      <c r="BK24" s="17">
        <v>0</v>
      </c>
      <c r="BL24" s="15">
        <v>0</v>
      </c>
      <c r="BM24" s="15">
        <v>0</v>
      </c>
      <c r="BN24" s="17">
        <v>0</v>
      </c>
      <c r="BO24" s="87">
        <v>3</v>
      </c>
      <c r="BP24" s="372">
        <v>0</v>
      </c>
      <c r="BQ24" s="17">
        <v>0</v>
      </c>
      <c r="BR24" s="15">
        <v>0</v>
      </c>
      <c r="BS24" s="15">
        <v>0</v>
      </c>
      <c r="BT24" s="17">
        <v>0</v>
      </c>
      <c r="BU24" s="15">
        <v>0</v>
      </c>
      <c r="BV24" s="15">
        <v>0</v>
      </c>
      <c r="BW24" s="17">
        <v>0</v>
      </c>
      <c r="BX24" s="15">
        <v>0</v>
      </c>
      <c r="BY24" s="15">
        <v>0</v>
      </c>
      <c r="BZ24" s="17">
        <v>0</v>
      </c>
      <c r="CA24" s="15">
        <v>0</v>
      </c>
      <c r="CB24" s="15">
        <v>0</v>
      </c>
      <c r="CC24" s="17">
        <v>0</v>
      </c>
      <c r="CD24" s="392">
        <v>0</v>
      </c>
      <c r="CE24" s="41">
        <v>0</v>
      </c>
      <c r="CF24" s="393">
        <v>0</v>
      </c>
      <c r="CG24" s="15">
        <v>0</v>
      </c>
      <c r="CH24" s="15">
        <v>0</v>
      </c>
      <c r="CI24" s="17">
        <v>0</v>
      </c>
      <c r="CJ24" s="87">
        <v>2</v>
      </c>
      <c r="CK24" s="15">
        <v>0</v>
      </c>
      <c r="CL24" s="17">
        <v>0</v>
      </c>
      <c r="CM24" s="15">
        <v>0</v>
      </c>
      <c r="CN24" s="15">
        <v>0</v>
      </c>
      <c r="CO24" s="17">
        <v>0</v>
      </c>
      <c r="CP24" s="396">
        <v>0</v>
      </c>
      <c r="CQ24" s="50">
        <v>0</v>
      </c>
      <c r="CR24" s="52">
        <v>0</v>
      </c>
      <c r="CS24" s="15">
        <v>0</v>
      </c>
      <c r="CT24" s="15">
        <v>0</v>
      </c>
      <c r="CU24" s="17">
        <v>0</v>
      </c>
      <c r="CV24" s="87">
        <v>1</v>
      </c>
      <c r="CW24" s="15">
        <v>0</v>
      </c>
      <c r="CX24" s="17">
        <v>0</v>
      </c>
      <c r="CY24" s="15">
        <v>0</v>
      </c>
      <c r="CZ24" s="15">
        <v>0</v>
      </c>
      <c r="DA24" s="17">
        <v>0</v>
      </c>
      <c r="DB24" s="396">
        <v>0</v>
      </c>
      <c r="DC24" s="50">
        <v>0</v>
      </c>
      <c r="DD24" s="52">
        <v>0</v>
      </c>
      <c r="DE24" s="15">
        <v>0</v>
      </c>
      <c r="DF24" s="15">
        <v>0</v>
      </c>
      <c r="DG24" s="17">
        <v>0</v>
      </c>
      <c r="DH24" s="15">
        <v>0</v>
      </c>
      <c r="DI24" s="15">
        <v>0</v>
      </c>
      <c r="DJ24" s="17">
        <v>0</v>
      </c>
      <c r="DK24" s="15">
        <v>0</v>
      </c>
      <c r="DL24" s="372">
        <v>0</v>
      </c>
      <c r="DM24" s="17">
        <v>0</v>
      </c>
      <c r="DN24" s="15">
        <v>0</v>
      </c>
      <c r="DO24" s="15">
        <v>0</v>
      </c>
      <c r="DP24" s="17">
        <v>0</v>
      </c>
      <c r="DQ24" s="87">
        <v>3</v>
      </c>
      <c r="DR24" s="15">
        <v>0</v>
      </c>
      <c r="DS24" s="17">
        <v>0</v>
      </c>
      <c r="DT24" s="15">
        <v>0</v>
      </c>
      <c r="DU24" s="15">
        <v>0</v>
      </c>
      <c r="DV24" s="17">
        <v>0</v>
      </c>
      <c r="DW24" s="396">
        <v>0</v>
      </c>
      <c r="DX24" s="50">
        <v>0</v>
      </c>
      <c r="DY24" s="52">
        <v>0</v>
      </c>
      <c r="DZ24" s="105">
        <v>3</v>
      </c>
      <c r="EA24" s="15">
        <v>0</v>
      </c>
      <c r="EB24" s="17">
        <v>0</v>
      </c>
      <c r="EC24" s="105">
        <v>4</v>
      </c>
      <c r="ED24" s="15">
        <v>0</v>
      </c>
      <c r="EE24" s="17">
        <v>0</v>
      </c>
      <c r="EF24" s="15">
        <v>0</v>
      </c>
      <c r="EG24" s="15">
        <v>0</v>
      </c>
      <c r="EH24" s="17">
        <v>0</v>
      </c>
      <c r="EI24" s="15">
        <v>0</v>
      </c>
      <c r="EJ24" s="15">
        <v>0</v>
      </c>
      <c r="EK24" s="17">
        <v>0</v>
      </c>
      <c r="EL24" s="105">
        <v>2</v>
      </c>
      <c r="EM24" s="15">
        <v>0</v>
      </c>
      <c r="EN24" s="17">
        <v>0</v>
      </c>
      <c r="EO24" s="15">
        <v>0</v>
      </c>
      <c r="EP24" s="15">
        <v>0</v>
      </c>
      <c r="EQ24" s="17">
        <v>0</v>
      </c>
      <c r="ER24" s="54"/>
      <c r="ES24" s="15">
        <v>0</v>
      </c>
      <c r="ET24" s="15">
        <v>0</v>
      </c>
      <c r="EU24" s="17">
        <v>0</v>
      </c>
      <c r="EV24" s="55"/>
      <c r="EW24" s="77" t="s">
        <v>1019</v>
      </c>
    </row>
    <row r="25" spans="1:153" ht="14.25">
      <c r="A25" s="40">
        <v>43856</v>
      </c>
      <c r="B25" s="366">
        <f t="shared" ref="B25:D25" si="21">SUM(F25,I25,L25,O25,R25,X25,AG25,AJ25,AN25,AQ25,AT25,AW25,AZ25,BC25,BF25,BI25,BL25,BO25,BR25,CA25,CG25,CJ25,CM25,CP25,CV25,CY25,DE25,DH25,DK25,DN25,DQ25,DT25,DZ25,EC25,EL25)</f>
        <v>2797</v>
      </c>
      <c r="C25" s="367">
        <f t="shared" si="21"/>
        <v>80</v>
      </c>
      <c r="D25" s="368">
        <f t="shared" si="21"/>
        <v>54</v>
      </c>
      <c r="E25" s="369">
        <f t="shared" si="1"/>
        <v>2663</v>
      </c>
      <c r="F25" s="18">
        <v>0</v>
      </c>
      <c r="G25" s="18">
        <v>0</v>
      </c>
      <c r="H25" s="317">
        <v>0</v>
      </c>
      <c r="I25" s="18">
        <v>0</v>
      </c>
      <c r="J25" s="18">
        <v>0</v>
      </c>
      <c r="K25" s="317">
        <v>0</v>
      </c>
      <c r="L25" s="18">
        <v>0</v>
      </c>
      <c r="M25" s="18">
        <v>0</v>
      </c>
      <c r="N25" s="317">
        <v>0</v>
      </c>
      <c r="O25" s="18">
        <v>0</v>
      </c>
      <c r="P25" s="18">
        <v>0</v>
      </c>
      <c r="Q25" s="317">
        <v>0</v>
      </c>
      <c r="R25" s="18">
        <v>0</v>
      </c>
      <c r="S25" s="18">
        <v>0</v>
      </c>
      <c r="T25" s="317">
        <v>0</v>
      </c>
      <c r="U25" s="18">
        <v>0</v>
      </c>
      <c r="V25" s="18">
        <v>0</v>
      </c>
      <c r="W25" s="317">
        <v>0</v>
      </c>
      <c r="X25" s="370">
        <v>0</v>
      </c>
      <c r="Y25" s="341">
        <v>0</v>
      </c>
      <c r="Z25" s="342">
        <v>0</v>
      </c>
      <c r="AA25" s="370">
        <v>0</v>
      </c>
      <c r="AB25" s="341">
        <v>0</v>
      </c>
      <c r="AC25" s="342">
        <v>0</v>
      </c>
      <c r="AD25" s="370">
        <v>0</v>
      </c>
      <c r="AE25" s="341">
        <v>0</v>
      </c>
      <c r="AF25" s="342">
        <v>0</v>
      </c>
      <c r="AG25" s="18">
        <v>0</v>
      </c>
      <c r="AH25" s="18">
        <v>0</v>
      </c>
      <c r="AI25" s="317">
        <v>0</v>
      </c>
      <c r="AJ25" s="105">
        <v>2757</v>
      </c>
      <c r="AK25" s="399">
        <v>80</v>
      </c>
      <c r="AL25" s="397">
        <v>54</v>
      </c>
      <c r="AM25" s="371">
        <f t="shared" si="2"/>
        <v>2623</v>
      </c>
      <c r="AN25" s="105">
        <v>4</v>
      </c>
      <c r="AO25" s="372">
        <v>0</v>
      </c>
      <c r="AP25" s="317">
        <v>0</v>
      </c>
      <c r="AQ25" s="18">
        <v>0</v>
      </c>
      <c r="AR25" s="18">
        <v>0</v>
      </c>
      <c r="AS25" s="317">
        <v>0</v>
      </c>
      <c r="AT25" s="18">
        <v>0</v>
      </c>
      <c r="AU25" s="372">
        <v>0</v>
      </c>
      <c r="AV25" s="317">
        <v>0</v>
      </c>
      <c r="AW25" s="87">
        <v>8</v>
      </c>
      <c r="AX25" s="372">
        <v>0</v>
      </c>
      <c r="AY25" s="317">
        <v>0</v>
      </c>
      <c r="AZ25" s="18">
        <v>0</v>
      </c>
      <c r="BA25" s="18">
        <v>0</v>
      </c>
      <c r="BB25" s="317">
        <v>0</v>
      </c>
      <c r="BC25" s="18">
        <v>0</v>
      </c>
      <c r="BD25" s="18">
        <v>0</v>
      </c>
      <c r="BE25" s="317">
        <v>0</v>
      </c>
      <c r="BF25" s="18">
        <v>0</v>
      </c>
      <c r="BG25" s="18">
        <v>0</v>
      </c>
      <c r="BH25" s="317">
        <v>0</v>
      </c>
      <c r="BI25" s="18">
        <v>0</v>
      </c>
      <c r="BJ25" s="372">
        <v>0</v>
      </c>
      <c r="BK25" s="317">
        <v>0</v>
      </c>
      <c r="BL25" s="18">
        <v>0</v>
      </c>
      <c r="BM25" s="18">
        <v>0</v>
      </c>
      <c r="BN25" s="317">
        <v>0</v>
      </c>
      <c r="BO25" s="87">
        <v>3</v>
      </c>
      <c r="BP25" s="372">
        <v>0</v>
      </c>
      <c r="BQ25" s="317">
        <v>0</v>
      </c>
      <c r="BR25" s="15">
        <v>0</v>
      </c>
      <c r="BS25" s="15">
        <v>0</v>
      </c>
      <c r="BT25" s="17">
        <v>0</v>
      </c>
      <c r="BU25" s="15">
        <v>0</v>
      </c>
      <c r="BV25" s="15">
        <v>0</v>
      </c>
      <c r="BW25" s="17">
        <v>0</v>
      </c>
      <c r="BX25" s="15">
        <v>0</v>
      </c>
      <c r="BY25" s="15">
        <v>0</v>
      </c>
      <c r="BZ25" s="17">
        <v>0</v>
      </c>
      <c r="CA25" s="18">
        <v>0</v>
      </c>
      <c r="CB25" s="18">
        <v>0</v>
      </c>
      <c r="CC25" s="317">
        <v>0</v>
      </c>
      <c r="CD25" s="386">
        <v>0</v>
      </c>
      <c r="CE25" s="387">
        <v>0</v>
      </c>
      <c r="CF25" s="388">
        <v>0</v>
      </c>
      <c r="CG25" s="18">
        <v>0</v>
      </c>
      <c r="CH25" s="18">
        <v>0</v>
      </c>
      <c r="CI25" s="317">
        <v>0</v>
      </c>
      <c r="CJ25" s="105">
        <v>5</v>
      </c>
      <c r="CK25" s="18">
        <v>0</v>
      </c>
      <c r="CL25" s="317">
        <v>0</v>
      </c>
      <c r="CM25" s="105">
        <v>4</v>
      </c>
      <c r="CN25" s="18">
        <v>0</v>
      </c>
      <c r="CO25" s="317">
        <v>0</v>
      </c>
      <c r="CP25" s="370">
        <v>0</v>
      </c>
      <c r="CQ25" s="341">
        <v>0</v>
      </c>
      <c r="CR25" s="342">
        <v>0</v>
      </c>
      <c r="CS25" s="18">
        <v>0</v>
      </c>
      <c r="CT25" s="18">
        <v>0</v>
      </c>
      <c r="CU25" s="317">
        <v>0</v>
      </c>
      <c r="CV25" s="87">
        <v>1</v>
      </c>
      <c r="CW25" s="18">
        <v>0</v>
      </c>
      <c r="CX25" s="317">
        <v>0</v>
      </c>
      <c r="CY25" s="18">
        <v>0</v>
      </c>
      <c r="CZ25" s="18">
        <v>0</v>
      </c>
      <c r="DA25" s="317">
        <v>0</v>
      </c>
      <c r="DB25" s="370">
        <v>0</v>
      </c>
      <c r="DC25" s="341">
        <v>0</v>
      </c>
      <c r="DD25" s="342">
        <v>0</v>
      </c>
      <c r="DE25" s="18">
        <v>0</v>
      </c>
      <c r="DF25" s="18">
        <v>0</v>
      </c>
      <c r="DG25" s="317">
        <v>0</v>
      </c>
      <c r="DH25" s="18">
        <v>0</v>
      </c>
      <c r="DI25" s="18">
        <v>0</v>
      </c>
      <c r="DJ25" s="317">
        <v>0</v>
      </c>
      <c r="DK25" s="18">
        <v>0</v>
      </c>
      <c r="DL25" s="372">
        <v>0</v>
      </c>
      <c r="DM25" s="317">
        <v>0</v>
      </c>
      <c r="DN25" s="18">
        <v>0</v>
      </c>
      <c r="DO25" s="18">
        <v>0</v>
      </c>
      <c r="DP25" s="317">
        <v>0</v>
      </c>
      <c r="DQ25" s="87">
        <v>4</v>
      </c>
      <c r="DR25" s="18">
        <v>0</v>
      </c>
      <c r="DS25" s="317">
        <v>0</v>
      </c>
      <c r="DT25" s="18">
        <v>0</v>
      </c>
      <c r="DU25" s="18">
        <v>0</v>
      </c>
      <c r="DV25" s="317">
        <v>0</v>
      </c>
      <c r="DW25" s="370">
        <v>0</v>
      </c>
      <c r="DX25" s="341">
        <v>0</v>
      </c>
      <c r="DY25" s="342">
        <v>0</v>
      </c>
      <c r="DZ25" s="105">
        <v>4</v>
      </c>
      <c r="EA25" s="18">
        <v>0</v>
      </c>
      <c r="EB25" s="317">
        <v>0</v>
      </c>
      <c r="EC25" s="105">
        <v>5</v>
      </c>
      <c r="ED25" s="18">
        <v>0</v>
      </c>
      <c r="EE25" s="317">
        <v>0</v>
      </c>
      <c r="EF25" s="18">
        <v>0</v>
      </c>
      <c r="EG25" s="18">
        <v>0</v>
      </c>
      <c r="EH25" s="317">
        <v>0</v>
      </c>
      <c r="EI25" s="18">
        <v>0</v>
      </c>
      <c r="EJ25" s="18">
        <v>0</v>
      </c>
      <c r="EK25" s="317">
        <v>0</v>
      </c>
      <c r="EL25" s="105">
        <v>2</v>
      </c>
      <c r="EM25" s="18">
        <v>0</v>
      </c>
      <c r="EN25" s="317">
        <v>0</v>
      </c>
      <c r="EO25" s="18">
        <v>0</v>
      </c>
      <c r="EP25" s="18">
        <v>0</v>
      </c>
      <c r="EQ25" s="317">
        <v>0</v>
      </c>
      <c r="ER25" s="83"/>
      <c r="ES25" s="18">
        <v>0</v>
      </c>
      <c r="ET25" s="18">
        <v>0</v>
      </c>
      <c r="EU25" s="317">
        <v>0</v>
      </c>
      <c r="EV25" s="55" t="s">
        <v>193</v>
      </c>
      <c r="EW25" s="77" t="s">
        <v>194</v>
      </c>
    </row>
    <row r="26" spans="1:153" ht="14.25">
      <c r="A26" s="40">
        <v>43857</v>
      </c>
      <c r="B26" s="366">
        <f t="shared" ref="B26:D26" si="22">SUM(F26,I26,L26,O26,R26,X26,AG26,AJ26,AN26,AQ26,AT26,AW26,AZ26,BC26,BF26,BI26,BL26,BO26,BR26,CA26,CG26,CJ26,CM26,CP26,CV26,CY26,DE26,DH26,DK26,DN26,DQ26,DT26,DZ26,EC26,EL26)</f>
        <v>4577</v>
      </c>
      <c r="C26" s="367">
        <f t="shared" si="22"/>
        <v>107</v>
      </c>
      <c r="D26" s="368">
        <f t="shared" si="22"/>
        <v>63</v>
      </c>
      <c r="E26" s="369">
        <f t="shared" si="1"/>
        <v>4407</v>
      </c>
      <c r="F26" s="15">
        <v>0</v>
      </c>
      <c r="G26" s="15">
        <v>0</v>
      </c>
      <c r="H26" s="17">
        <v>0</v>
      </c>
      <c r="I26" s="15">
        <v>0</v>
      </c>
      <c r="J26" s="15">
        <v>0</v>
      </c>
      <c r="K26" s="17">
        <v>0</v>
      </c>
      <c r="L26" s="15">
        <v>0</v>
      </c>
      <c r="M26" s="15">
        <v>0</v>
      </c>
      <c r="N26" s="17">
        <v>0</v>
      </c>
      <c r="O26" s="15">
        <v>0</v>
      </c>
      <c r="P26" s="15">
        <v>0</v>
      </c>
      <c r="Q26" s="17">
        <v>0</v>
      </c>
      <c r="R26" s="15">
        <v>0</v>
      </c>
      <c r="S26" s="15">
        <v>0</v>
      </c>
      <c r="T26" s="17">
        <v>0</v>
      </c>
      <c r="U26" s="15">
        <v>0</v>
      </c>
      <c r="V26" s="15">
        <v>0</v>
      </c>
      <c r="W26" s="17">
        <v>0</v>
      </c>
      <c r="X26" s="396">
        <v>0</v>
      </c>
      <c r="Y26" s="50">
        <v>0</v>
      </c>
      <c r="Z26" s="52">
        <v>0</v>
      </c>
      <c r="AA26" s="396">
        <v>0</v>
      </c>
      <c r="AB26" s="50">
        <v>0</v>
      </c>
      <c r="AC26" s="52">
        <v>0</v>
      </c>
      <c r="AD26" s="396">
        <v>0</v>
      </c>
      <c r="AE26" s="50">
        <v>0</v>
      </c>
      <c r="AF26" s="52">
        <v>0</v>
      </c>
      <c r="AG26" s="87">
        <v>1</v>
      </c>
      <c r="AH26" s="15">
        <v>0</v>
      </c>
      <c r="AI26" s="17">
        <v>0</v>
      </c>
      <c r="AJ26" s="105">
        <v>4515</v>
      </c>
      <c r="AK26" s="399">
        <v>106</v>
      </c>
      <c r="AL26" s="397">
        <v>63</v>
      </c>
      <c r="AM26" s="371">
        <f t="shared" si="2"/>
        <v>4346</v>
      </c>
      <c r="AN26" s="105">
        <v>4</v>
      </c>
      <c r="AO26" s="139">
        <v>1</v>
      </c>
      <c r="AP26" s="17">
        <v>0</v>
      </c>
      <c r="AQ26" s="15">
        <v>0</v>
      </c>
      <c r="AR26" s="15">
        <v>0</v>
      </c>
      <c r="AS26" s="17">
        <v>0</v>
      </c>
      <c r="AT26" s="15">
        <v>0</v>
      </c>
      <c r="AU26" s="372">
        <v>0</v>
      </c>
      <c r="AV26" s="17">
        <v>0</v>
      </c>
      <c r="AW26" s="87">
        <v>8</v>
      </c>
      <c r="AX26" s="372">
        <v>0</v>
      </c>
      <c r="AY26" s="17">
        <v>0</v>
      </c>
      <c r="AZ26" s="15">
        <v>0</v>
      </c>
      <c r="BA26" s="15">
        <v>0</v>
      </c>
      <c r="BB26" s="17">
        <v>0</v>
      </c>
      <c r="BC26" s="15">
        <v>0</v>
      </c>
      <c r="BD26" s="15">
        <v>0</v>
      </c>
      <c r="BE26" s="17">
        <v>0</v>
      </c>
      <c r="BF26" s="15">
        <v>0</v>
      </c>
      <c r="BG26" s="15">
        <v>0</v>
      </c>
      <c r="BH26" s="17">
        <v>0</v>
      </c>
      <c r="BI26" s="15">
        <v>0</v>
      </c>
      <c r="BJ26" s="372">
        <v>0</v>
      </c>
      <c r="BK26" s="17">
        <v>0</v>
      </c>
      <c r="BL26" s="15">
        <v>0</v>
      </c>
      <c r="BM26" s="15">
        <v>0</v>
      </c>
      <c r="BN26" s="17">
        <v>0</v>
      </c>
      <c r="BO26" s="87">
        <v>6</v>
      </c>
      <c r="BP26" s="372">
        <v>0</v>
      </c>
      <c r="BQ26" s="17">
        <v>0</v>
      </c>
      <c r="BR26" s="15">
        <v>0</v>
      </c>
      <c r="BS26" s="15">
        <v>0</v>
      </c>
      <c r="BT26" s="17">
        <v>0</v>
      </c>
      <c r="BU26" s="15">
        <v>0</v>
      </c>
      <c r="BV26" s="15">
        <v>0</v>
      </c>
      <c r="BW26" s="17">
        <v>0</v>
      </c>
      <c r="BX26" s="15">
        <v>0</v>
      </c>
      <c r="BY26" s="15">
        <v>0</v>
      </c>
      <c r="BZ26" s="17">
        <v>0</v>
      </c>
      <c r="CA26" s="15">
        <v>0</v>
      </c>
      <c r="CB26" s="15">
        <v>0</v>
      </c>
      <c r="CC26" s="17">
        <v>0</v>
      </c>
      <c r="CD26" s="392">
        <v>0</v>
      </c>
      <c r="CE26" s="41">
        <v>0</v>
      </c>
      <c r="CF26" s="393">
        <v>0</v>
      </c>
      <c r="CG26" s="15">
        <v>0</v>
      </c>
      <c r="CH26" s="15">
        <v>0</v>
      </c>
      <c r="CI26" s="17">
        <v>0</v>
      </c>
      <c r="CJ26" s="105">
        <v>7</v>
      </c>
      <c r="CK26" s="15">
        <v>0</v>
      </c>
      <c r="CL26" s="17">
        <v>0</v>
      </c>
      <c r="CM26" s="105">
        <v>4</v>
      </c>
      <c r="CN26" s="15">
        <v>0</v>
      </c>
      <c r="CO26" s="17">
        <v>0</v>
      </c>
      <c r="CP26" s="396">
        <v>0</v>
      </c>
      <c r="CQ26" s="50">
        <v>0</v>
      </c>
      <c r="CR26" s="52">
        <v>0</v>
      </c>
      <c r="CS26" s="15">
        <v>0</v>
      </c>
      <c r="CT26" s="15">
        <v>0</v>
      </c>
      <c r="CU26" s="17">
        <v>0</v>
      </c>
      <c r="CV26" s="87">
        <v>1</v>
      </c>
      <c r="CW26" s="15">
        <v>0</v>
      </c>
      <c r="CX26" s="17">
        <v>0</v>
      </c>
      <c r="CY26" s="15">
        <v>0</v>
      </c>
      <c r="CZ26" s="15">
        <v>0</v>
      </c>
      <c r="DA26" s="17">
        <v>0</v>
      </c>
      <c r="DB26" s="396">
        <v>0</v>
      </c>
      <c r="DC26" s="50">
        <v>0</v>
      </c>
      <c r="DD26" s="52">
        <v>0</v>
      </c>
      <c r="DE26" s="15">
        <v>0</v>
      </c>
      <c r="DF26" s="15">
        <v>0</v>
      </c>
      <c r="DG26" s="17">
        <v>0</v>
      </c>
      <c r="DH26" s="15">
        <v>0</v>
      </c>
      <c r="DI26" s="15">
        <v>0</v>
      </c>
      <c r="DJ26" s="17">
        <v>0</v>
      </c>
      <c r="DK26" s="15">
        <v>0</v>
      </c>
      <c r="DL26" s="372">
        <v>0</v>
      </c>
      <c r="DM26" s="17">
        <v>0</v>
      </c>
      <c r="DN26" s="15">
        <v>0</v>
      </c>
      <c r="DO26" s="15">
        <v>0</v>
      </c>
      <c r="DP26" s="17">
        <v>0</v>
      </c>
      <c r="DQ26" s="87">
        <v>7</v>
      </c>
      <c r="DR26" s="15">
        <v>0</v>
      </c>
      <c r="DS26" s="17">
        <v>0</v>
      </c>
      <c r="DT26" s="87">
        <v>1</v>
      </c>
      <c r="DU26" s="15">
        <v>0</v>
      </c>
      <c r="DV26" s="17">
        <v>0</v>
      </c>
      <c r="DW26" s="396">
        <v>0</v>
      </c>
      <c r="DX26" s="50">
        <v>0</v>
      </c>
      <c r="DY26" s="52">
        <v>0</v>
      </c>
      <c r="DZ26" s="105">
        <v>7</v>
      </c>
      <c r="EA26" s="15">
        <v>0</v>
      </c>
      <c r="EB26" s="17">
        <v>0</v>
      </c>
      <c r="EC26" s="105">
        <v>14</v>
      </c>
      <c r="ED26" s="15">
        <v>0</v>
      </c>
      <c r="EE26" s="17">
        <v>0</v>
      </c>
      <c r="EF26" s="15">
        <v>0</v>
      </c>
      <c r="EG26" s="15">
        <v>0</v>
      </c>
      <c r="EH26" s="17">
        <v>0</v>
      </c>
      <c r="EI26" s="15">
        <v>0</v>
      </c>
      <c r="EJ26" s="15">
        <v>0</v>
      </c>
      <c r="EK26" s="17">
        <v>0</v>
      </c>
      <c r="EL26" s="105">
        <v>2</v>
      </c>
      <c r="EM26" s="15">
        <v>0</v>
      </c>
      <c r="EN26" s="17">
        <v>0</v>
      </c>
      <c r="EO26" s="15">
        <v>0</v>
      </c>
      <c r="EP26" s="15">
        <v>0</v>
      </c>
      <c r="EQ26" s="17">
        <v>0</v>
      </c>
      <c r="ER26" s="54"/>
      <c r="ES26" s="15">
        <v>0</v>
      </c>
      <c r="ET26" s="15">
        <v>0</v>
      </c>
      <c r="EU26" s="17">
        <v>0</v>
      </c>
      <c r="EV26" s="55" t="s">
        <v>1026</v>
      </c>
      <c r="EW26" s="76" t="s">
        <v>195</v>
      </c>
    </row>
    <row r="27" spans="1:153" ht="14.25">
      <c r="A27" s="40">
        <v>43858</v>
      </c>
      <c r="B27" s="366">
        <f t="shared" ref="B27:D27" si="23">SUM(F27,I27,L27,O27,R27,X27,AG27,AJ27,AN27,AQ27,AT27,AW27,AZ27,BC27,BF27,BI27,BL27,BO27,BR27,CA27,CG27,CJ27,CM27,CP27,CV27,CY27,DE27,DH27,DK27,DN27,DQ27,DT27,DZ27,EC27,EL27)</f>
        <v>6154</v>
      </c>
      <c r="C27" s="367">
        <f t="shared" si="23"/>
        <v>133</v>
      </c>
      <c r="D27" s="368">
        <f t="shared" si="23"/>
        <v>110</v>
      </c>
      <c r="E27" s="369">
        <f t="shared" si="1"/>
        <v>5911</v>
      </c>
      <c r="F27" s="18">
        <v>0</v>
      </c>
      <c r="G27" s="18">
        <v>0</v>
      </c>
      <c r="H27" s="317">
        <v>0</v>
      </c>
      <c r="I27" s="18">
        <v>0</v>
      </c>
      <c r="J27" s="18">
        <v>0</v>
      </c>
      <c r="K27" s="317">
        <v>0</v>
      </c>
      <c r="L27" s="18">
        <v>0</v>
      </c>
      <c r="M27" s="18">
        <v>0</v>
      </c>
      <c r="N27" s="317">
        <v>0</v>
      </c>
      <c r="O27" s="18">
        <v>0</v>
      </c>
      <c r="P27" s="18">
        <v>0</v>
      </c>
      <c r="Q27" s="317">
        <v>0</v>
      </c>
      <c r="R27" s="18">
        <v>0</v>
      </c>
      <c r="S27" s="18">
        <v>0</v>
      </c>
      <c r="T27" s="317">
        <v>0</v>
      </c>
      <c r="U27" s="18">
        <v>0</v>
      </c>
      <c r="V27" s="18">
        <v>0</v>
      </c>
      <c r="W27" s="317">
        <v>0</v>
      </c>
      <c r="X27" s="396">
        <v>0</v>
      </c>
      <c r="Y27" s="50">
        <v>0</v>
      </c>
      <c r="Z27" s="52">
        <v>0</v>
      </c>
      <c r="AA27" s="396">
        <v>0</v>
      </c>
      <c r="AB27" s="50">
        <v>0</v>
      </c>
      <c r="AC27" s="52">
        <v>0</v>
      </c>
      <c r="AD27" s="396">
        <v>0</v>
      </c>
      <c r="AE27" s="50">
        <v>0</v>
      </c>
      <c r="AF27" s="52">
        <v>0</v>
      </c>
      <c r="AG27" s="87">
        <v>1</v>
      </c>
      <c r="AH27" s="18">
        <v>0</v>
      </c>
      <c r="AI27" s="317">
        <v>0</v>
      </c>
      <c r="AJ27" s="105">
        <v>6087</v>
      </c>
      <c r="AK27" s="399">
        <v>132</v>
      </c>
      <c r="AL27" s="397">
        <v>110</v>
      </c>
      <c r="AM27" s="371">
        <f t="shared" si="2"/>
        <v>5845</v>
      </c>
      <c r="AN27" s="105">
        <v>4</v>
      </c>
      <c r="AO27" s="139">
        <v>1</v>
      </c>
      <c r="AP27" s="317">
        <v>0</v>
      </c>
      <c r="AQ27" s="105">
        <v>4</v>
      </c>
      <c r="AR27" s="18">
        <v>0</v>
      </c>
      <c r="AS27" s="317">
        <v>0</v>
      </c>
      <c r="AT27" s="18">
        <v>0</v>
      </c>
      <c r="AU27" s="372">
        <v>0</v>
      </c>
      <c r="AV27" s="317">
        <v>0</v>
      </c>
      <c r="AW27" s="87">
        <v>8</v>
      </c>
      <c r="AX27" s="372">
        <v>0</v>
      </c>
      <c r="AY27" s="317">
        <v>0</v>
      </c>
      <c r="AZ27" s="18">
        <v>0</v>
      </c>
      <c r="BA27" s="18">
        <v>0</v>
      </c>
      <c r="BB27" s="317">
        <v>0</v>
      </c>
      <c r="BC27" s="18">
        <v>0</v>
      </c>
      <c r="BD27" s="18">
        <v>0</v>
      </c>
      <c r="BE27" s="317">
        <v>0</v>
      </c>
      <c r="BF27" s="18">
        <v>0</v>
      </c>
      <c r="BG27" s="18">
        <v>0</v>
      </c>
      <c r="BH27" s="317">
        <v>0</v>
      </c>
      <c r="BI27" s="18">
        <v>0</v>
      </c>
      <c r="BJ27" s="372">
        <v>0</v>
      </c>
      <c r="BK27" s="317">
        <v>0</v>
      </c>
      <c r="BL27" s="18">
        <v>0</v>
      </c>
      <c r="BM27" s="18">
        <v>0</v>
      </c>
      <c r="BN27" s="317">
        <v>0</v>
      </c>
      <c r="BO27" s="87">
        <v>7</v>
      </c>
      <c r="BP27" s="372">
        <v>0</v>
      </c>
      <c r="BQ27" s="317">
        <v>0</v>
      </c>
      <c r="BR27" s="15">
        <v>0</v>
      </c>
      <c r="BS27" s="15">
        <v>0</v>
      </c>
      <c r="BT27" s="17">
        <v>0</v>
      </c>
      <c r="BU27" s="15">
        <v>0</v>
      </c>
      <c r="BV27" s="15">
        <v>0</v>
      </c>
      <c r="BW27" s="17">
        <v>0</v>
      </c>
      <c r="BX27" s="15">
        <v>0</v>
      </c>
      <c r="BY27" s="15">
        <v>0</v>
      </c>
      <c r="BZ27" s="17">
        <v>0</v>
      </c>
      <c r="CA27" s="18">
        <v>0</v>
      </c>
      <c r="CB27" s="18">
        <v>0</v>
      </c>
      <c r="CC27" s="317">
        <v>0</v>
      </c>
      <c r="CD27" s="394">
        <v>0</v>
      </c>
      <c r="CE27" s="63">
        <v>0</v>
      </c>
      <c r="CF27" s="395">
        <v>0</v>
      </c>
      <c r="CG27" s="18">
        <v>0</v>
      </c>
      <c r="CH27" s="18">
        <v>0</v>
      </c>
      <c r="CI27" s="317">
        <v>0</v>
      </c>
      <c r="CJ27" s="105">
        <v>7</v>
      </c>
      <c r="CK27" s="18">
        <v>0</v>
      </c>
      <c r="CL27" s="317">
        <v>0</v>
      </c>
      <c r="CM27" s="105">
        <v>4</v>
      </c>
      <c r="CN27" s="18">
        <v>0</v>
      </c>
      <c r="CO27" s="317">
        <v>0</v>
      </c>
      <c r="CP27" s="396">
        <v>0</v>
      </c>
      <c r="CQ27" s="50">
        <v>0</v>
      </c>
      <c r="CR27" s="52">
        <v>0</v>
      </c>
      <c r="CS27" s="18">
        <v>0</v>
      </c>
      <c r="CT27" s="18">
        <v>0</v>
      </c>
      <c r="CU27" s="317">
        <v>0</v>
      </c>
      <c r="CV27" s="87">
        <v>1</v>
      </c>
      <c r="CW27" s="18">
        <v>0</v>
      </c>
      <c r="CX27" s="317">
        <v>0</v>
      </c>
      <c r="CY27" s="18">
        <v>0</v>
      </c>
      <c r="CZ27" s="18">
        <v>0</v>
      </c>
      <c r="DA27" s="317">
        <v>0</v>
      </c>
      <c r="DB27" s="396">
        <v>0</v>
      </c>
      <c r="DC27" s="50">
        <v>0</v>
      </c>
      <c r="DD27" s="52">
        <v>0</v>
      </c>
      <c r="DE27" s="18">
        <v>0</v>
      </c>
      <c r="DF27" s="18">
        <v>0</v>
      </c>
      <c r="DG27" s="317">
        <v>0</v>
      </c>
      <c r="DH27" s="18">
        <v>0</v>
      </c>
      <c r="DI27" s="18">
        <v>0</v>
      </c>
      <c r="DJ27" s="317">
        <v>0</v>
      </c>
      <c r="DK27" s="18">
        <v>0</v>
      </c>
      <c r="DL27" s="372">
        <v>0</v>
      </c>
      <c r="DM27" s="317">
        <v>0</v>
      </c>
      <c r="DN27" s="18">
        <v>0</v>
      </c>
      <c r="DO27" s="18">
        <v>0</v>
      </c>
      <c r="DP27" s="317">
        <v>0</v>
      </c>
      <c r="DQ27" s="87">
        <v>7</v>
      </c>
      <c r="DR27" s="18">
        <v>0</v>
      </c>
      <c r="DS27" s="317">
        <v>0</v>
      </c>
      <c r="DT27" s="87">
        <v>1</v>
      </c>
      <c r="DU27" s="18">
        <v>0</v>
      </c>
      <c r="DV27" s="317">
        <v>0</v>
      </c>
      <c r="DW27" s="396">
        <v>0</v>
      </c>
      <c r="DX27" s="50">
        <v>0</v>
      </c>
      <c r="DY27" s="52">
        <v>0</v>
      </c>
      <c r="DZ27" s="105">
        <v>7</v>
      </c>
      <c r="EA27" s="18">
        <v>0</v>
      </c>
      <c r="EB27" s="317">
        <v>0</v>
      </c>
      <c r="EC27" s="105">
        <v>14</v>
      </c>
      <c r="ED27" s="18">
        <v>0</v>
      </c>
      <c r="EE27" s="317">
        <v>0</v>
      </c>
      <c r="EF27" s="18">
        <v>0</v>
      </c>
      <c r="EG27" s="18">
        <v>0</v>
      </c>
      <c r="EH27" s="317">
        <v>0</v>
      </c>
      <c r="EI27" s="18">
        <v>0</v>
      </c>
      <c r="EJ27" s="18">
        <v>0</v>
      </c>
      <c r="EK27" s="317">
        <v>0</v>
      </c>
      <c r="EL27" s="105">
        <v>2</v>
      </c>
      <c r="EM27" s="18">
        <v>0</v>
      </c>
      <c r="EN27" s="317">
        <v>0</v>
      </c>
      <c r="EO27" s="18">
        <v>0</v>
      </c>
      <c r="EP27" s="18">
        <v>0</v>
      </c>
      <c r="EQ27" s="317">
        <v>0</v>
      </c>
      <c r="ER27" s="83"/>
      <c r="ES27" s="18">
        <v>0</v>
      </c>
      <c r="ET27" s="18">
        <v>0</v>
      </c>
      <c r="EU27" s="317">
        <v>0</v>
      </c>
      <c r="EV27" s="55" t="s">
        <v>1031</v>
      </c>
      <c r="EW27" s="77" t="s">
        <v>196</v>
      </c>
    </row>
    <row r="28" spans="1:153" ht="14.25">
      <c r="A28" s="93">
        <v>43859</v>
      </c>
      <c r="B28" s="366">
        <f t="shared" ref="B28:D28" si="24">SUM(F28,I28,L28,O28,R28,X28,AG28,AJ28,AN28,AQ28,AT28,AW28,AZ28,BC28,BF28,BI28,BL28,BO28,BR28,CA28,CG28,CJ28,CM28,CP28,CV28,CY28,DE28,DH28,DK28,DN28,DQ28,DT28,DZ28,EC28,EL28)</f>
        <v>7887</v>
      </c>
      <c r="C28" s="367">
        <f t="shared" si="24"/>
        <v>171</v>
      </c>
      <c r="D28" s="368">
        <f t="shared" si="24"/>
        <v>133</v>
      </c>
      <c r="E28" s="369">
        <f t="shared" si="1"/>
        <v>7583</v>
      </c>
      <c r="F28" s="15">
        <v>0</v>
      </c>
      <c r="G28" s="15">
        <v>0</v>
      </c>
      <c r="H28" s="17">
        <v>0</v>
      </c>
      <c r="I28" s="15">
        <v>0</v>
      </c>
      <c r="J28" s="15">
        <v>0</v>
      </c>
      <c r="K28" s="17">
        <v>0</v>
      </c>
      <c r="L28" s="15">
        <v>0</v>
      </c>
      <c r="M28" s="15">
        <v>0</v>
      </c>
      <c r="N28" s="17">
        <v>0</v>
      </c>
      <c r="O28" s="15">
        <v>0</v>
      </c>
      <c r="P28" s="15">
        <v>0</v>
      </c>
      <c r="Q28" s="17">
        <v>0</v>
      </c>
      <c r="R28" s="15">
        <v>0</v>
      </c>
      <c r="S28" s="15">
        <v>0</v>
      </c>
      <c r="T28" s="17">
        <v>0</v>
      </c>
      <c r="U28" s="15">
        <v>0</v>
      </c>
      <c r="V28" s="15">
        <v>0</v>
      </c>
      <c r="W28" s="17">
        <v>0</v>
      </c>
      <c r="X28" s="396">
        <v>0</v>
      </c>
      <c r="Y28" s="50">
        <v>0</v>
      </c>
      <c r="Z28" s="52">
        <v>0</v>
      </c>
      <c r="AA28" s="396">
        <v>0</v>
      </c>
      <c r="AB28" s="50">
        <v>0</v>
      </c>
      <c r="AC28" s="52">
        <v>0</v>
      </c>
      <c r="AD28" s="396">
        <v>0</v>
      </c>
      <c r="AE28" s="50">
        <v>0</v>
      </c>
      <c r="AF28" s="52">
        <v>0</v>
      </c>
      <c r="AG28" s="87">
        <v>1</v>
      </c>
      <c r="AH28" s="15">
        <v>0</v>
      </c>
      <c r="AI28" s="17">
        <v>0</v>
      </c>
      <c r="AJ28" s="105">
        <v>7805</v>
      </c>
      <c r="AK28" s="399">
        <v>170</v>
      </c>
      <c r="AL28" s="397">
        <v>133</v>
      </c>
      <c r="AM28" s="371">
        <f t="shared" si="2"/>
        <v>7502</v>
      </c>
      <c r="AN28" s="105">
        <v>4</v>
      </c>
      <c r="AO28" s="139">
        <v>1</v>
      </c>
      <c r="AP28" s="17">
        <v>0</v>
      </c>
      <c r="AQ28" s="105">
        <v>4</v>
      </c>
      <c r="AR28" s="15">
        <v>0</v>
      </c>
      <c r="AS28" s="17">
        <v>0</v>
      </c>
      <c r="AT28" s="15">
        <v>0</v>
      </c>
      <c r="AU28" s="372">
        <v>0</v>
      </c>
      <c r="AV28" s="17">
        <v>0</v>
      </c>
      <c r="AW28" s="87">
        <v>10</v>
      </c>
      <c r="AX28" s="372">
        <v>0</v>
      </c>
      <c r="AY28" s="17">
        <v>0</v>
      </c>
      <c r="AZ28" s="87">
        <v>1</v>
      </c>
      <c r="BA28" s="15">
        <v>0</v>
      </c>
      <c r="BB28" s="17">
        <v>0</v>
      </c>
      <c r="BC28" s="18">
        <v>0</v>
      </c>
      <c r="BD28" s="15">
        <v>0</v>
      </c>
      <c r="BE28" s="17">
        <v>0</v>
      </c>
      <c r="BF28" s="15">
        <v>0</v>
      </c>
      <c r="BG28" s="15">
        <v>0</v>
      </c>
      <c r="BH28" s="17">
        <v>0</v>
      </c>
      <c r="BI28" s="15">
        <v>0</v>
      </c>
      <c r="BJ28" s="372">
        <v>0</v>
      </c>
      <c r="BK28" s="17">
        <v>0</v>
      </c>
      <c r="BL28" s="15">
        <v>0</v>
      </c>
      <c r="BM28" s="15">
        <v>0</v>
      </c>
      <c r="BN28" s="17">
        <v>0</v>
      </c>
      <c r="BO28" s="87">
        <v>11</v>
      </c>
      <c r="BP28" s="372">
        <v>0</v>
      </c>
      <c r="BQ28" s="17">
        <v>0</v>
      </c>
      <c r="BR28" s="15">
        <v>0</v>
      </c>
      <c r="BS28" s="15">
        <v>0</v>
      </c>
      <c r="BT28" s="17">
        <v>0</v>
      </c>
      <c r="BU28" s="15">
        <v>0</v>
      </c>
      <c r="BV28" s="15">
        <v>0</v>
      </c>
      <c r="BW28" s="17">
        <v>0</v>
      </c>
      <c r="BX28" s="15">
        <v>0</v>
      </c>
      <c r="BY28" s="15">
        <v>0</v>
      </c>
      <c r="BZ28" s="17">
        <v>0</v>
      </c>
      <c r="CA28" s="15">
        <v>0</v>
      </c>
      <c r="CB28" s="15">
        <v>0</v>
      </c>
      <c r="CC28" s="17">
        <v>0</v>
      </c>
      <c r="CD28" s="392">
        <v>0</v>
      </c>
      <c r="CE28" s="41">
        <v>0</v>
      </c>
      <c r="CF28" s="393">
        <v>0</v>
      </c>
      <c r="CG28" s="15">
        <v>0</v>
      </c>
      <c r="CH28" s="15">
        <v>0</v>
      </c>
      <c r="CI28" s="17">
        <v>0</v>
      </c>
      <c r="CJ28" s="105">
        <v>7</v>
      </c>
      <c r="CK28" s="15">
        <v>0</v>
      </c>
      <c r="CL28" s="17">
        <v>0</v>
      </c>
      <c r="CM28" s="105">
        <v>7</v>
      </c>
      <c r="CN28" s="15">
        <v>0</v>
      </c>
      <c r="CO28" s="17">
        <v>0</v>
      </c>
      <c r="CP28" s="396">
        <v>0</v>
      </c>
      <c r="CQ28" s="50">
        <v>0</v>
      </c>
      <c r="CR28" s="52">
        <v>0</v>
      </c>
      <c r="CS28" s="15">
        <v>0</v>
      </c>
      <c r="CT28" s="15">
        <v>0</v>
      </c>
      <c r="CU28" s="17">
        <v>0</v>
      </c>
      <c r="CV28" s="87">
        <v>1</v>
      </c>
      <c r="CW28" s="15">
        <v>0</v>
      </c>
      <c r="CX28" s="17">
        <v>0</v>
      </c>
      <c r="CY28" s="15">
        <v>0</v>
      </c>
      <c r="CZ28" s="15">
        <v>0</v>
      </c>
      <c r="DA28" s="17">
        <v>0</v>
      </c>
      <c r="DB28" s="396">
        <v>0</v>
      </c>
      <c r="DC28" s="50">
        <v>0</v>
      </c>
      <c r="DD28" s="52">
        <v>0</v>
      </c>
      <c r="DE28" s="15">
        <v>0</v>
      </c>
      <c r="DF28" s="15">
        <v>0</v>
      </c>
      <c r="DG28" s="17">
        <v>0</v>
      </c>
      <c r="DH28" s="15">
        <v>0</v>
      </c>
      <c r="DI28" s="15">
        <v>0</v>
      </c>
      <c r="DJ28" s="17">
        <v>0</v>
      </c>
      <c r="DK28" s="87">
        <v>1</v>
      </c>
      <c r="DL28" s="372">
        <v>0</v>
      </c>
      <c r="DM28" s="17">
        <v>0</v>
      </c>
      <c r="DN28" s="15">
        <v>0</v>
      </c>
      <c r="DO28" s="15">
        <v>0</v>
      </c>
      <c r="DP28" s="17">
        <v>0</v>
      </c>
      <c r="DQ28" s="87">
        <v>10</v>
      </c>
      <c r="DR28" s="15">
        <v>0</v>
      </c>
      <c r="DS28" s="17">
        <v>0</v>
      </c>
      <c r="DT28" s="87">
        <v>1</v>
      </c>
      <c r="DU28" s="15">
        <v>0</v>
      </c>
      <c r="DV28" s="17">
        <v>0</v>
      </c>
      <c r="DW28" s="396">
        <v>0</v>
      </c>
      <c r="DX28" s="50">
        <v>0</v>
      </c>
      <c r="DY28" s="52">
        <v>0</v>
      </c>
      <c r="DZ28" s="105">
        <v>8</v>
      </c>
      <c r="EA28" s="15">
        <v>0</v>
      </c>
      <c r="EB28" s="17">
        <v>0</v>
      </c>
      <c r="EC28" s="105">
        <v>14</v>
      </c>
      <c r="ED28" s="15">
        <v>0</v>
      </c>
      <c r="EE28" s="17">
        <v>0</v>
      </c>
      <c r="EF28" s="15">
        <v>0</v>
      </c>
      <c r="EG28" s="15">
        <v>0</v>
      </c>
      <c r="EH28" s="17">
        <v>0</v>
      </c>
      <c r="EI28" s="15">
        <v>0</v>
      </c>
      <c r="EJ28" s="15">
        <v>0</v>
      </c>
      <c r="EK28" s="17">
        <v>0</v>
      </c>
      <c r="EL28" s="105">
        <v>2</v>
      </c>
      <c r="EM28" s="15">
        <v>0</v>
      </c>
      <c r="EN28" s="17">
        <v>0</v>
      </c>
      <c r="EO28" s="15">
        <v>0</v>
      </c>
      <c r="EP28" s="15">
        <v>0</v>
      </c>
      <c r="EQ28" s="17">
        <v>0</v>
      </c>
      <c r="ER28" s="54"/>
      <c r="ES28" s="15">
        <v>0</v>
      </c>
      <c r="ET28" s="15">
        <v>0</v>
      </c>
      <c r="EU28" s="17">
        <v>0</v>
      </c>
      <c r="EV28" s="55" t="s">
        <v>1032</v>
      </c>
      <c r="EW28" s="76" t="s">
        <v>197</v>
      </c>
    </row>
    <row r="29" spans="1:153" ht="14.25">
      <c r="A29" s="40">
        <v>43860</v>
      </c>
      <c r="B29" s="366">
        <f t="shared" ref="B29:D29" si="25">SUM(F29,I29,L29,O29,R29,X29,AG29,AJ29,AN29,AQ29,AT29,AW29,AZ29,BC29,BF29,BI29,BL29,BO29,BR29,CA29,CG29,CJ29,CM29,CP29,CV29,CY29,DE29,DH29,DK29,DN29,DQ29,DT29,DZ29,EC29,EL29)</f>
        <v>9920</v>
      </c>
      <c r="C29" s="367">
        <f t="shared" si="25"/>
        <v>214</v>
      </c>
      <c r="D29" s="368">
        <f t="shared" si="25"/>
        <v>141</v>
      </c>
      <c r="E29" s="369">
        <f t="shared" si="1"/>
        <v>9565</v>
      </c>
      <c r="F29" s="18">
        <v>0</v>
      </c>
      <c r="G29" s="18">
        <v>0</v>
      </c>
      <c r="H29" s="317">
        <v>0</v>
      </c>
      <c r="I29" s="18">
        <v>0</v>
      </c>
      <c r="J29" s="18">
        <v>0</v>
      </c>
      <c r="K29" s="317">
        <v>0</v>
      </c>
      <c r="L29" s="18">
        <v>0</v>
      </c>
      <c r="M29" s="18">
        <v>0</v>
      </c>
      <c r="N29" s="317">
        <v>0</v>
      </c>
      <c r="O29" s="18">
        <v>0</v>
      </c>
      <c r="P29" s="18">
        <v>0</v>
      </c>
      <c r="Q29" s="317">
        <v>0</v>
      </c>
      <c r="R29" s="18">
        <v>0</v>
      </c>
      <c r="S29" s="18">
        <v>0</v>
      </c>
      <c r="T29" s="317">
        <v>0</v>
      </c>
      <c r="U29" s="18">
        <v>0</v>
      </c>
      <c r="V29" s="18">
        <v>0</v>
      </c>
      <c r="W29" s="317">
        <v>0</v>
      </c>
      <c r="X29" s="396">
        <v>0</v>
      </c>
      <c r="Y29" s="50">
        <v>0</v>
      </c>
      <c r="Z29" s="52">
        <v>0</v>
      </c>
      <c r="AA29" s="396">
        <v>0</v>
      </c>
      <c r="AB29" s="50">
        <v>0</v>
      </c>
      <c r="AC29" s="52">
        <v>0</v>
      </c>
      <c r="AD29" s="396">
        <v>0</v>
      </c>
      <c r="AE29" s="50">
        <v>0</v>
      </c>
      <c r="AF29" s="52">
        <v>0</v>
      </c>
      <c r="AG29" s="87">
        <v>1</v>
      </c>
      <c r="AH29" s="18">
        <v>0</v>
      </c>
      <c r="AI29" s="317">
        <v>0</v>
      </c>
      <c r="AJ29" s="105">
        <v>9818</v>
      </c>
      <c r="AK29" s="399">
        <v>213</v>
      </c>
      <c r="AL29" s="397">
        <v>141</v>
      </c>
      <c r="AM29" s="371">
        <f t="shared" si="2"/>
        <v>9464</v>
      </c>
      <c r="AN29" s="105">
        <v>11</v>
      </c>
      <c r="AO29" s="139">
        <v>1</v>
      </c>
      <c r="AP29" s="317">
        <v>0</v>
      </c>
      <c r="AQ29" s="105">
        <v>4</v>
      </c>
      <c r="AR29" s="18">
        <v>0</v>
      </c>
      <c r="AS29" s="317">
        <v>0</v>
      </c>
      <c r="AT29" s="18">
        <v>0</v>
      </c>
      <c r="AU29" s="372">
        <v>0</v>
      </c>
      <c r="AV29" s="317">
        <v>0</v>
      </c>
      <c r="AW29" s="87">
        <v>12</v>
      </c>
      <c r="AX29" s="372">
        <v>0</v>
      </c>
      <c r="AY29" s="317">
        <v>0</v>
      </c>
      <c r="AZ29" s="87">
        <v>1</v>
      </c>
      <c r="BA29" s="18">
        <v>0</v>
      </c>
      <c r="BB29" s="317">
        <v>0</v>
      </c>
      <c r="BC29" s="18">
        <v>0</v>
      </c>
      <c r="BD29" s="18">
        <v>0</v>
      </c>
      <c r="BE29" s="317">
        <v>0</v>
      </c>
      <c r="BF29" s="18">
        <v>0</v>
      </c>
      <c r="BG29" s="18">
        <v>0</v>
      </c>
      <c r="BH29" s="317">
        <v>0</v>
      </c>
      <c r="BI29" s="18">
        <v>0</v>
      </c>
      <c r="BJ29" s="372">
        <v>0</v>
      </c>
      <c r="BK29" s="317">
        <v>0</v>
      </c>
      <c r="BL29" s="18">
        <v>0</v>
      </c>
      <c r="BM29" s="18">
        <v>0</v>
      </c>
      <c r="BN29" s="317">
        <v>0</v>
      </c>
      <c r="BO29" s="87">
        <v>14</v>
      </c>
      <c r="BP29" s="372">
        <v>0</v>
      </c>
      <c r="BQ29" s="317">
        <v>0</v>
      </c>
      <c r="BR29" s="15">
        <v>0</v>
      </c>
      <c r="BS29" s="15">
        <v>0</v>
      </c>
      <c r="BT29" s="17">
        <v>0</v>
      </c>
      <c r="BU29" s="15">
        <v>0</v>
      </c>
      <c r="BV29" s="15">
        <v>0</v>
      </c>
      <c r="BW29" s="17">
        <v>0</v>
      </c>
      <c r="BX29" s="15">
        <v>0</v>
      </c>
      <c r="BY29" s="15">
        <v>0</v>
      </c>
      <c r="BZ29" s="17">
        <v>0</v>
      </c>
      <c r="CA29" s="18">
        <v>0</v>
      </c>
      <c r="CB29" s="18">
        <v>0</v>
      </c>
      <c r="CC29" s="317">
        <v>0</v>
      </c>
      <c r="CD29" s="394">
        <v>0</v>
      </c>
      <c r="CE29" s="63">
        <v>0</v>
      </c>
      <c r="CF29" s="395">
        <v>0</v>
      </c>
      <c r="CG29" s="18">
        <v>0</v>
      </c>
      <c r="CH29" s="18">
        <v>0</v>
      </c>
      <c r="CI29" s="317">
        <v>0</v>
      </c>
      <c r="CJ29" s="105">
        <v>7</v>
      </c>
      <c r="CK29" s="18">
        <v>0</v>
      </c>
      <c r="CL29" s="317">
        <v>0</v>
      </c>
      <c r="CM29" s="105">
        <v>8</v>
      </c>
      <c r="CN29" s="18">
        <v>0</v>
      </c>
      <c r="CO29" s="317">
        <v>0</v>
      </c>
      <c r="CP29" s="396">
        <v>0</v>
      </c>
      <c r="CQ29" s="50">
        <v>0</v>
      </c>
      <c r="CR29" s="52">
        <v>0</v>
      </c>
      <c r="CS29" s="18">
        <v>0</v>
      </c>
      <c r="CT29" s="18">
        <v>0</v>
      </c>
      <c r="CU29" s="317">
        <v>0</v>
      </c>
      <c r="CV29" s="87">
        <v>1</v>
      </c>
      <c r="CW29" s="18">
        <v>0</v>
      </c>
      <c r="CX29" s="317">
        <v>0</v>
      </c>
      <c r="CY29" s="18">
        <v>0</v>
      </c>
      <c r="CZ29" s="18">
        <v>0</v>
      </c>
      <c r="DA29" s="317">
        <v>0</v>
      </c>
      <c r="DB29" s="396">
        <v>0</v>
      </c>
      <c r="DC29" s="50">
        <v>0</v>
      </c>
      <c r="DD29" s="52">
        <v>0</v>
      </c>
      <c r="DE29" s="18">
        <v>0</v>
      </c>
      <c r="DF29" s="18">
        <v>0</v>
      </c>
      <c r="DG29" s="317">
        <v>0</v>
      </c>
      <c r="DH29" s="18">
        <v>0</v>
      </c>
      <c r="DI29" s="18">
        <v>0</v>
      </c>
      <c r="DJ29" s="317">
        <v>0</v>
      </c>
      <c r="DK29" s="87">
        <v>1</v>
      </c>
      <c r="DL29" s="372">
        <v>0</v>
      </c>
      <c r="DM29" s="317">
        <v>0</v>
      </c>
      <c r="DN29" s="18">
        <v>0</v>
      </c>
      <c r="DO29" s="18">
        <v>0</v>
      </c>
      <c r="DP29" s="317">
        <v>0</v>
      </c>
      <c r="DQ29" s="87">
        <v>13</v>
      </c>
      <c r="DR29" s="18">
        <v>0</v>
      </c>
      <c r="DS29" s="317">
        <v>0</v>
      </c>
      <c r="DT29" s="87">
        <v>1</v>
      </c>
      <c r="DU29" s="18">
        <v>0</v>
      </c>
      <c r="DV29" s="317">
        <v>0</v>
      </c>
      <c r="DW29" s="396">
        <v>0</v>
      </c>
      <c r="DX29" s="50">
        <v>0</v>
      </c>
      <c r="DY29" s="52">
        <v>0</v>
      </c>
      <c r="DZ29" s="105">
        <v>9</v>
      </c>
      <c r="EA29" s="18">
        <v>0</v>
      </c>
      <c r="EB29" s="317">
        <v>0</v>
      </c>
      <c r="EC29" s="105">
        <v>14</v>
      </c>
      <c r="ED29" s="18">
        <v>0</v>
      </c>
      <c r="EE29" s="317">
        <v>0</v>
      </c>
      <c r="EF29" s="18">
        <v>0</v>
      </c>
      <c r="EG29" s="18">
        <v>0</v>
      </c>
      <c r="EH29" s="317">
        <v>0</v>
      </c>
      <c r="EI29" s="18">
        <v>0</v>
      </c>
      <c r="EJ29" s="18">
        <v>0</v>
      </c>
      <c r="EK29" s="317">
        <v>0</v>
      </c>
      <c r="EL29" s="105">
        <v>5</v>
      </c>
      <c r="EM29" s="18">
        <v>0</v>
      </c>
      <c r="EN29" s="317">
        <v>0</v>
      </c>
      <c r="EO29" s="18">
        <v>0</v>
      </c>
      <c r="EP29" s="18">
        <v>0</v>
      </c>
      <c r="EQ29" s="317">
        <v>0</v>
      </c>
      <c r="ER29" s="83"/>
      <c r="ES29" s="18">
        <v>0</v>
      </c>
      <c r="ET29" s="18">
        <v>0</v>
      </c>
      <c r="EU29" s="317">
        <v>0</v>
      </c>
      <c r="EV29" s="55" t="s">
        <v>1037</v>
      </c>
      <c r="EW29" s="57" t="s">
        <v>1038</v>
      </c>
    </row>
    <row r="30" spans="1:153" ht="14.25">
      <c r="A30" s="43">
        <v>43861</v>
      </c>
      <c r="B30" s="376">
        <f t="shared" ref="B30:D30" si="26">SUM(F30,I30,L30,O30,R30,X30,AG30,AJ30,AN30,AQ30,AT30,AW30,AZ30,BC30,BF30,BI30,BL30,BO30,BR30,CA30,CG30,CJ30,CM30,CP30,CV30,CY30,DE30,DH30,DK30,DN30,DQ30,DT30,DZ30,EC30,EL30)</f>
        <v>11908</v>
      </c>
      <c r="C30" s="377">
        <f t="shared" si="26"/>
        <v>260</v>
      </c>
      <c r="D30" s="378">
        <f t="shared" si="26"/>
        <v>220</v>
      </c>
      <c r="E30" s="379">
        <f t="shared" si="1"/>
        <v>11428</v>
      </c>
      <c r="F30" s="22">
        <v>0</v>
      </c>
      <c r="G30" s="22">
        <v>0</v>
      </c>
      <c r="H30" s="24">
        <v>0</v>
      </c>
      <c r="I30" s="22">
        <v>0</v>
      </c>
      <c r="J30" s="22">
        <v>0</v>
      </c>
      <c r="K30" s="24">
        <v>0</v>
      </c>
      <c r="L30" s="22">
        <v>0</v>
      </c>
      <c r="M30" s="22">
        <v>0</v>
      </c>
      <c r="N30" s="24">
        <v>0</v>
      </c>
      <c r="O30" s="22">
        <v>0</v>
      </c>
      <c r="P30" s="22">
        <v>0</v>
      </c>
      <c r="Q30" s="24">
        <v>0</v>
      </c>
      <c r="R30" s="22">
        <v>0</v>
      </c>
      <c r="S30" s="22">
        <v>0</v>
      </c>
      <c r="T30" s="24">
        <v>0</v>
      </c>
      <c r="U30" s="22">
        <v>0</v>
      </c>
      <c r="V30" s="22">
        <v>0</v>
      </c>
      <c r="W30" s="24">
        <v>0</v>
      </c>
      <c r="X30" s="400">
        <v>0</v>
      </c>
      <c r="Y30" s="318">
        <v>0</v>
      </c>
      <c r="Z30" s="401">
        <v>0</v>
      </c>
      <c r="AA30" s="400">
        <v>0</v>
      </c>
      <c r="AB30" s="318">
        <v>0</v>
      </c>
      <c r="AC30" s="401">
        <v>0</v>
      </c>
      <c r="AD30" s="400">
        <v>0</v>
      </c>
      <c r="AE30" s="318">
        <v>0</v>
      </c>
      <c r="AF30" s="401">
        <v>0</v>
      </c>
      <c r="AG30" s="92">
        <v>1</v>
      </c>
      <c r="AH30" s="22">
        <v>0</v>
      </c>
      <c r="AI30" s="24">
        <v>0</v>
      </c>
      <c r="AJ30" s="116">
        <v>11791</v>
      </c>
      <c r="AK30" s="402">
        <v>259</v>
      </c>
      <c r="AL30" s="403">
        <v>220</v>
      </c>
      <c r="AM30" s="383">
        <f t="shared" si="2"/>
        <v>11312</v>
      </c>
      <c r="AN30" s="116">
        <v>12</v>
      </c>
      <c r="AO30" s="163">
        <v>1</v>
      </c>
      <c r="AP30" s="24">
        <v>0</v>
      </c>
      <c r="AQ30" s="116">
        <v>4</v>
      </c>
      <c r="AR30" s="22">
        <v>0</v>
      </c>
      <c r="AS30" s="24">
        <v>0</v>
      </c>
      <c r="AT30" s="22">
        <v>0</v>
      </c>
      <c r="AU30" s="96">
        <v>0</v>
      </c>
      <c r="AV30" s="24">
        <v>0</v>
      </c>
      <c r="AW30" s="92">
        <v>13</v>
      </c>
      <c r="AX30" s="96">
        <v>0</v>
      </c>
      <c r="AY30" s="24">
        <v>0</v>
      </c>
      <c r="AZ30" s="92">
        <v>1</v>
      </c>
      <c r="BA30" s="22">
        <v>0</v>
      </c>
      <c r="BB30" s="24">
        <v>0</v>
      </c>
      <c r="BC30" s="404">
        <v>0</v>
      </c>
      <c r="BD30" s="22">
        <v>0</v>
      </c>
      <c r="BE30" s="24">
        <v>0</v>
      </c>
      <c r="BF30" s="22">
        <v>0</v>
      </c>
      <c r="BG30" s="22">
        <v>0</v>
      </c>
      <c r="BH30" s="24">
        <v>0</v>
      </c>
      <c r="BI30" s="22">
        <v>0</v>
      </c>
      <c r="BJ30" s="96">
        <v>0</v>
      </c>
      <c r="BK30" s="24">
        <v>0</v>
      </c>
      <c r="BL30" s="22">
        <v>0</v>
      </c>
      <c r="BM30" s="22">
        <v>0</v>
      </c>
      <c r="BN30" s="24">
        <v>0</v>
      </c>
      <c r="BO30" s="92">
        <v>17</v>
      </c>
      <c r="BP30" s="96">
        <v>0</v>
      </c>
      <c r="BQ30" s="24">
        <v>0</v>
      </c>
      <c r="BR30" s="22">
        <v>0</v>
      </c>
      <c r="BS30" s="22">
        <v>0</v>
      </c>
      <c r="BT30" s="24">
        <v>0</v>
      </c>
      <c r="BU30" s="22">
        <v>0</v>
      </c>
      <c r="BV30" s="22">
        <v>0</v>
      </c>
      <c r="BW30" s="24">
        <v>0</v>
      </c>
      <c r="BX30" s="22">
        <v>0</v>
      </c>
      <c r="BY30" s="22">
        <v>0</v>
      </c>
      <c r="BZ30" s="24">
        <v>0</v>
      </c>
      <c r="CA30" s="22">
        <v>0</v>
      </c>
      <c r="CB30" s="22">
        <v>0</v>
      </c>
      <c r="CC30" s="24">
        <v>0</v>
      </c>
      <c r="CD30" s="405">
        <v>0</v>
      </c>
      <c r="CE30" s="61">
        <v>0</v>
      </c>
      <c r="CF30" s="259">
        <v>0</v>
      </c>
      <c r="CG30" s="22">
        <v>0</v>
      </c>
      <c r="CH30" s="22">
        <v>0</v>
      </c>
      <c r="CI30" s="24">
        <v>0</v>
      </c>
      <c r="CJ30" s="116">
        <v>7</v>
      </c>
      <c r="CK30" s="22">
        <v>0</v>
      </c>
      <c r="CL30" s="24">
        <v>0</v>
      </c>
      <c r="CM30" s="116">
        <v>8</v>
      </c>
      <c r="CN30" s="22">
        <v>0</v>
      </c>
      <c r="CO30" s="24">
        <v>0</v>
      </c>
      <c r="CP30" s="400">
        <v>0</v>
      </c>
      <c r="CQ30" s="318">
        <v>0</v>
      </c>
      <c r="CR30" s="401">
        <v>0</v>
      </c>
      <c r="CS30" s="22">
        <v>0</v>
      </c>
      <c r="CT30" s="22">
        <v>0</v>
      </c>
      <c r="CU30" s="24">
        <v>0</v>
      </c>
      <c r="CV30" s="92">
        <v>1</v>
      </c>
      <c r="CW30" s="22">
        <v>0</v>
      </c>
      <c r="CX30" s="24">
        <v>0</v>
      </c>
      <c r="CY30" s="22">
        <v>0</v>
      </c>
      <c r="CZ30" s="22">
        <v>0</v>
      </c>
      <c r="DA30" s="24">
        <v>0</v>
      </c>
      <c r="DB30" s="400">
        <v>0</v>
      </c>
      <c r="DC30" s="318">
        <v>0</v>
      </c>
      <c r="DD30" s="401">
        <v>0</v>
      </c>
      <c r="DE30" s="22">
        <v>0</v>
      </c>
      <c r="DF30" s="22">
        <v>0</v>
      </c>
      <c r="DG30" s="24">
        <v>0</v>
      </c>
      <c r="DH30" s="22">
        <v>0</v>
      </c>
      <c r="DI30" s="22">
        <v>0</v>
      </c>
      <c r="DJ30" s="24">
        <v>0</v>
      </c>
      <c r="DK30" s="92">
        <v>1</v>
      </c>
      <c r="DL30" s="96">
        <v>0</v>
      </c>
      <c r="DM30" s="24">
        <v>0</v>
      </c>
      <c r="DN30" s="22">
        <v>0</v>
      </c>
      <c r="DO30" s="22">
        <v>0</v>
      </c>
      <c r="DP30" s="24">
        <v>0</v>
      </c>
      <c r="DQ30" s="92">
        <v>16</v>
      </c>
      <c r="DR30" s="22">
        <v>0</v>
      </c>
      <c r="DS30" s="24">
        <v>0</v>
      </c>
      <c r="DT30" s="92">
        <v>1</v>
      </c>
      <c r="DU30" s="22">
        <v>0</v>
      </c>
      <c r="DV30" s="24">
        <v>0</v>
      </c>
      <c r="DW30" s="400">
        <v>0</v>
      </c>
      <c r="DX30" s="318">
        <v>0</v>
      </c>
      <c r="DY30" s="401">
        <v>0</v>
      </c>
      <c r="DZ30" s="116">
        <v>10</v>
      </c>
      <c r="EA30" s="22">
        <v>0</v>
      </c>
      <c r="EB30" s="24">
        <v>0</v>
      </c>
      <c r="EC30" s="116">
        <v>19</v>
      </c>
      <c r="ED30" s="22">
        <v>0</v>
      </c>
      <c r="EE30" s="24">
        <v>0</v>
      </c>
      <c r="EF30" s="22">
        <v>0</v>
      </c>
      <c r="EG30" s="22">
        <v>0</v>
      </c>
      <c r="EH30" s="24">
        <v>0</v>
      </c>
      <c r="EI30" s="22">
        <v>0</v>
      </c>
      <c r="EJ30" s="22">
        <v>0</v>
      </c>
      <c r="EK30" s="24">
        <v>0</v>
      </c>
      <c r="EL30" s="116">
        <v>6</v>
      </c>
      <c r="EM30" s="22">
        <v>0</v>
      </c>
      <c r="EN30" s="24">
        <v>0</v>
      </c>
      <c r="EO30" s="22">
        <v>0</v>
      </c>
      <c r="EP30" s="22">
        <v>0</v>
      </c>
      <c r="EQ30" s="24">
        <v>0</v>
      </c>
      <c r="ER30" s="54"/>
      <c r="ES30" s="22">
        <v>0</v>
      </c>
      <c r="ET30" s="22">
        <v>0</v>
      </c>
      <c r="EU30" s="24">
        <v>0</v>
      </c>
      <c r="EV30" s="66"/>
      <c r="EW30" s="355" t="s">
        <v>198</v>
      </c>
    </row>
    <row r="31" spans="1:153" ht="12.75">
      <c r="A31" s="40">
        <v>43862</v>
      </c>
      <c r="B31" s="366">
        <f t="shared" ref="B31:D31" si="27">SUM(F31,I31,L31,O31,R31,X31,AG31,AJ31,AN31,AQ31,AT31,AW31,AZ31,BC31,BF31,BI31,BL31,BO31,BR31,CA31,CG31,CJ31,CM31,CP31,CV31,CY31,DE31,DH31,DK31,DN31,DQ31,DT31,DZ31,EC31,EL31)</f>
        <v>14603</v>
      </c>
      <c r="C31" s="367">
        <f t="shared" si="27"/>
        <v>258</v>
      </c>
      <c r="D31" s="368">
        <f t="shared" si="27"/>
        <v>284</v>
      </c>
      <c r="E31" s="369">
        <f t="shared" si="1"/>
        <v>14061</v>
      </c>
      <c r="F31" s="18">
        <v>0</v>
      </c>
      <c r="G31" s="18">
        <v>0</v>
      </c>
      <c r="H31" s="317">
        <v>0</v>
      </c>
      <c r="I31" s="18">
        <v>0</v>
      </c>
      <c r="J31" s="18">
        <v>0</v>
      </c>
      <c r="K31" s="317">
        <v>0</v>
      </c>
      <c r="L31" s="18">
        <v>0</v>
      </c>
      <c r="M31" s="18">
        <v>0</v>
      </c>
      <c r="N31" s="317">
        <v>0</v>
      </c>
      <c r="O31" s="18">
        <v>0</v>
      </c>
      <c r="P31" s="18">
        <v>0</v>
      </c>
      <c r="Q31" s="317">
        <v>0</v>
      </c>
      <c r="R31" s="18">
        <v>0</v>
      </c>
      <c r="S31" s="18">
        <v>0</v>
      </c>
      <c r="T31" s="317">
        <v>0</v>
      </c>
      <c r="U31" s="18">
        <v>0</v>
      </c>
      <c r="V31" s="18">
        <v>0</v>
      </c>
      <c r="W31" s="317">
        <v>0</v>
      </c>
      <c r="X31" s="396">
        <v>0</v>
      </c>
      <c r="Y31" s="50">
        <v>0</v>
      </c>
      <c r="Z31" s="52">
        <v>0</v>
      </c>
      <c r="AA31" s="396">
        <v>0</v>
      </c>
      <c r="AB31" s="50">
        <v>0</v>
      </c>
      <c r="AC31" s="52">
        <v>0</v>
      </c>
      <c r="AD31" s="396">
        <v>0</v>
      </c>
      <c r="AE31" s="50">
        <v>0</v>
      </c>
      <c r="AF31" s="52">
        <v>0</v>
      </c>
      <c r="AG31" s="87">
        <v>1</v>
      </c>
      <c r="AH31" s="18">
        <v>0</v>
      </c>
      <c r="AI31" s="317">
        <v>0</v>
      </c>
      <c r="AJ31" s="105">
        <v>14473</v>
      </c>
      <c r="AK31" s="139">
        <v>257</v>
      </c>
      <c r="AL31" s="397">
        <v>284</v>
      </c>
      <c r="AM31" s="371">
        <f t="shared" si="2"/>
        <v>13932</v>
      </c>
      <c r="AN31" s="105">
        <v>15</v>
      </c>
      <c r="AO31" s="139">
        <v>1</v>
      </c>
      <c r="AP31" s="317">
        <v>0</v>
      </c>
      <c r="AQ31" s="105">
        <v>5</v>
      </c>
      <c r="AR31" s="18">
        <v>0</v>
      </c>
      <c r="AS31" s="317">
        <v>0</v>
      </c>
      <c r="AT31" s="18">
        <v>0</v>
      </c>
      <c r="AU31" s="372">
        <v>0</v>
      </c>
      <c r="AV31" s="317">
        <v>0</v>
      </c>
      <c r="AW31" s="87">
        <v>14</v>
      </c>
      <c r="AX31" s="372">
        <v>0</v>
      </c>
      <c r="AY31" s="317">
        <v>0</v>
      </c>
      <c r="AZ31" s="87">
        <v>2</v>
      </c>
      <c r="BA31" s="18">
        <v>0</v>
      </c>
      <c r="BB31" s="317">
        <v>0</v>
      </c>
      <c r="BC31" s="18">
        <v>0</v>
      </c>
      <c r="BD31" s="18">
        <v>0</v>
      </c>
      <c r="BE31" s="317">
        <v>0</v>
      </c>
      <c r="BF31" s="18">
        <v>0</v>
      </c>
      <c r="BG31" s="18">
        <v>0</v>
      </c>
      <c r="BH31" s="317">
        <v>0</v>
      </c>
      <c r="BI31" s="18">
        <v>0</v>
      </c>
      <c r="BJ31" s="372">
        <v>0</v>
      </c>
      <c r="BK31" s="317">
        <v>0</v>
      </c>
      <c r="BL31" s="18">
        <v>0</v>
      </c>
      <c r="BM31" s="18">
        <v>0</v>
      </c>
      <c r="BN31" s="317">
        <v>0</v>
      </c>
      <c r="BO31" s="87">
        <v>20</v>
      </c>
      <c r="BP31" s="372">
        <v>0</v>
      </c>
      <c r="BQ31" s="317">
        <v>0</v>
      </c>
      <c r="BR31" s="15">
        <v>0</v>
      </c>
      <c r="BS31" s="15">
        <v>0</v>
      </c>
      <c r="BT31" s="17">
        <v>0</v>
      </c>
      <c r="BU31" s="15">
        <v>0</v>
      </c>
      <c r="BV31" s="15">
        <v>0</v>
      </c>
      <c r="BW31" s="17">
        <v>0</v>
      </c>
      <c r="BX31" s="15">
        <v>0</v>
      </c>
      <c r="BY31" s="15">
        <v>0</v>
      </c>
      <c r="BZ31" s="17">
        <v>0</v>
      </c>
      <c r="CA31" s="18">
        <v>0</v>
      </c>
      <c r="CB31" s="18">
        <v>0</v>
      </c>
      <c r="CC31" s="317">
        <v>0</v>
      </c>
      <c r="CD31" s="394">
        <v>0</v>
      </c>
      <c r="CE31" s="63">
        <v>0</v>
      </c>
      <c r="CF31" s="395">
        <v>0</v>
      </c>
      <c r="CG31" s="18">
        <v>0</v>
      </c>
      <c r="CH31" s="18">
        <v>0</v>
      </c>
      <c r="CI31" s="317">
        <v>0</v>
      </c>
      <c r="CJ31" s="105">
        <v>7</v>
      </c>
      <c r="CK31" s="18">
        <v>0</v>
      </c>
      <c r="CL31" s="317">
        <v>0</v>
      </c>
      <c r="CM31" s="105">
        <v>8</v>
      </c>
      <c r="CN31" s="18">
        <v>0</v>
      </c>
      <c r="CO31" s="317">
        <v>0</v>
      </c>
      <c r="CP31" s="396">
        <v>0</v>
      </c>
      <c r="CQ31" s="50">
        <v>0</v>
      </c>
      <c r="CR31" s="52">
        <v>0</v>
      </c>
      <c r="CS31" s="18">
        <v>0</v>
      </c>
      <c r="CT31" s="18">
        <v>0</v>
      </c>
      <c r="CU31" s="317">
        <v>0</v>
      </c>
      <c r="CV31" s="87">
        <v>1</v>
      </c>
      <c r="CW31" s="18">
        <v>0</v>
      </c>
      <c r="CX31" s="317">
        <v>0</v>
      </c>
      <c r="CY31" s="18">
        <v>0</v>
      </c>
      <c r="CZ31" s="18">
        <v>0</v>
      </c>
      <c r="DA31" s="317">
        <v>0</v>
      </c>
      <c r="DB31" s="396">
        <v>0</v>
      </c>
      <c r="DC31" s="50">
        <v>0</v>
      </c>
      <c r="DD31" s="52">
        <v>0</v>
      </c>
      <c r="DE31" s="18">
        <v>0</v>
      </c>
      <c r="DF31" s="18">
        <v>0</v>
      </c>
      <c r="DG31" s="317">
        <v>0</v>
      </c>
      <c r="DH31" s="18">
        <v>0</v>
      </c>
      <c r="DI31" s="18">
        <v>0</v>
      </c>
      <c r="DJ31" s="317">
        <v>0</v>
      </c>
      <c r="DK31" s="87">
        <v>2</v>
      </c>
      <c r="DL31" s="372">
        <v>0</v>
      </c>
      <c r="DM31" s="317">
        <v>0</v>
      </c>
      <c r="DN31" s="18">
        <v>0</v>
      </c>
      <c r="DO31" s="18">
        <v>0</v>
      </c>
      <c r="DP31" s="317">
        <v>0</v>
      </c>
      <c r="DQ31" s="87">
        <v>18</v>
      </c>
      <c r="DR31" s="18">
        <v>0</v>
      </c>
      <c r="DS31" s="317">
        <v>0</v>
      </c>
      <c r="DT31" s="87">
        <v>1</v>
      </c>
      <c r="DU31" s="18">
        <v>0</v>
      </c>
      <c r="DV31" s="317">
        <v>0</v>
      </c>
      <c r="DW31" s="396">
        <v>0</v>
      </c>
      <c r="DX31" s="50">
        <v>0</v>
      </c>
      <c r="DY31" s="52">
        <v>0</v>
      </c>
      <c r="DZ31" s="105">
        <v>10</v>
      </c>
      <c r="EA31" s="18">
        <v>0</v>
      </c>
      <c r="EB31" s="317">
        <v>0</v>
      </c>
      <c r="EC31" s="105">
        <v>19</v>
      </c>
      <c r="ED31" s="18">
        <v>0</v>
      </c>
      <c r="EE31" s="317">
        <v>0</v>
      </c>
      <c r="EF31" s="18">
        <v>0</v>
      </c>
      <c r="EG31" s="18">
        <v>0</v>
      </c>
      <c r="EH31" s="317">
        <v>0</v>
      </c>
      <c r="EI31" s="18">
        <v>0</v>
      </c>
      <c r="EJ31" s="18">
        <v>0</v>
      </c>
      <c r="EK31" s="317">
        <v>0</v>
      </c>
      <c r="EL31" s="105">
        <v>7</v>
      </c>
      <c r="EM31" s="18">
        <v>0</v>
      </c>
      <c r="EN31" s="317">
        <v>0</v>
      </c>
      <c r="EO31" s="18">
        <v>0</v>
      </c>
      <c r="EP31" s="18">
        <v>0</v>
      </c>
      <c r="EQ31" s="317">
        <v>0</v>
      </c>
      <c r="ER31" s="83"/>
      <c r="ES31" s="18">
        <v>0</v>
      </c>
      <c r="ET31" s="18">
        <v>0</v>
      </c>
      <c r="EU31" s="317">
        <v>0</v>
      </c>
      <c r="EV31" s="55"/>
      <c r="EW31" s="77" t="s">
        <v>199</v>
      </c>
    </row>
    <row r="32" spans="1:153" ht="12.75">
      <c r="A32" s="40">
        <v>43863</v>
      </c>
      <c r="B32" s="366">
        <f t="shared" ref="B32:D32" si="28">SUM(F32,I32,L32,O32,R32,X32,AG32,AJ32,AN32,AQ32,AT32,AW32,AZ32,BC32,BF32,BI32,BL32,BO32,BR32,CA32,CG32,CJ32,CM32,CP32,CV32,CY32,DE32,DH32,DK32,DN32,DQ32,DT32,DZ32,EC32,EL32)</f>
        <v>17517</v>
      </c>
      <c r="C32" s="367">
        <f t="shared" si="28"/>
        <v>363</v>
      </c>
      <c r="D32" s="368">
        <f t="shared" si="28"/>
        <v>487</v>
      </c>
      <c r="E32" s="369">
        <f t="shared" si="1"/>
        <v>16667</v>
      </c>
      <c r="F32" s="15">
        <v>0</v>
      </c>
      <c r="G32" s="15">
        <v>0</v>
      </c>
      <c r="H32" s="17">
        <v>0</v>
      </c>
      <c r="I32" s="15">
        <v>0</v>
      </c>
      <c r="J32" s="15">
        <v>0</v>
      </c>
      <c r="K32" s="17">
        <v>0</v>
      </c>
      <c r="L32" s="15">
        <v>0</v>
      </c>
      <c r="M32" s="15">
        <v>0</v>
      </c>
      <c r="N32" s="17">
        <v>0</v>
      </c>
      <c r="O32" s="15">
        <v>0</v>
      </c>
      <c r="P32" s="15">
        <v>0</v>
      </c>
      <c r="Q32" s="17">
        <v>0</v>
      </c>
      <c r="R32" s="15">
        <v>0</v>
      </c>
      <c r="S32" s="15">
        <v>0</v>
      </c>
      <c r="T32" s="17">
        <v>0</v>
      </c>
      <c r="U32" s="15">
        <v>0</v>
      </c>
      <c r="V32" s="15">
        <v>0</v>
      </c>
      <c r="W32" s="17">
        <v>0</v>
      </c>
      <c r="X32" s="396">
        <v>0</v>
      </c>
      <c r="Y32" s="50">
        <v>0</v>
      </c>
      <c r="Z32" s="52">
        <v>0</v>
      </c>
      <c r="AA32" s="396">
        <v>0</v>
      </c>
      <c r="AB32" s="50">
        <v>0</v>
      </c>
      <c r="AC32" s="52">
        <v>0</v>
      </c>
      <c r="AD32" s="396">
        <v>0</v>
      </c>
      <c r="AE32" s="50">
        <v>0</v>
      </c>
      <c r="AF32" s="52">
        <v>0</v>
      </c>
      <c r="AG32" s="87">
        <v>1</v>
      </c>
      <c r="AH32" s="15">
        <v>0</v>
      </c>
      <c r="AI32" s="17">
        <v>0</v>
      </c>
      <c r="AJ32" s="105">
        <v>17383</v>
      </c>
      <c r="AK32" s="139">
        <v>361</v>
      </c>
      <c r="AL32" s="397">
        <v>487</v>
      </c>
      <c r="AM32" s="371">
        <f t="shared" si="2"/>
        <v>16535</v>
      </c>
      <c r="AN32" s="105">
        <v>15</v>
      </c>
      <c r="AO32" s="139">
        <v>1</v>
      </c>
      <c r="AP32" s="17">
        <v>0</v>
      </c>
      <c r="AQ32" s="105">
        <v>5</v>
      </c>
      <c r="AR32" s="15">
        <v>0</v>
      </c>
      <c r="AS32" s="17">
        <v>0</v>
      </c>
      <c r="AT32" s="15">
        <v>0</v>
      </c>
      <c r="AU32" s="372">
        <v>0</v>
      </c>
      <c r="AV32" s="17">
        <v>0</v>
      </c>
      <c r="AW32" s="87">
        <v>15</v>
      </c>
      <c r="AX32" s="372">
        <v>0</v>
      </c>
      <c r="AY32" s="17">
        <v>0</v>
      </c>
      <c r="AZ32" s="87">
        <v>3</v>
      </c>
      <c r="BA32" s="15">
        <v>0</v>
      </c>
      <c r="BB32" s="17">
        <v>0</v>
      </c>
      <c r="BC32" s="18">
        <v>0</v>
      </c>
      <c r="BD32" s="15">
        <v>0</v>
      </c>
      <c r="BE32" s="17">
        <v>0</v>
      </c>
      <c r="BF32" s="15">
        <v>0</v>
      </c>
      <c r="BG32" s="15">
        <v>0</v>
      </c>
      <c r="BH32" s="17">
        <v>0</v>
      </c>
      <c r="BI32" s="15">
        <v>0</v>
      </c>
      <c r="BJ32" s="372">
        <v>0</v>
      </c>
      <c r="BK32" s="17">
        <v>0</v>
      </c>
      <c r="BL32" s="15">
        <v>0</v>
      </c>
      <c r="BM32" s="15">
        <v>0</v>
      </c>
      <c r="BN32" s="17">
        <v>0</v>
      </c>
      <c r="BO32" s="87">
        <v>20</v>
      </c>
      <c r="BP32" s="372">
        <v>0</v>
      </c>
      <c r="BQ32" s="17">
        <v>0</v>
      </c>
      <c r="BR32" s="15">
        <v>0</v>
      </c>
      <c r="BS32" s="15">
        <v>0</v>
      </c>
      <c r="BT32" s="17">
        <v>0</v>
      </c>
      <c r="BU32" s="15">
        <v>0</v>
      </c>
      <c r="BV32" s="15">
        <v>0</v>
      </c>
      <c r="BW32" s="17">
        <v>0</v>
      </c>
      <c r="BX32" s="15">
        <v>0</v>
      </c>
      <c r="BY32" s="15">
        <v>0</v>
      </c>
      <c r="BZ32" s="17">
        <v>0</v>
      </c>
      <c r="CA32" s="15">
        <v>0</v>
      </c>
      <c r="CB32" s="15">
        <v>0</v>
      </c>
      <c r="CC32" s="17">
        <v>0</v>
      </c>
      <c r="CD32" s="392">
        <v>0</v>
      </c>
      <c r="CE32" s="41">
        <v>0</v>
      </c>
      <c r="CF32" s="393">
        <v>0</v>
      </c>
      <c r="CG32" s="15">
        <v>0</v>
      </c>
      <c r="CH32" s="15">
        <v>0</v>
      </c>
      <c r="CI32" s="17">
        <v>0</v>
      </c>
      <c r="CJ32" s="105">
        <v>8</v>
      </c>
      <c r="CK32" s="15">
        <v>0</v>
      </c>
      <c r="CL32" s="17">
        <v>0</v>
      </c>
      <c r="CM32" s="105">
        <v>8</v>
      </c>
      <c r="CN32" s="15">
        <v>0</v>
      </c>
      <c r="CO32" s="17">
        <v>0</v>
      </c>
      <c r="CP32" s="396">
        <v>0</v>
      </c>
      <c r="CQ32" s="50">
        <v>0</v>
      </c>
      <c r="CR32" s="52">
        <v>0</v>
      </c>
      <c r="CS32" s="15">
        <v>0</v>
      </c>
      <c r="CT32" s="15">
        <v>0</v>
      </c>
      <c r="CU32" s="17">
        <v>0</v>
      </c>
      <c r="CV32" s="87">
        <v>1</v>
      </c>
      <c r="CW32" s="15">
        <v>0</v>
      </c>
      <c r="CX32" s="17">
        <v>0</v>
      </c>
      <c r="CY32" s="15">
        <v>0</v>
      </c>
      <c r="CZ32" s="15">
        <v>0</v>
      </c>
      <c r="DA32" s="17">
        <v>0</v>
      </c>
      <c r="DB32" s="396">
        <v>0</v>
      </c>
      <c r="DC32" s="50">
        <v>0</v>
      </c>
      <c r="DD32" s="52">
        <v>0</v>
      </c>
      <c r="DE32" s="15">
        <v>0</v>
      </c>
      <c r="DF32" s="15">
        <v>0</v>
      </c>
      <c r="DG32" s="17">
        <v>0</v>
      </c>
      <c r="DH32" s="15">
        <v>0</v>
      </c>
      <c r="DI32" s="15">
        <v>0</v>
      </c>
      <c r="DJ32" s="17">
        <v>0</v>
      </c>
      <c r="DK32" s="87">
        <v>2</v>
      </c>
      <c r="DL32" s="139">
        <v>1</v>
      </c>
      <c r="DM32" s="17">
        <v>0</v>
      </c>
      <c r="DN32" s="15">
        <v>0</v>
      </c>
      <c r="DO32" s="15">
        <v>0</v>
      </c>
      <c r="DP32" s="17">
        <v>0</v>
      </c>
      <c r="DQ32" s="87">
        <v>18</v>
      </c>
      <c r="DR32" s="15">
        <v>0</v>
      </c>
      <c r="DS32" s="17">
        <v>0</v>
      </c>
      <c r="DT32" s="87">
        <v>1</v>
      </c>
      <c r="DU32" s="15">
        <v>0</v>
      </c>
      <c r="DV32" s="17">
        <v>0</v>
      </c>
      <c r="DW32" s="396">
        <v>0</v>
      </c>
      <c r="DX32" s="50">
        <v>0</v>
      </c>
      <c r="DY32" s="52">
        <v>0</v>
      </c>
      <c r="DZ32" s="105">
        <v>10</v>
      </c>
      <c r="EA32" s="15">
        <v>0</v>
      </c>
      <c r="EB32" s="17">
        <v>0</v>
      </c>
      <c r="EC32" s="105">
        <v>19</v>
      </c>
      <c r="ED32" s="15">
        <v>0</v>
      </c>
      <c r="EE32" s="17">
        <v>0</v>
      </c>
      <c r="EF32" s="15">
        <v>0</v>
      </c>
      <c r="EG32" s="15">
        <v>0</v>
      </c>
      <c r="EH32" s="17">
        <v>0</v>
      </c>
      <c r="EI32" s="15">
        <v>0</v>
      </c>
      <c r="EJ32" s="15">
        <v>0</v>
      </c>
      <c r="EK32" s="17">
        <v>0</v>
      </c>
      <c r="EL32" s="105">
        <v>8</v>
      </c>
      <c r="EM32" s="15">
        <v>0</v>
      </c>
      <c r="EN32" s="17">
        <v>0</v>
      </c>
      <c r="EO32" s="15">
        <v>0</v>
      </c>
      <c r="EP32" s="15">
        <v>0</v>
      </c>
      <c r="EQ32" s="17">
        <v>0</v>
      </c>
      <c r="ER32" s="54"/>
      <c r="ES32" s="15">
        <v>0</v>
      </c>
      <c r="ET32" s="15">
        <v>0</v>
      </c>
      <c r="EU32" s="17">
        <v>0</v>
      </c>
      <c r="EV32" s="55"/>
      <c r="EW32" s="77" t="s">
        <v>833</v>
      </c>
    </row>
    <row r="33" spans="1:153" ht="12.75">
      <c r="A33" s="40">
        <v>43864</v>
      </c>
      <c r="B33" s="366">
        <f t="shared" ref="B33:D33" si="29">SUM(F33,I33,L33,O33,R33,X33,AG33,AJ33,AN33,AQ33,AT33,AW33,AZ33,BC33,BF33,BI33,BL33,BO33,BR33,CA33,CG33,CJ33,CM33,CP33,CV33,CY33,DE33,DH33,DK33,DN33,DQ33,DT33,DZ33,EC33,EL33)</f>
        <v>20609</v>
      </c>
      <c r="C33" s="367">
        <f t="shared" si="29"/>
        <v>427</v>
      </c>
      <c r="D33" s="368">
        <f t="shared" si="29"/>
        <v>621</v>
      </c>
      <c r="E33" s="369">
        <f t="shared" si="1"/>
        <v>19561</v>
      </c>
      <c r="F33" s="18">
        <v>0</v>
      </c>
      <c r="G33" s="18">
        <v>0</v>
      </c>
      <c r="H33" s="317">
        <v>0</v>
      </c>
      <c r="I33" s="18">
        <v>0</v>
      </c>
      <c r="J33" s="18">
        <v>0</v>
      </c>
      <c r="K33" s="317">
        <v>0</v>
      </c>
      <c r="L33" s="18">
        <v>0</v>
      </c>
      <c r="M33" s="18">
        <v>0</v>
      </c>
      <c r="N33" s="317">
        <v>0</v>
      </c>
      <c r="O33" s="18">
        <v>0</v>
      </c>
      <c r="P33" s="18">
        <v>0</v>
      </c>
      <c r="Q33" s="317">
        <v>0</v>
      </c>
      <c r="R33" s="18">
        <v>0</v>
      </c>
      <c r="S33" s="18">
        <v>0</v>
      </c>
      <c r="T33" s="317">
        <v>0</v>
      </c>
      <c r="U33" s="18">
        <v>0</v>
      </c>
      <c r="V33" s="18">
        <v>0</v>
      </c>
      <c r="W33" s="317">
        <v>0</v>
      </c>
      <c r="X33" s="396">
        <v>0</v>
      </c>
      <c r="Y33" s="50">
        <v>0</v>
      </c>
      <c r="Z33" s="52">
        <v>0</v>
      </c>
      <c r="AA33" s="396">
        <v>0</v>
      </c>
      <c r="AB33" s="50">
        <v>0</v>
      </c>
      <c r="AC33" s="52">
        <v>0</v>
      </c>
      <c r="AD33" s="396">
        <v>0</v>
      </c>
      <c r="AE33" s="50">
        <v>0</v>
      </c>
      <c r="AF33" s="52">
        <v>0</v>
      </c>
      <c r="AG33" s="87">
        <v>1</v>
      </c>
      <c r="AH33" s="18">
        <v>0</v>
      </c>
      <c r="AI33" s="317">
        <v>0</v>
      </c>
      <c r="AJ33" s="105">
        <v>20471</v>
      </c>
      <c r="AK33" s="139">
        <v>425</v>
      </c>
      <c r="AL33" s="397">
        <v>621</v>
      </c>
      <c r="AM33" s="371">
        <f t="shared" si="2"/>
        <v>19425</v>
      </c>
      <c r="AN33" s="105">
        <v>16</v>
      </c>
      <c r="AO33" s="139">
        <v>1</v>
      </c>
      <c r="AP33" s="317">
        <v>0</v>
      </c>
      <c r="AQ33" s="105">
        <v>5</v>
      </c>
      <c r="AR33" s="18">
        <v>0</v>
      </c>
      <c r="AS33" s="317">
        <v>0</v>
      </c>
      <c r="AT33" s="18">
        <v>0</v>
      </c>
      <c r="AU33" s="18">
        <v>0</v>
      </c>
      <c r="AV33" s="317">
        <v>0</v>
      </c>
      <c r="AW33" s="87">
        <v>15</v>
      </c>
      <c r="AX33" s="372">
        <v>0</v>
      </c>
      <c r="AY33" s="317">
        <v>0</v>
      </c>
      <c r="AZ33" s="87">
        <v>3</v>
      </c>
      <c r="BA33" s="18">
        <v>0</v>
      </c>
      <c r="BB33" s="317">
        <v>0</v>
      </c>
      <c r="BC33" s="18">
        <v>0</v>
      </c>
      <c r="BD33" s="18">
        <v>0</v>
      </c>
      <c r="BE33" s="317">
        <v>0</v>
      </c>
      <c r="BF33" s="18">
        <v>0</v>
      </c>
      <c r="BG33" s="18">
        <v>0</v>
      </c>
      <c r="BH33" s="317">
        <v>0</v>
      </c>
      <c r="BI33" s="18">
        <v>0</v>
      </c>
      <c r="BJ33" s="372">
        <v>0</v>
      </c>
      <c r="BK33" s="317">
        <v>0</v>
      </c>
      <c r="BL33" s="18">
        <v>0</v>
      </c>
      <c r="BM33" s="18">
        <v>0</v>
      </c>
      <c r="BN33" s="317">
        <v>0</v>
      </c>
      <c r="BO33" s="87">
        <v>20</v>
      </c>
      <c r="BP33" s="372">
        <v>0</v>
      </c>
      <c r="BQ33" s="317">
        <v>0</v>
      </c>
      <c r="BR33" s="15">
        <v>0</v>
      </c>
      <c r="BS33" s="15">
        <v>0</v>
      </c>
      <c r="BT33" s="17">
        <v>0</v>
      </c>
      <c r="BU33" s="15">
        <v>0</v>
      </c>
      <c r="BV33" s="15">
        <v>0</v>
      </c>
      <c r="BW33" s="17">
        <v>0</v>
      </c>
      <c r="BX33" s="15">
        <v>0</v>
      </c>
      <c r="BY33" s="15">
        <v>0</v>
      </c>
      <c r="BZ33" s="17">
        <v>0</v>
      </c>
      <c r="CA33" s="18">
        <v>0</v>
      </c>
      <c r="CB33" s="18">
        <v>0</v>
      </c>
      <c r="CC33" s="317">
        <v>0</v>
      </c>
      <c r="CD33" s="394">
        <v>0</v>
      </c>
      <c r="CE33" s="63">
        <v>0</v>
      </c>
      <c r="CF33" s="395">
        <v>0</v>
      </c>
      <c r="CG33" s="18">
        <v>0</v>
      </c>
      <c r="CH33" s="18">
        <v>0</v>
      </c>
      <c r="CI33" s="317">
        <v>0</v>
      </c>
      <c r="CJ33" s="105">
        <v>8</v>
      </c>
      <c r="CK33" s="18">
        <v>0</v>
      </c>
      <c r="CL33" s="317">
        <v>0</v>
      </c>
      <c r="CM33" s="105">
        <v>10</v>
      </c>
      <c r="CN33" s="18">
        <v>0</v>
      </c>
      <c r="CO33" s="317">
        <v>0</v>
      </c>
      <c r="CP33" s="396">
        <v>0</v>
      </c>
      <c r="CQ33" s="50">
        <v>0</v>
      </c>
      <c r="CR33" s="52">
        <v>0</v>
      </c>
      <c r="CS33" s="18">
        <v>0</v>
      </c>
      <c r="CT33" s="18">
        <v>0</v>
      </c>
      <c r="CU33" s="317">
        <v>0</v>
      </c>
      <c r="CV33" s="87">
        <v>1</v>
      </c>
      <c r="CW33" s="18">
        <v>0</v>
      </c>
      <c r="CX33" s="317">
        <v>0</v>
      </c>
      <c r="CY33" s="18">
        <v>0</v>
      </c>
      <c r="CZ33" s="18">
        <v>0</v>
      </c>
      <c r="DA33" s="317">
        <v>0</v>
      </c>
      <c r="DB33" s="396">
        <v>0</v>
      </c>
      <c r="DC33" s="50">
        <v>0</v>
      </c>
      <c r="DD33" s="52">
        <v>0</v>
      </c>
      <c r="DE33" s="18">
        <v>0</v>
      </c>
      <c r="DF33" s="18">
        <v>0</v>
      </c>
      <c r="DG33" s="317">
        <v>0</v>
      </c>
      <c r="DH33" s="18">
        <v>0</v>
      </c>
      <c r="DI33" s="18">
        <v>0</v>
      </c>
      <c r="DJ33" s="317">
        <v>0</v>
      </c>
      <c r="DK33" s="87">
        <v>2</v>
      </c>
      <c r="DL33" s="139">
        <v>1</v>
      </c>
      <c r="DM33" s="317">
        <v>0</v>
      </c>
      <c r="DN33" s="18">
        <v>0</v>
      </c>
      <c r="DO33" s="18">
        <v>0</v>
      </c>
      <c r="DP33" s="317">
        <v>0</v>
      </c>
      <c r="DQ33" s="87">
        <v>18</v>
      </c>
      <c r="DR33" s="18">
        <v>0</v>
      </c>
      <c r="DS33" s="317">
        <v>0</v>
      </c>
      <c r="DT33" s="87">
        <v>1</v>
      </c>
      <c r="DU33" s="18">
        <v>0</v>
      </c>
      <c r="DV33" s="317">
        <v>0</v>
      </c>
      <c r="DW33" s="396">
        <v>0</v>
      </c>
      <c r="DX33" s="50">
        <v>0</v>
      </c>
      <c r="DY33" s="52">
        <v>0</v>
      </c>
      <c r="DZ33" s="105">
        <v>10</v>
      </c>
      <c r="EA33" s="18">
        <v>0</v>
      </c>
      <c r="EB33" s="317">
        <v>0</v>
      </c>
      <c r="EC33" s="105">
        <v>19</v>
      </c>
      <c r="ED33" s="18">
        <v>0</v>
      </c>
      <c r="EE33" s="317">
        <v>0</v>
      </c>
      <c r="EF33" s="18">
        <v>0</v>
      </c>
      <c r="EG33" s="18">
        <v>0</v>
      </c>
      <c r="EH33" s="317">
        <v>0</v>
      </c>
      <c r="EI33" s="18">
        <v>0</v>
      </c>
      <c r="EJ33" s="18">
        <v>0</v>
      </c>
      <c r="EK33" s="317">
        <v>0</v>
      </c>
      <c r="EL33" s="105">
        <v>9</v>
      </c>
      <c r="EM33" s="18">
        <v>0</v>
      </c>
      <c r="EN33" s="317">
        <v>0</v>
      </c>
      <c r="EO33" s="18">
        <v>0</v>
      </c>
      <c r="EP33" s="18">
        <v>0</v>
      </c>
      <c r="EQ33" s="317">
        <v>0</v>
      </c>
      <c r="ER33" s="83"/>
      <c r="ES33" s="18">
        <v>0</v>
      </c>
      <c r="ET33" s="18">
        <v>0</v>
      </c>
      <c r="EU33" s="317">
        <v>0</v>
      </c>
      <c r="EV33" s="55"/>
      <c r="EW33" s="77" t="s">
        <v>200</v>
      </c>
    </row>
    <row r="34" spans="1:153" ht="12.75">
      <c r="A34" s="40">
        <v>43865</v>
      </c>
      <c r="B34" s="366">
        <f t="shared" ref="B34:D34" si="30">SUM(F34,I34,L34,O34,R34,X34,AG34,AJ34,AN34,AQ34,AT34,AW34,AZ34,BC34,BF34,BI34,BL34,BO34,BR34,CA34,CG34,CJ34,CM34,CP34,CV34,CY34,DE34,DH34,DK34,DN34,DQ34,DT34,DZ34,EC34,EL34)</f>
        <v>24523</v>
      </c>
      <c r="C34" s="367">
        <f t="shared" si="30"/>
        <v>494</v>
      </c>
      <c r="D34" s="368">
        <f t="shared" si="30"/>
        <v>899</v>
      </c>
      <c r="E34" s="369">
        <f t="shared" si="1"/>
        <v>23130</v>
      </c>
      <c r="F34" s="15">
        <v>0</v>
      </c>
      <c r="G34" s="15">
        <v>0</v>
      </c>
      <c r="H34" s="17">
        <v>0</v>
      </c>
      <c r="I34" s="15">
        <v>0</v>
      </c>
      <c r="J34" s="15">
        <v>0</v>
      </c>
      <c r="K34" s="17">
        <v>0</v>
      </c>
      <c r="L34" s="15">
        <v>0</v>
      </c>
      <c r="M34" s="15">
        <v>0</v>
      </c>
      <c r="N34" s="17">
        <v>0</v>
      </c>
      <c r="O34" s="15">
        <v>0</v>
      </c>
      <c r="P34" s="15">
        <v>0</v>
      </c>
      <c r="Q34" s="17">
        <v>0</v>
      </c>
      <c r="R34" s="15">
        <v>0</v>
      </c>
      <c r="S34" s="15">
        <v>0</v>
      </c>
      <c r="T34" s="17">
        <v>0</v>
      </c>
      <c r="U34" s="15">
        <v>0</v>
      </c>
      <c r="V34" s="15">
        <v>0</v>
      </c>
      <c r="W34" s="17">
        <v>0</v>
      </c>
      <c r="X34" s="396">
        <v>0</v>
      </c>
      <c r="Y34" s="50">
        <v>0</v>
      </c>
      <c r="Z34" s="52">
        <v>0</v>
      </c>
      <c r="AA34" s="396">
        <v>0</v>
      </c>
      <c r="AB34" s="50">
        <v>0</v>
      </c>
      <c r="AC34" s="52">
        <v>0</v>
      </c>
      <c r="AD34" s="396">
        <v>0</v>
      </c>
      <c r="AE34" s="50">
        <v>0</v>
      </c>
      <c r="AF34" s="52">
        <v>0</v>
      </c>
      <c r="AG34" s="87">
        <v>1</v>
      </c>
      <c r="AH34" s="15">
        <v>0</v>
      </c>
      <c r="AI34" s="17">
        <v>0</v>
      </c>
      <c r="AJ34" s="105">
        <v>24363</v>
      </c>
      <c r="AK34" s="139">
        <v>491</v>
      </c>
      <c r="AL34" s="397">
        <v>899</v>
      </c>
      <c r="AM34" s="371">
        <f t="shared" si="2"/>
        <v>22973</v>
      </c>
      <c r="AN34" s="105">
        <v>18</v>
      </c>
      <c r="AO34" s="139">
        <v>1</v>
      </c>
      <c r="AP34" s="17">
        <v>0</v>
      </c>
      <c r="AQ34" s="105">
        <v>5</v>
      </c>
      <c r="AR34" s="15">
        <v>0</v>
      </c>
      <c r="AS34" s="17">
        <v>0</v>
      </c>
      <c r="AT34" s="15">
        <v>0</v>
      </c>
      <c r="AU34" s="15">
        <v>0</v>
      </c>
      <c r="AV34" s="17">
        <v>0</v>
      </c>
      <c r="AW34" s="87">
        <v>18</v>
      </c>
      <c r="AX34" s="139">
        <v>1</v>
      </c>
      <c r="AY34" s="17">
        <v>0</v>
      </c>
      <c r="AZ34" s="87">
        <v>3</v>
      </c>
      <c r="BA34" s="15">
        <v>0</v>
      </c>
      <c r="BB34" s="17">
        <v>0</v>
      </c>
      <c r="BC34" s="18">
        <v>0</v>
      </c>
      <c r="BD34" s="15">
        <v>0</v>
      </c>
      <c r="BE34" s="17">
        <v>0</v>
      </c>
      <c r="BF34" s="15">
        <v>0</v>
      </c>
      <c r="BG34" s="15">
        <v>0</v>
      </c>
      <c r="BH34" s="17">
        <v>0</v>
      </c>
      <c r="BI34" s="15">
        <v>0</v>
      </c>
      <c r="BJ34" s="372">
        <v>0</v>
      </c>
      <c r="BK34" s="17">
        <v>0</v>
      </c>
      <c r="BL34" s="15">
        <v>0</v>
      </c>
      <c r="BM34" s="15">
        <v>0</v>
      </c>
      <c r="BN34" s="17">
        <v>0</v>
      </c>
      <c r="BO34" s="87">
        <v>23</v>
      </c>
      <c r="BP34" s="372">
        <v>0</v>
      </c>
      <c r="BQ34" s="17">
        <v>0</v>
      </c>
      <c r="BR34" s="15">
        <v>0</v>
      </c>
      <c r="BS34" s="15">
        <v>0</v>
      </c>
      <c r="BT34" s="17">
        <v>0</v>
      </c>
      <c r="BU34" s="15">
        <v>0</v>
      </c>
      <c r="BV34" s="15">
        <v>0</v>
      </c>
      <c r="BW34" s="17">
        <v>0</v>
      </c>
      <c r="BX34" s="15">
        <v>0</v>
      </c>
      <c r="BY34" s="15">
        <v>0</v>
      </c>
      <c r="BZ34" s="17">
        <v>0</v>
      </c>
      <c r="CA34" s="15">
        <v>0</v>
      </c>
      <c r="CB34" s="15">
        <v>0</v>
      </c>
      <c r="CC34" s="17">
        <v>0</v>
      </c>
      <c r="CD34" s="392">
        <v>0</v>
      </c>
      <c r="CE34" s="41">
        <v>0</v>
      </c>
      <c r="CF34" s="393">
        <v>0</v>
      </c>
      <c r="CG34" s="15">
        <v>0</v>
      </c>
      <c r="CH34" s="15">
        <v>0</v>
      </c>
      <c r="CI34" s="17">
        <v>0</v>
      </c>
      <c r="CJ34" s="105">
        <v>8</v>
      </c>
      <c r="CK34" s="15">
        <v>0</v>
      </c>
      <c r="CL34" s="17">
        <v>0</v>
      </c>
      <c r="CM34" s="105">
        <v>10</v>
      </c>
      <c r="CN34" s="15">
        <v>0</v>
      </c>
      <c r="CO34" s="17">
        <v>0</v>
      </c>
      <c r="CP34" s="396">
        <v>0</v>
      </c>
      <c r="CQ34" s="50">
        <v>0</v>
      </c>
      <c r="CR34" s="52">
        <v>0</v>
      </c>
      <c r="CS34" s="15">
        <v>0</v>
      </c>
      <c r="CT34" s="15">
        <v>0</v>
      </c>
      <c r="CU34" s="17">
        <v>0</v>
      </c>
      <c r="CV34" s="87">
        <v>1</v>
      </c>
      <c r="CW34" s="15">
        <v>0</v>
      </c>
      <c r="CX34" s="17">
        <v>0</v>
      </c>
      <c r="CY34" s="15">
        <v>0</v>
      </c>
      <c r="CZ34" s="15">
        <v>0</v>
      </c>
      <c r="DA34" s="17">
        <v>0</v>
      </c>
      <c r="DB34" s="396">
        <v>0</v>
      </c>
      <c r="DC34" s="50">
        <v>0</v>
      </c>
      <c r="DD34" s="52">
        <v>0</v>
      </c>
      <c r="DE34" s="15">
        <v>0</v>
      </c>
      <c r="DF34" s="15">
        <v>0</v>
      </c>
      <c r="DG34" s="17">
        <v>0</v>
      </c>
      <c r="DH34" s="15">
        <v>0</v>
      </c>
      <c r="DI34" s="15">
        <v>0</v>
      </c>
      <c r="DJ34" s="17">
        <v>0</v>
      </c>
      <c r="DK34" s="87">
        <v>3</v>
      </c>
      <c r="DL34" s="139">
        <v>1</v>
      </c>
      <c r="DM34" s="17">
        <v>0</v>
      </c>
      <c r="DN34" s="15">
        <v>0</v>
      </c>
      <c r="DO34" s="15">
        <v>0</v>
      </c>
      <c r="DP34" s="17">
        <v>0</v>
      </c>
      <c r="DQ34" s="87">
        <v>24</v>
      </c>
      <c r="DR34" s="15">
        <v>0</v>
      </c>
      <c r="DS34" s="17">
        <v>0</v>
      </c>
      <c r="DT34" s="87">
        <v>1</v>
      </c>
      <c r="DU34" s="15">
        <v>0</v>
      </c>
      <c r="DV34" s="17">
        <v>0</v>
      </c>
      <c r="DW34" s="396">
        <v>0</v>
      </c>
      <c r="DX34" s="50">
        <v>0</v>
      </c>
      <c r="DY34" s="52">
        <v>0</v>
      </c>
      <c r="DZ34" s="105">
        <v>10</v>
      </c>
      <c r="EA34" s="15">
        <v>0</v>
      </c>
      <c r="EB34" s="17">
        <v>0</v>
      </c>
      <c r="EC34" s="105">
        <v>25</v>
      </c>
      <c r="ED34" s="15">
        <v>0</v>
      </c>
      <c r="EE34" s="17">
        <v>0</v>
      </c>
      <c r="EF34" s="15">
        <v>0</v>
      </c>
      <c r="EG34" s="15">
        <v>0</v>
      </c>
      <c r="EH34" s="17">
        <v>0</v>
      </c>
      <c r="EI34" s="15">
        <v>0</v>
      </c>
      <c r="EJ34" s="15">
        <v>0</v>
      </c>
      <c r="EK34" s="17">
        <v>0</v>
      </c>
      <c r="EL34" s="105">
        <v>10</v>
      </c>
      <c r="EM34" s="15">
        <v>0</v>
      </c>
      <c r="EN34" s="17">
        <v>0</v>
      </c>
      <c r="EO34" s="15">
        <v>0</v>
      </c>
      <c r="EP34" s="15">
        <v>0</v>
      </c>
      <c r="EQ34" s="17">
        <v>0</v>
      </c>
      <c r="ER34" s="54"/>
      <c r="ES34" s="15">
        <v>0</v>
      </c>
      <c r="ET34" s="15">
        <v>0</v>
      </c>
      <c r="EU34" s="17">
        <v>0</v>
      </c>
      <c r="EV34" s="55" t="s">
        <v>1055</v>
      </c>
      <c r="EW34" s="77" t="s">
        <v>223</v>
      </c>
    </row>
    <row r="35" spans="1:153" ht="12.75">
      <c r="A35" s="40">
        <v>43866</v>
      </c>
      <c r="B35" s="366">
        <f t="shared" ref="B35:D35" si="31">SUM(F35,I35,L35,O35,R35,X35,AG35,AJ35,AN35,AQ35,AT35,AW35,AZ35,BC35,BF35,BI35,BL35,BO35,BR35,CA35,CG35,CJ35,CM35,CP35,CV35,CY35,DE35,DH35,DK35,DN35,DQ35,DT35,DZ35,EC35,EL35)</f>
        <v>28239</v>
      </c>
      <c r="C35" s="367">
        <f t="shared" si="31"/>
        <v>567</v>
      </c>
      <c r="D35" s="368">
        <f t="shared" si="31"/>
        <v>1100</v>
      </c>
      <c r="E35" s="369">
        <f t="shared" si="1"/>
        <v>26572</v>
      </c>
      <c r="F35" s="18">
        <v>0</v>
      </c>
      <c r="G35" s="18">
        <v>0</v>
      </c>
      <c r="H35" s="317">
        <v>0</v>
      </c>
      <c r="I35" s="18">
        <v>0</v>
      </c>
      <c r="J35" s="18">
        <v>0</v>
      </c>
      <c r="K35" s="317">
        <v>0</v>
      </c>
      <c r="L35" s="18">
        <v>0</v>
      </c>
      <c r="M35" s="18">
        <v>0</v>
      </c>
      <c r="N35" s="317">
        <v>0</v>
      </c>
      <c r="O35" s="18">
        <v>0</v>
      </c>
      <c r="P35" s="18">
        <v>0</v>
      </c>
      <c r="Q35" s="317">
        <v>0</v>
      </c>
      <c r="R35" s="18">
        <v>0</v>
      </c>
      <c r="S35" s="18">
        <v>0</v>
      </c>
      <c r="T35" s="317">
        <v>0</v>
      </c>
      <c r="U35" s="18">
        <v>0</v>
      </c>
      <c r="V35" s="18">
        <v>0</v>
      </c>
      <c r="W35" s="317">
        <v>0</v>
      </c>
      <c r="X35" s="396">
        <v>0</v>
      </c>
      <c r="Y35" s="50">
        <v>0</v>
      </c>
      <c r="Z35" s="52">
        <v>0</v>
      </c>
      <c r="AA35" s="396">
        <v>0</v>
      </c>
      <c r="AB35" s="50">
        <v>0</v>
      </c>
      <c r="AC35" s="52">
        <v>0</v>
      </c>
      <c r="AD35" s="396">
        <v>0</v>
      </c>
      <c r="AE35" s="50">
        <v>0</v>
      </c>
      <c r="AF35" s="52">
        <v>0</v>
      </c>
      <c r="AG35" s="87">
        <v>1</v>
      </c>
      <c r="AH35" s="18">
        <v>0</v>
      </c>
      <c r="AI35" s="317">
        <v>0</v>
      </c>
      <c r="AJ35" s="105">
        <v>28060</v>
      </c>
      <c r="AK35" s="139">
        <v>564</v>
      </c>
      <c r="AL35" s="397">
        <v>1100</v>
      </c>
      <c r="AM35" s="371">
        <f t="shared" si="2"/>
        <v>26396</v>
      </c>
      <c r="AN35" s="105">
        <v>23</v>
      </c>
      <c r="AO35" s="139">
        <v>1</v>
      </c>
      <c r="AP35" s="317">
        <v>0</v>
      </c>
      <c r="AQ35" s="105">
        <v>5</v>
      </c>
      <c r="AR35" s="18">
        <v>0</v>
      </c>
      <c r="AS35" s="317">
        <v>0</v>
      </c>
      <c r="AT35" s="18">
        <v>0</v>
      </c>
      <c r="AU35" s="18">
        <v>0</v>
      </c>
      <c r="AV35" s="317">
        <v>0</v>
      </c>
      <c r="AW35" s="87">
        <v>21</v>
      </c>
      <c r="AX35" s="139">
        <v>1</v>
      </c>
      <c r="AY35" s="317">
        <v>0</v>
      </c>
      <c r="AZ35" s="87">
        <v>3</v>
      </c>
      <c r="BA35" s="18">
        <v>0</v>
      </c>
      <c r="BB35" s="317">
        <v>0</v>
      </c>
      <c r="BC35" s="18">
        <v>0</v>
      </c>
      <c r="BD35" s="18">
        <v>0</v>
      </c>
      <c r="BE35" s="317">
        <v>0</v>
      </c>
      <c r="BF35" s="18">
        <v>0</v>
      </c>
      <c r="BG35" s="18">
        <v>0</v>
      </c>
      <c r="BH35" s="317">
        <v>0</v>
      </c>
      <c r="BI35" s="18">
        <v>0</v>
      </c>
      <c r="BJ35" s="372">
        <v>0</v>
      </c>
      <c r="BK35" s="317">
        <v>0</v>
      </c>
      <c r="BL35" s="18">
        <v>0</v>
      </c>
      <c r="BM35" s="18">
        <v>0</v>
      </c>
      <c r="BN35" s="317">
        <v>0</v>
      </c>
      <c r="BO35" s="87">
        <v>25</v>
      </c>
      <c r="BP35" s="372">
        <v>0</v>
      </c>
      <c r="BQ35" s="317">
        <v>0</v>
      </c>
      <c r="BR35" s="15">
        <v>0</v>
      </c>
      <c r="BS35" s="15">
        <v>0</v>
      </c>
      <c r="BT35" s="17">
        <v>0</v>
      </c>
      <c r="BU35" s="15">
        <v>0</v>
      </c>
      <c r="BV35" s="15">
        <v>0</v>
      </c>
      <c r="BW35" s="17">
        <v>0</v>
      </c>
      <c r="BX35" s="15">
        <v>0</v>
      </c>
      <c r="BY35" s="15">
        <v>0</v>
      </c>
      <c r="BZ35" s="17">
        <v>0</v>
      </c>
      <c r="CA35" s="18">
        <v>0</v>
      </c>
      <c r="CB35" s="18">
        <v>0</v>
      </c>
      <c r="CC35" s="317">
        <v>0</v>
      </c>
      <c r="CD35" s="394">
        <v>0</v>
      </c>
      <c r="CE35" s="63">
        <v>0</v>
      </c>
      <c r="CF35" s="395">
        <v>0</v>
      </c>
      <c r="CG35" s="18">
        <v>0</v>
      </c>
      <c r="CH35" s="18">
        <v>0</v>
      </c>
      <c r="CI35" s="317">
        <v>0</v>
      </c>
      <c r="CJ35" s="105">
        <v>10</v>
      </c>
      <c r="CK35" s="18">
        <v>0</v>
      </c>
      <c r="CL35" s="317">
        <v>0</v>
      </c>
      <c r="CM35" s="105">
        <v>12</v>
      </c>
      <c r="CN35" s="18">
        <v>0</v>
      </c>
      <c r="CO35" s="317">
        <v>0</v>
      </c>
      <c r="CP35" s="396">
        <v>0</v>
      </c>
      <c r="CQ35" s="50">
        <v>0</v>
      </c>
      <c r="CR35" s="52">
        <v>0</v>
      </c>
      <c r="CS35" s="18">
        <v>0</v>
      </c>
      <c r="CT35" s="18">
        <v>0</v>
      </c>
      <c r="CU35" s="317">
        <v>0</v>
      </c>
      <c r="CV35" s="87">
        <v>1</v>
      </c>
      <c r="CW35" s="18">
        <v>0</v>
      </c>
      <c r="CX35" s="317">
        <v>0</v>
      </c>
      <c r="CY35" s="18">
        <v>0</v>
      </c>
      <c r="CZ35" s="18">
        <v>0</v>
      </c>
      <c r="DA35" s="317">
        <v>0</v>
      </c>
      <c r="DB35" s="396">
        <v>0</v>
      </c>
      <c r="DC35" s="50">
        <v>0</v>
      </c>
      <c r="DD35" s="52">
        <v>0</v>
      </c>
      <c r="DE35" s="18">
        <v>0</v>
      </c>
      <c r="DF35" s="18">
        <v>0</v>
      </c>
      <c r="DG35" s="317">
        <v>0</v>
      </c>
      <c r="DH35" s="18">
        <v>0</v>
      </c>
      <c r="DI35" s="18">
        <v>0</v>
      </c>
      <c r="DJ35" s="317">
        <v>0</v>
      </c>
      <c r="DK35" s="87">
        <v>3</v>
      </c>
      <c r="DL35" s="139">
        <v>1</v>
      </c>
      <c r="DM35" s="317">
        <v>0</v>
      </c>
      <c r="DN35" s="18">
        <v>0</v>
      </c>
      <c r="DO35" s="18">
        <v>0</v>
      </c>
      <c r="DP35" s="317">
        <v>0</v>
      </c>
      <c r="DQ35" s="87">
        <v>28</v>
      </c>
      <c r="DR35" s="18">
        <v>0</v>
      </c>
      <c r="DS35" s="317">
        <v>0</v>
      </c>
      <c r="DT35" s="87">
        <v>1</v>
      </c>
      <c r="DU35" s="18">
        <v>0</v>
      </c>
      <c r="DV35" s="317">
        <v>0</v>
      </c>
      <c r="DW35" s="396">
        <v>0</v>
      </c>
      <c r="DX35" s="50">
        <v>0</v>
      </c>
      <c r="DY35" s="52">
        <v>0</v>
      </c>
      <c r="DZ35" s="105">
        <v>11</v>
      </c>
      <c r="EA35" s="18">
        <v>0</v>
      </c>
      <c r="EB35" s="317">
        <v>0</v>
      </c>
      <c r="EC35" s="105">
        <v>25</v>
      </c>
      <c r="ED35" s="18">
        <v>0</v>
      </c>
      <c r="EE35" s="317">
        <v>0</v>
      </c>
      <c r="EF35" s="18">
        <v>0</v>
      </c>
      <c r="EG35" s="18">
        <v>0</v>
      </c>
      <c r="EH35" s="317">
        <v>0</v>
      </c>
      <c r="EI35" s="18">
        <v>0</v>
      </c>
      <c r="EJ35" s="18">
        <v>0</v>
      </c>
      <c r="EK35" s="317">
        <v>0</v>
      </c>
      <c r="EL35" s="105">
        <v>10</v>
      </c>
      <c r="EM35" s="18">
        <v>0</v>
      </c>
      <c r="EN35" s="317">
        <v>0</v>
      </c>
      <c r="EO35" s="18">
        <v>0</v>
      </c>
      <c r="EP35" s="18">
        <v>0</v>
      </c>
      <c r="EQ35" s="317">
        <v>0</v>
      </c>
      <c r="ER35" s="83"/>
      <c r="ES35" s="18">
        <v>0</v>
      </c>
      <c r="ET35" s="18">
        <v>0</v>
      </c>
      <c r="EU35" s="317">
        <v>0</v>
      </c>
      <c r="EV35" s="55"/>
      <c r="EW35" s="77" t="s">
        <v>838</v>
      </c>
    </row>
    <row r="36" spans="1:153" ht="12.75">
      <c r="A36" s="40">
        <v>43867</v>
      </c>
      <c r="B36" s="366">
        <f t="shared" ref="B36:D36" si="32">SUM(F36,I36,L36,O36,R36,X36,AG36,AJ36,AN36,AQ36,AT36,AW36,AZ36,BC36,BF36,BI36,BL36,BO36,BR36,CA36,CG36,CJ36,CM36,CP36,CV36,CY36,DE36,DH36,DK36,DN36,DQ36,DT36,DZ36,EC36,EL36)</f>
        <v>31355</v>
      </c>
      <c r="C36" s="367">
        <f t="shared" si="32"/>
        <v>640</v>
      </c>
      <c r="D36" s="368">
        <f t="shared" si="32"/>
        <v>1500</v>
      </c>
      <c r="E36" s="369">
        <f t="shared" si="1"/>
        <v>29215</v>
      </c>
      <c r="F36" s="15">
        <v>0</v>
      </c>
      <c r="G36" s="15">
        <v>0</v>
      </c>
      <c r="H36" s="17">
        <v>0</v>
      </c>
      <c r="I36" s="15">
        <v>0</v>
      </c>
      <c r="J36" s="15">
        <v>0</v>
      </c>
      <c r="K36" s="17">
        <v>0</v>
      </c>
      <c r="L36" s="15">
        <v>0</v>
      </c>
      <c r="M36" s="15">
        <v>0</v>
      </c>
      <c r="N36" s="17">
        <v>0</v>
      </c>
      <c r="O36" s="15">
        <v>0</v>
      </c>
      <c r="P36" s="15">
        <v>0</v>
      </c>
      <c r="Q36" s="17">
        <v>0</v>
      </c>
      <c r="R36" s="15">
        <v>0</v>
      </c>
      <c r="S36" s="15">
        <v>0</v>
      </c>
      <c r="T36" s="17">
        <v>0</v>
      </c>
      <c r="U36" s="15">
        <v>0</v>
      </c>
      <c r="V36" s="15">
        <v>0</v>
      </c>
      <c r="W36" s="17">
        <v>0</v>
      </c>
      <c r="X36" s="396">
        <v>0</v>
      </c>
      <c r="Y36" s="50">
        <v>0</v>
      </c>
      <c r="Z36" s="52">
        <v>0</v>
      </c>
      <c r="AA36" s="396">
        <v>0</v>
      </c>
      <c r="AB36" s="50">
        <v>0</v>
      </c>
      <c r="AC36" s="52">
        <v>0</v>
      </c>
      <c r="AD36" s="396">
        <v>0</v>
      </c>
      <c r="AE36" s="50">
        <v>0</v>
      </c>
      <c r="AF36" s="52">
        <v>0</v>
      </c>
      <c r="AG36" s="87">
        <v>1</v>
      </c>
      <c r="AH36" s="15">
        <v>0</v>
      </c>
      <c r="AI36" s="17">
        <v>0</v>
      </c>
      <c r="AJ36" s="105">
        <v>31161</v>
      </c>
      <c r="AK36" s="139">
        <v>637</v>
      </c>
      <c r="AL36" s="397">
        <v>1500</v>
      </c>
      <c r="AM36" s="371">
        <f t="shared" si="2"/>
        <v>29024</v>
      </c>
      <c r="AN36" s="105">
        <v>24</v>
      </c>
      <c r="AO36" s="139">
        <v>1</v>
      </c>
      <c r="AP36" s="17">
        <v>0</v>
      </c>
      <c r="AQ36" s="105">
        <v>5</v>
      </c>
      <c r="AR36" s="15">
        <v>0</v>
      </c>
      <c r="AS36" s="17">
        <v>0</v>
      </c>
      <c r="AT36" s="15">
        <v>0</v>
      </c>
      <c r="AU36" s="15">
        <v>0</v>
      </c>
      <c r="AV36" s="17">
        <v>0</v>
      </c>
      <c r="AW36" s="87">
        <v>24</v>
      </c>
      <c r="AX36" s="139">
        <v>1</v>
      </c>
      <c r="AY36" s="17">
        <v>0</v>
      </c>
      <c r="AZ36" s="87">
        <v>3</v>
      </c>
      <c r="BA36" s="15">
        <v>0</v>
      </c>
      <c r="BB36" s="17">
        <v>0</v>
      </c>
      <c r="BC36" s="18">
        <v>0</v>
      </c>
      <c r="BD36" s="15">
        <v>0</v>
      </c>
      <c r="BE36" s="17">
        <v>0</v>
      </c>
      <c r="BF36" s="15">
        <v>0</v>
      </c>
      <c r="BG36" s="15">
        <v>0</v>
      </c>
      <c r="BH36" s="17">
        <v>0</v>
      </c>
      <c r="BI36" s="15">
        <v>0</v>
      </c>
      <c r="BJ36" s="372">
        <v>0</v>
      </c>
      <c r="BK36" s="17">
        <v>0</v>
      </c>
      <c r="BL36" s="15">
        <v>0</v>
      </c>
      <c r="BM36" s="15">
        <v>0</v>
      </c>
      <c r="BN36" s="17">
        <v>0</v>
      </c>
      <c r="BO36" s="87">
        <v>25</v>
      </c>
      <c r="BP36" s="372">
        <v>0</v>
      </c>
      <c r="BQ36" s="17">
        <v>0</v>
      </c>
      <c r="BR36" s="15">
        <v>0</v>
      </c>
      <c r="BS36" s="15">
        <v>0</v>
      </c>
      <c r="BT36" s="17">
        <v>0</v>
      </c>
      <c r="BU36" s="15">
        <v>0</v>
      </c>
      <c r="BV36" s="15">
        <v>0</v>
      </c>
      <c r="BW36" s="17">
        <v>0</v>
      </c>
      <c r="BX36" s="15">
        <v>0</v>
      </c>
      <c r="BY36" s="15">
        <v>0</v>
      </c>
      <c r="BZ36" s="17">
        <v>0</v>
      </c>
      <c r="CA36" s="15">
        <v>0</v>
      </c>
      <c r="CB36" s="15">
        <v>0</v>
      </c>
      <c r="CC36" s="17">
        <v>0</v>
      </c>
      <c r="CD36" s="392">
        <v>0</v>
      </c>
      <c r="CE36" s="41">
        <v>0</v>
      </c>
      <c r="CF36" s="393">
        <v>0</v>
      </c>
      <c r="CG36" s="15">
        <v>0</v>
      </c>
      <c r="CH36" s="15">
        <v>0</v>
      </c>
      <c r="CI36" s="17">
        <v>0</v>
      </c>
      <c r="CJ36" s="105">
        <v>10</v>
      </c>
      <c r="CK36" s="15">
        <v>0</v>
      </c>
      <c r="CL36" s="17">
        <v>0</v>
      </c>
      <c r="CM36" s="105">
        <v>14</v>
      </c>
      <c r="CN36" s="15">
        <v>0</v>
      </c>
      <c r="CO36" s="17">
        <v>0</v>
      </c>
      <c r="CP36" s="396">
        <v>0</v>
      </c>
      <c r="CQ36" s="50">
        <v>0</v>
      </c>
      <c r="CR36" s="52">
        <v>0</v>
      </c>
      <c r="CS36" s="15">
        <v>0</v>
      </c>
      <c r="CT36" s="15">
        <v>0</v>
      </c>
      <c r="CU36" s="17">
        <v>0</v>
      </c>
      <c r="CV36" s="87">
        <v>1</v>
      </c>
      <c r="CW36" s="15">
        <v>0</v>
      </c>
      <c r="CX36" s="17">
        <v>0</v>
      </c>
      <c r="CY36" s="15">
        <v>0</v>
      </c>
      <c r="CZ36" s="15">
        <v>0</v>
      </c>
      <c r="DA36" s="17">
        <v>0</v>
      </c>
      <c r="DB36" s="396">
        <v>0</v>
      </c>
      <c r="DC36" s="50">
        <v>0</v>
      </c>
      <c r="DD36" s="52">
        <v>0</v>
      </c>
      <c r="DE36" s="15">
        <v>0</v>
      </c>
      <c r="DF36" s="15">
        <v>0</v>
      </c>
      <c r="DG36" s="17">
        <v>0</v>
      </c>
      <c r="DH36" s="15">
        <v>0</v>
      </c>
      <c r="DI36" s="15">
        <v>0</v>
      </c>
      <c r="DJ36" s="17">
        <v>0</v>
      </c>
      <c r="DK36" s="87">
        <v>3</v>
      </c>
      <c r="DL36" s="139">
        <v>1</v>
      </c>
      <c r="DM36" s="17">
        <v>0</v>
      </c>
      <c r="DN36" s="15">
        <v>0</v>
      </c>
      <c r="DO36" s="15">
        <v>0</v>
      </c>
      <c r="DP36" s="17">
        <v>0</v>
      </c>
      <c r="DQ36" s="87">
        <v>30</v>
      </c>
      <c r="DR36" s="15">
        <v>0</v>
      </c>
      <c r="DS36" s="17">
        <v>0</v>
      </c>
      <c r="DT36" s="87">
        <v>1</v>
      </c>
      <c r="DU36" s="15">
        <v>0</v>
      </c>
      <c r="DV36" s="17">
        <v>0</v>
      </c>
      <c r="DW36" s="396">
        <v>0</v>
      </c>
      <c r="DX36" s="50">
        <v>0</v>
      </c>
      <c r="DY36" s="52">
        <v>0</v>
      </c>
      <c r="DZ36" s="105">
        <v>16</v>
      </c>
      <c r="EA36" s="15">
        <v>0</v>
      </c>
      <c r="EB36" s="17">
        <v>0</v>
      </c>
      <c r="EC36" s="105">
        <v>25</v>
      </c>
      <c r="ED36" s="15">
        <v>0</v>
      </c>
      <c r="EE36" s="17">
        <v>0</v>
      </c>
      <c r="EF36" s="15">
        <v>0</v>
      </c>
      <c r="EG36" s="15">
        <v>0</v>
      </c>
      <c r="EH36" s="17">
        <v>0</v>
      </c>
      <c r="EI36" s="15">
        <v>0</v>
      </c>
      <c r="EJ36" s="15">
        <v>0</v>
      </c>
      <c r="EK36" s="17">
        <v>0</v>
      </c>
      <c r="EL36" s="105">
        <v>12</v>
      </c>
      <c r="EM36" s="15">
        <v>0</v>
      </c>
      <c r="EN36" s="17">
        <v>0</v>
      </c>
      <c r="EO36" s="15">
        <v>0</v>
      </c>
      <c r="EP36" s="15">
        <v>0</v>
      </c>
      <c r="EQ36" s="17">
        <v>0</v>
      </c>
      <c r="ER36" s="54"/>
      <c r="ES36" s="15">
        <v>0</v>
      </c>
      <c r="ET36" s="15">
        <v>0</v>
      </c>
      <c r="EU36" s="17">
        <v>0</v>
      </c>
      <c r="EV36" s="55"/>
      <c r="EW36" s="77" t="s">
        <v>227</v>
      </c>
    </row>
    <row r="37" spans="1:153" ht="12.75">
      <c r="A37" s="40">
        <v>43868</v>
      </c>
      <c r="B37" s="366">
        <f t="shared" ref="B37:D37" si="33">SUM(F37,I37,L37,O37,R37,X37,AG37,AJ37,AN37,AQ37,AT37,AW37,AZ37,BC37,BF37,BI37,BL37,BO37,BR37,CA37,CG37,CJ37,CM37,CP37,CV37,CY37,DE37,DH37,DK37,DN37,DQ37,DT37,DZ37,EC37,EL37)</f>
        <v>34754</v>
      </c>
      <c r="C37" s="367">
        <f t="shared" si="33"/>
        <v>726</v>
      </c>
      <c r="D37" s="368">
        <f t="shared" si="33"/>
        <v>2000</v>
      </c>
      <c r="E37" s="369">
        <f t="shared" si="1"/>
        <v>32028</v>
      </c>
      <c r="F37" s="18">
        <v>0</v>
      </c>
      <c r="G37" s="18">
        <v>0</v>
      </c>
      <c r="H37" s="317">
        <v>0</v>
      </c>
      <c r="I37" s="18">
        <v>0</v>
      </c>
      <c r="J37" s="18">
        <v>0</v>
      </c>
      <c r="K37" s="317">
        <v>0</v>
      </c>
      <c r="L37" s="18">
        <v>0</v>
      </c>
      <c r="M37" s="18">
        <v>0</v>
      </c>
      <c r="N37" s="317">
        <v>0</v>
      </c>
      <c r="O37" s="18">
        <v>0</v>
      </c>
      <c r="P37" s="18">
        <v>0</v>
      </c>
      <c r="Q37" s="317">
        <v>0</v>
      </c>
      <c r="R37" s="18">
        <v>0</v>
      </c>
      <c r="S37" s="18">
        <v>0</v>
      </c>
      <c r="T37" s="317">
        <v>0</v>
      </c>
      <c r="U37" s="18">
        <v>0</v>
      </c>
      <c r="V37" s="18">
        <v>0</v>
      </c>
      <c r="W37" s="317">
        <v>0</v>
      </c>
      <c r="X37" s="396">
        <v>0</v>
      </c>
      <c r="Y37" s="50">
        <v>0</v>
      </c>
      <c r="Z37" s="52">
        <v>0</v>
      </c>
      <c r="AA37" s="396">
        <v>0</v>
      </c>
      <c r="AB37" s="50">
        <v>0</v>
      </c>
      <c r="AC37" s="52">
        <v>0</v>
      </c>
      <c r="AD37" s="396">
        <v>0</v>
      </c>
      <c r="AE37" s="50">
        <v>0</v>
      </c>
      <c r="AF37" s="52">
        <v>0</v>
      </c>
      <c r="AG37" s="87">
        <v>1</v>
      </c>
      <c r="AH37" s="18">
        <v>0</v>
      </c>
      <c r="AI37" s="317">
        <v>0</v>
      </c>
      <c r="AJ37" s="105">
        <v>34546</v>
      </c>
      <c r="AK37" s="139">
        <v>723</v>
      </c>
      <c r="AL37" s="397">
        <v>2000</v>
      </c>
      <c r="AM37" s="371">
        <f t="shared" si="2"/>
        <v>31823</v>
      </c>
      <c r="AN37" s="105">
        <v>24</v>
      </c>
      <c r="AO37" s="139">
        <v>1</v>
      </c>
      <c r="AP37" s="317">
        <v>0</v>
      </c>
      <c r="AQ37" s="105">
        <v>7</v>
      </c>
      <c r="AR37" s="18">
        <v>0</v>
      </c>
      <c r="AS37" s="317">
        <v>0</v>
      </c>
      <c r="AT37" s="18">
        <v>0</v>
      </c>
      <c r="AU37" s="18">
        <v>0</v>
      </c>
      <c r="AV37" s="317">
        <v>0</v>
      </c>
      <c r="AW37" s="87">
        <v>24</v>
      </c>
      <c r="AX37" s="139">
        <v>1</v>
      </c>
      <c r="AY37" s="317">
        <v>0</v>
      </c>
      <c r="AZ37" s="87">
        <v>3</v>
      </c>
      <c r="BA37" s="18">
        <v>0</v>
      </c>
      <c r="BB37" s="317">
        <v>0</v>
      </c>
      <c r="BC37" s="18">
        <v>0</v>
      </c>
      <c r="BD37" s="18">
        <v>0</v>
      </c>
      <c r="BE37" s="317">
        <v>0</v>
      </c>
      <c r="BF37" s="18">
        <v>0</v>
      </c>
      <c r="BG37" s="18">
        <v>0</v>
      </c>
      <c r="BH37" s="317">
        <v>0</v>
      </c>
      <c r="BI37" s="18">
        <v>0</v>
      </c>
      <c r="BJ37" s="372">
        <v>0</v>
      </c>
      <c r="BK37" s="317">
        <v>0</v>
      </c>
      <c r="BL37" s="18">
        <v>0</v>
      </c>
      <c r="BM37" s="18">
        <v>0</v>
      </c>
      <c r="BN37" s="317">
        <v>0</v>
      </c>
      <c r="BO37" s="87">
        <v>25</v>
      </c>
      <c r="BP37" s="372">
        <v>0</v>
      </c>
      <c r="BQ37" s="317">
        <v>0</v>
      </c>
      <c r="BR37" s="15">
        <v>0</v>
      </c>
      <c r="BS37" s="15">
        <v>0</v>
      </c>
      <c r="BT37" s="17">
        <v>0</v>
      </c>
      <c r="BU37" s="15">
        <v>0</v>
      </c>
      <c r="BV37" s="15">
        <v>0</v>
      </c>
      <c r="BW37" s="17">
        <v>0</v>
      </c>
      <c r="BX37" s="15">
        <v>0</v>
      </c>
      <c r="BY37" s="15">
        <v>0</v>
      </c>
      <c r="BZ37" s="17">
        <v>0</v>
      </c>
      <c r="CA37" s="18">
        <v>0</v>
      </c>
      <c r="CB37" s="18">
        <v>0</v>
      </c>
      <c r="CC37" s="317">
        <v>0</v>
      </c>
      <c r="CD37" s="394">
        <v>0</v>
      </c>
      <c r="CE37" s="63">
        <v>0</v>
      </c>
      <c r="CF37" s="395">
        <v>0</v>
      </c>
      <c r="CG37" s="18">
        <v>0</v>
      </c>
      <c r="CH37" s="18">
        <v>0</v>
      </c>
      <c r="CI37" s="317">
        <v>0</v>
      </c>
      <c r="CJ37" s="105">
        <v>10</v>
      </c>
      <c r="CK37" s="18">
        <v>0</v>
      </c>
      <c r="CL37" s="317">
        <v>0</v>
      </c>
      <c r="CM37" s="105">
        <v>15</v>
      </c>
      <c r="CN37" s="18">
        <v>0</v>
      </c>
      <c r="CO37" s="317">
        <v>0</v>
      </c>
      <c r="CP37" s="396">
        <v>0</v>
      </c>
      <c r="CQ37" s="50">
        <v>0</v>
      </c>
      <c r="CR37" s="52">
        <v>0</v>
      </c>
      <c r="CS37" s="18">
        <v>0</v>
      </c>
      <c r="CT37" s="18">
        <v>0</v>
      </c>
      <c r="CU37" s="317">
        <v>0</v>
      </c>
      <c r="CV37" s="87">
        <v>1</v>
      </c>
      <c r="CW37" s="18">
        <v>0</v>
      </c>
      <c r="CX37" s="317">
        <v>0</v>
      </c>
      <c r="CY37" s="18">
        <v>0</v>
      </c>
      <c r="CZ37" s="18">
        <v>0</v>
      </c>
      <c r="DA37" s="317">
        <v>0</v>
      </c>
      <c r="DB37" s="396">
        <v>0</v>
      </c>
      <c r="DC37" s="50">
        <v>0</v>
      </c>
      <c r="DD37" s="52">
        <v>0</v>
      </c>
      <c r="DE37" s="18">
        <v>0</v>
      </c>
      <c r="DF37" s="18">
        <v>0</v>
      </c>
      <c r="DG37" s="317">
        <v>0</v>
      </c>
      <c r="DH37" s="18">
        <v>0</v>
      </c>
      <c r="DI37" s="18">
        <v>0</v>
      </c>
      <c r="DJ37" s="317">
        <v>0</v>
      </c>
      <c r="DK37" s="87">
        <v>3</v>
      </c>
      <c r="DL37" s="139">
        <v>1</v>
      </c>
      <c r="DM37" s="317">
        <v>0</v>
      </c>
      <c r="DN37" s="18">
        <v>0</v>
      </c>
      <c r="DO37" s="18">
        <v>0</v>
      </c>
      <c r="DP37" s="317">
        <v>0</v>
      </c>
      <c r="DQ37" s="87">
        <v>33</v>
      </c>
      <c r="DR37" s="18">
        <v>0</v>
      </c>
      <c r="DS37" s="317">
        <v>0</v>
      </c>
      <c r="DT37" s="87">
        <v>1</v>
      </c>
      <c r="DU37" s="18">
        <v>0</v>
      </c>
      <c r="DV37" s="317">
        <v>0</v>
      </c>
      <c r="DW37" s="396">
        <v>0</v>
      </c>
      <c r="DX37" s="50">
        <v>0</v>
      </c>
      <c r="DY37" s="52">
        <v>0</v>
      </c>
      <c r="DZ37" s="105">
        <v>16</v>
      </c>
      <c r="EA37" s="18">
        <v>0</v>
      </c>
      <c r="EB37" s="317">
        <v>0</v>
      </c>
      <c r="EC37" s="105">
        <v>32</v>
      </c>
      <c r="ED37" s="18">
        <v>0</v>
      </c>
      <c r="EE37" s="317">
        <v>0</v>
      </c>
      <c r="EF37" s="18">
        <v>0</v>
      </c>
      <c r="EG37" s="18">
        <v>0</v>
      </c>
      <c r="EH37" s="317">
        <v>0</v>
      </c>
      <c r="EI37" s="18">
        <v>0</v>
      </c>
      <c r="EJ37" s="18">
        <v>0</v>
      </c>
      <c r="EK37" s="317">
        <v>0</v>
      </c>
      <c r="EL37" s="105">
        <v>13</v>
      </c>
      <c r="EM37" s="18">
        <v>0</v>
      </c>
      <c r="EN37" s="317">
        <v>0</v>
      </c>
      <c r="EO37" s="18">
        <v>0</v>
      </c>
      <c r="EP37" s="18">
        <v>0</v>
      </c>
      <c r="EQ37" s="317">
        <v>0</v>
      </c>
      <c r="ER37" s="83"/>
      <c r="ES37" s="18">
        <v>0</v>
      </c>
      <c r="ET37" s="18">
        <v>0</v>
      </c>
      <c r="EU37" s="317">
        <v>0</v>
      </c>
      <c r="EV37" s="55"/>
      <c r="EW37" s="77" t="s">
        <v>232</v>
      </c>
    </row>
    <row r="38" spans="1:153" ht="12.75">
      <c r="A38" s="40">
        <v>43869</v>
      </c>
      <c r="B38" s="366">
        <f t="shared" ref="B38:D38" si="34">SUM(F38,I38,L38,O38,R38,X38,AG38,AJ38,AN38,AQ38,AT38,AW38,AZ38,BC38,BF38,BI38,BL38,BO38,BR38,CA38,CG38,CJ38,CM38,CP38,CV38,CY38,DE38,DH38,DK38,DN38,DQ38,DT38,DZ38,EC38,EL38)</f>
        <v>37423</v>
      </c>
      <c r="C38" s="367">
        <f t="shared" si="34"/>
        <v>815</v>
      </c>
      <c r="D38" s="368">
        <f t="shared" si="34"/>
        <v>2600</v>
      </c>
      <c r="E38" s="369">
        <f t="shared" si="1"/>
        <v>34008</v>
      </c>
      <c r="F38" s="15">
        <v>0</v>
      </c>
      <c r="G38" s="15">
        <v>0</v>
      </c>
      <c r="H38" s="17">
        <v>0</v>
      </c>
      <c r="I38" s="15">
        <v>0</v>
      </c>
      <c r="J38" s="15">
        <v>0</v>
      </c>
      <c r="K38" s="17">
        <v>0</v>
      </c>
      <c r="L38" s="15">
        <v>0</v>
      </c>
      <c r="M38" s="15">
        <v>0</v>
      </c>
      <c r="N38" s="17">
        <v>0</v>
      </c>
      <c r="O38" s="15">
        <v>0</v>
      </c>
      <c r="P38" s="15">
        <v>0</v>
      </c>
      <c r="Q38" s="17">
        <v>0</v>
      </c>
      <c r="R38" s="15">
        <v>0</v>
      </c>
      <c r="S38" s="15">
        <v>0</v>
      </c>
      <c r="T38" s="17">
        <v>0</v>
      </c>
      <c r="U38" s="15">
        <v>0</v>
      </c>
      <c r="V38" s="15">
        <v>0</v>
      </c>
      <c r="W38" s="17">
        <v>0</v>
      </c>
      <c r="X38" s="396">
        <v>0</v>
      </c>
      <c r="Y38" s="50">
        <v>0</v>
      </c>
      <c r="Z38" s="52">
        <v>0</v>
      </c>
      <c r="AA38" s="396">
        <v>0</v>
      </c>
      <c r="AB38" s="50">
        <v>0</v>
      </c>
      <c r="AC38" s="52">
        <v>0</v>
      </c>
      <c r="AD38" s="396">
        <v>0</v>
      </c>
      <c r="AE38" s="50">
        <v>0</v>
      </c>
      <c r="AF38" s="52">
        <v>0</v>
      </c>
      <c r="AG38" s="87">
        <v>1</v>
      </c>
      <c r="AH38" s="15">
        <v>0</v>
      </c>
      <c r="AI38" s="17">
        <v>0</v>
      </c>
      <c r="AJ38" s="105">
        <v>37198</v>
      </c>
      <c r="AK38" s="139">
        <v>812</v>
      </c>
      <c r="AL38" s="397">
        <v>2600</v>
      </c>
      <c r="AM38" s="371">
        <f t="shared" si="2"/>
        <v>33786</v>
      </c>
      <c r="AN38" s="105">
        <v>27</v>
      </c>
      <c r="AO38" s="139">
        <v>1</v>
      </c>
      <c r="AP38" s="17">
        <v>0</v>
      </c>
      <c r="AQ38" s="105">
        <v>7</v>
      </c>
      <c r="AR38" s="15">
        <v>0</v>
      </c>
      <c r="AS38" s="17">
        <v>0</v>
      </c>
      <c r="AT38" s="15">
        <v>0</v>
      </c>
      <c r="AU38" s="15">
        <v>0</v>
      </c>
      <c r="AV38" s="17">
        <v>0</v>
      </c>
      <c r="AW38" s="87">
        <v>26</v>
      </c>
      <c r="AX38" s="139">
        <v>1</v>
      </c>
      <c r="AY38" s="17">
        <v>0</v>
      </c>
      <c r="AZ38" s="87">
        <v>3</v>
      </c>
      <c r="BA38" s="15">
        <v>0</v>
      </c>
      <c r="BB38" s="17">
        <v>0</v>
      </c>
      <c r="BC38" s="18">
        <v>0</v>
      </c>
      <c r="BD38" s="15">
        <v>0</v>
      </c>
      <c r="BE38" s="17">
        <v>0</v>
      </c>
      <c r="BF38" s="15">
        <v>0</v>
      </c>
      <c r="BG38" s="15">
        <v>0</v>
      </c>
      <c r="BH38" s="17">
        <v>0</v>
      </c>
      <c r="BI38" s="15">
        <v>0</v>
      </c>
      <c r="BJ38" s="372">
        <v>0</v>
      </c>
      <c r="BK38" s="17">
        <v>0</v>
      </c>
      <c r="BL38" s="15">
        <v>0</v>
      </c>
      <c r="BM38" s="15">
        <v>0</v>
      </c>
      <c r="BN38" s="17">
        <v>0</v>
      </c>
      <c r="BO38" s="87">
        <v>26</v>
      </c>
      <c r="BP38" s="372">
        <v>0</v>
      </c>
      <c r="BQ38" s="17">
        <v>0</v>
      </c>
      <c r="BR38" s="15">
        <v>0</v>
      </c>
      <c r="BS38" s="15">
        <v>0</v>
      </c>
      <c r="BT38" s="17">
        <v>0</v>
      </c>
      <c r="BU38" s="15">
        <v>0</v>
      </c>
      <c r="BV38" s="15">
        <v>0</v>
      </c>
      <c r="BW38" s="17">
        <v>0</v>
      </c>
      <c r="BX38" s="15">
        <v>0</v>
      </c>
      <c r="BY38" s="15">
        <v>0</v>
      </c>
      <c r="BZ38" s="17">
        <v>0</v>
      </c>
      <c r="CA38" s="15">
        <v>0</v>
      </c>
      <c r="CB38" s="15">
        <v>0</v>
      </c>
      <c r="CC38" s="17">
        <v>0</v>
      </c>
      <c r="CD38" s="392">
        <v>0</v>
      </c>
      <c r="CE38" s="41">
        <v>0</v>
      </c>
      <c r="CF38" s="393">
        <v>0</v>
      </c>
      <c r="CG38" s="15">
        <v>0</v>
      </c>
      <c r="CH38" s="15">
        <v>0</v>
      </c>
      <c r="CI38" s="17">
        <v>0</v>
      </c>
      <c r="CJ38" s="105">
        <v>10</v>
      </c>
      <c r="CK38" s="15">
        <v>0</v>
      </c>
      <c r="CL38" s="17">
        <v>0</v>
      </c>
      <c r="CM38" s="105">
        <v>17</v>
      </c>
      <c r="CN38" s="15">
        <v>0</v>
      </c>
      <c r="CO38" s="17">
        <v>0</v>
      </c>
      <c r="CP38" s="396">
        <v>0</v>
      </c>
      <c r="CQ38" s="50">
        <v>0</v>
      </c>
      <c r="CR38" s="52">
        <v>0</v>
      </c>
      <c r="CS38" s="15">
        <v>0</v>
      </c>
      <c r="CT38" s="15">
        <v>0</v>
      </c>
      <c r="CU38" s="17">
        <v>0</v>
      </c>
      <c r="CV38" s="87">
        <v>1</v>
      </c>
      <c r="CW38" s="15">
        <v>0</v>
      </c>
      <c r="CX38" s="17">
        <v>0</v>
      </c>
      <c r="CY38" s="15">
        <v>0</v>
      </c>
      <c r="CZ38" s="15">
        <v>0</v>
      </c>
      <c r="DA38" s="17">
        <v>0</v>
      </c>
      <c r="DB38" s="396">
        <v>0</v>
      </c>
      <c r="DC38" s="50">
        <v>0</v>
      </c>
      <c r="DD38" s="52">
        <v>0</v>
      </c>
      <c r="DE38" s="15">
        <v>0</v>
      </c>
      <c r="DF38" s="15">
        <v>0</v>
      </c>
      <c r="DG38" s="17">
        <v>0</v>
      </c>
      <c r="DH38" s="15">
        <v>0</v>
      </c>
      <c r="DI38" s="15">
        <v>0</v>
      </c>
      <c r="DJ38" s="17">
        <v>0</v>
      </c>
      <c r="DK38" s="87">
        <v>3</v>
      </c>
      <c r="DL38" s="139">
        <v>1</v>
      </c>
      <c r="DM38" s="17">
        <v>0</v>
      </c>
      <c r="DN38" s="15">
        <v>0</v>
      </c>
      <c r="DO38" s="15">
        <v>0</v>
      </c>
      <c r="DP38" s="17">
        <v>0</v>
      </c>
      <c r="DQ38" s="87">
        <v>40</v>
      </c>
      <c r="DR38" s="15">
        <v>0</v>
      </c>
      <c r="DS38" s="17">
        <v>0</v>
      </c>
      <c r="DT38" s="87">
        <v>1</v>
      </c>
      <c r="DU38" s="15">
        <v>0</v>
      </c>
      <c r="DV38" s="17">
        <v>0</v>
      </c>
      <c r="DW38" s="396">
        <v>0</v>
      </c>
      <c r="DX38" s="50">
        <v>0</v>
      </c>
      <c r="DY38" s="52">
        <v>0</v>
      </c>
      <c r="DZ38" s="105">
        <v>17</v>
      </c>
      <c r="EA38" s="15">
        <v>0</v>
      </c>
      <c r="EB38" s="17">
        <v>0</v>
      </c>
      <c r="EC38" s="105">
        <v>32</v>
      </c>
      <c r="ED38" s="15">
        <v>0</v>
      </c>
      <c r="EE38" s="17">
        <v>0</v>
      </c>
      <c r="EF38" s="15">
        <v>0</v>
      </c>
      <c r="EG38" s="15">
        <v>0</v>
      </c>
      <c r="EH38" s="17">
        <v>0</v>
      </c>
      <c r="EI38" s="15">
        <v>0</v>
      </c>
      <c r="EJ38" s="15">
        <v>0</v>
      </c>
      <c r="EK38" s="17">
        <v>0</v>
      </c>
      <c r="EL38" s="105">
        <v>14</v>
      </c>
      <c r="EM38" s="15">
        <v>0</v>
      </c>
      <c r="EN38" s="17">
        <v>0</v>
      </c>
      <c r="EO38" s="15">
        <v>0</v>
      </c>
      <c r="EP38" s="15">
        <v>0</v>
      </c>
      <c r="EQ38" s="17">
        <v>0</v>
      </c>
      <c r="ER38" s="54"/>
      <c r="ES38" s="15">
        <v>0</v>
      </c>
      <c r="ET38" s="15">
        <v>0</v>
      </c>
      <c r="EU38" s="17">
        <v>0</v>
      </c>
      <c r="EV38" s="55"/>
      <c r="EW38" s="77" t="s">
        <v>235</v>
      </c>
    </row>
    <row r="39" spans="1:153" ht="12.75">
      <c r="A39" s="40">
        <v>43870</v>
      </c>
      <c r="B39" s="366">
        <f t="shared" ref="B39:D39" si="35">SUM(F39,I39,L39,O39,R39,X39,AG39,AJ39,AN39,AQ39,AT39,AW39,AZ39,BC39,BF39,BI39,BL39,BO39,BR39,CA39,CG39,CJ39,CM39,CP39,CV39,CY39,DE39,DH39,DK39,DN39,DQ39,DT39,DZ39,EC39,EL39)</f>
        <v>40411</v>
      </c>
      <c r="C39" s="367">
        <f t="shared" si="35"/>
        <v>912</v>
      </c>
      <c r="D39" s="368">
        <f t="shared" si="35"/>
        <v>3200</v>
      </c>
      <c r="E39" s="369">
        <f t="shared" si="1"/>
        <v>36299</v>
      </c>
      <c r="F39" s="18">
        <v>0</v>
      </c>
      <c r="G39" s="18">
        <v>0</v>
      </c>
      <c r="H39" s="317">
        <v>0</v>
      </c>
      <c r="I39" s="18">
        <v>0</v>
      </c>
      <c r="J39" s="18">
        <v>0</v>
      </c>
      <c r="K39" s="317">
        <v>0</v>
      </c>
      <c r="L39" s="18">
        <v>0</v>
      </c>
      <c r="M39" s="18">
        <v>0</v>
      </c>
      <c r="N39" s="317">
        <v>0</v>
      </c>
      <c r="O39" s="18">
        <v>0</v>
      </c>
      <c r="P39" s="18">
        <v>0</v>
      </c>
      <c r="Q39" s="317">
        <v>0</v>
      </c>
      <c r="R39" s="18">
        <v>0</v>
      </c>
      <c r="S39" s="18">
        <v>0</v>
      </c>
      <c r="T39" s="317">
        <v>0</v>
      </c>
      <c r="U39" s="18">
        <v>0</v>
      </c>
      <c r="V39" s="18">
        <v>0</v>
      </c>
      <c r="W39" s="317">
        <v>0</v>
      </c>
      <c r="X39" s="396">
        <v>0</v>
      </c>
      <c r="Y39" s="50">
        <v>0</v>
      </c>
      <c r="Z39" s="52">
        <v>0</v>
      </c>
      <c r="AA39" s="396">
        <v>0</v>
      </c>
      <c r="AB39" s="50">
        <v>0</v>
      </c>
      <c r="AC39" s="52">
        <v>0</v>
      </c>
      <c r="AD39" s="396">
        <v>0</v>
      </c>
      <c r="AE39" s="50">
        <v>0</v>
      </c>
      <c r="AF39" s="52">
        <v>0</v>
      </c>
      <c r="AG39" s="87">
        <v>1</v>
      </c>
      <c r="AH39" s="18">
        <v>0</v>
      </c>
      <c r="AI39" s="317">
        <v>0</v>
      </c>
      <c r="AJ39" s="105">
        <v>40171</v>
      </c>
      <c r="AK39" s="139">
        <v>909</v>
      </c>
      <c r="AL39" s="397">
        <v>3200</v>
      </c>
      <c r="AM39" s="371">
        <f t="shared" si="2"/>
        <v>36062</v>
      </c>
      <c r="AN39" s="105">
        <v>27</v>
      </c>
      <c r="AO39" s="139">
        <v>1</v>
      </c>
      <c r="AP39" s="317">
        <v>0</v>
      </c>
      <c r="AQ39" s="105">
        <v>7</v>
      </c>
      <c r="AR39" s="18">
        <v>0</v>
      </c>
      <c r="AS39" s="317">
        <v>0</v>
      </c>
      <c r="AT39" s="18">
        <v>0</v>
      </c>
      <c r="AU39" s="18">
        <v>0</v>
      </c>
      <c r="AV39" s="317">
        <v>0</v>
      </c>
      <c r="AW39" s="87">
        <v>36</v>
      </c>
      <c r="AX39" s="139">
        <v>1</v>
      </c>
      <c r="AY39" s="317">
        <v>0</v>
      </c>
      <c r="AZ39" s="87">
        <v>3</v>
      </c>
      <c r="BA39" s="18">
        <v>0</v>
      </c>
      <c r="BB39" s="317">
        <v>0</v>
      </c>
      <c r="BC39" s="18">
        <v>0</v>
      </c>
      <c r="BD39" s="18">
        <v>0</v>
      </c>
      <c r="BE39" s="317">
        <v>0</v>
      </c>
      <c r="BF39" s="18">
        <v>0</v>
      </c>
      <c r="BG39" s="18">
        <v>0</v>
      </c>
      <c r="BH39" s="317">
        <v>0</v>
      </c>
      <c r="BI39" s="18">
        <v>0</v>
      </c>
      <c r="BJ39" s="372">
        <v>0</v>
      </c>
      <c r="BK39" s="317">
        <v>0</v>
      </c>
      <c r="BL39" s="18">
        <v>0</v>
      </c>
      <c r="BM39" s="18">
        <v>0</v>
      </c>
      <c r="BN39" s="317">
        <v>0</v>
      </c>
      <c r="BO39" s="87">
        <v>26</v>
      </c>
      <c r="BP39" s="372">
        <v>0</v>
      </c>
      <c r="BQ39" s="317">
        <v>0</v>
      </c>
      <c r="BR39" s="15">
        <v>0</v>
      </c>
      <c r="BS39" s="15">
        <v>0</v>
      </c>
      <c r="BT39" s="17">
        <v>0</v>
      </c>
      <c r="BU39" s="15">
        <v>0</v>
      </c>
      <c r="BV39" s="15">
        <v>0</v>
      </c>
      <c r="BW39" s="17">
        <v>0</v>
      </c>
      <c r="BX39" s="15">
        <v>0</v>
      </c>
      <c r="BY39" s="15">
        <v>0</v>
      </c>
      <c r="BZ39" s="17">
        <v>0</v>
      </c>
      <c r="CA39" s="18">
        <v>0</v>
      </c>
      <c r="CB39" s="18">
        <v>0</v>
      </c>
      <c r="CC39" s="317">
        <v>0</v>
      </c>
      <c r="CD39" s="394">
        <v>0</v>
      </c>
      <c r="CE39" s="63">
        <v>0</v>
      </c>
      <c r="CF39" s="395">
        <v>0</v>
      </c>
      <c r="CG39" s="18">
        <v>0</v>
      </c>
      <c r="CH39" s="18">
        <v>0</v>
      </c>
      <c r="CI39" s="317">
        <v>0</v>
      </c>
      <c r="CJ39" s="105">
        <v>10</v>
      </c>
      <c r="CK39" s="18">
        <v>0</v>
      </c>
      <c r="CL39" s="317">
        <v>0</v>
      </c>
      <c r="CM39" s="105">
        <v>18</v>
      </c>
      <c r="CN39" s="18">
        <v>0</v>
      </c>
      <c r="CO39" s="317">
        <v>0</v>
      </c>
      <c r="CP39" s="396">
        <v>0</v>
      </c>
      <c r="CQ39" s="50">
        <v>0</v>
      </c>
      <c r="CR39" s="52">
        <v>0</v>
      </c>
      <c r="CS39" s="18">
        <v>0</v>
      </c>
      <c r="CT39" s="18">
        <v>0</v>
      </c>
      <c r="CU39" s="317">
        <v>0</v>
      </c>
      <c r="CV39" s="87">
        <v>1</v>
      </c>
      <c r="CW39" s="18">
        <v>0</v>
      </c>
      <c r="CX39" s="317">
        <v>0</v>
      </c>
      <c r="CY39" s="18">
        <v>0</v>
      </c>
      <c r="CZ39" s="18">
        <v>0</v>
      </c>
      <c r="DA39" s="317">
        <v>0</v>
      </c>
      <c r="DB39" s="396">
        <v>0</v>
      </c>
      <c r="DC39" s="50">
        <v>0</v>
      </c>
      <c r="DD39" s="52">
        <v>0</v>
      </c>
      <c r="DE39" s="18">
        <v>0</v>
      </c>
      <c r="DF39" s="18">
        <v>0</v>
      </c>
      <c r="DG39" s="317">
        <v>0</v>
      </c>
      <c r="DH39" s="18">
        <v>0</v>
      </c>
      <c r="DI39" s="18">
        <v>0</v>
      </c>
      <c r="DJ39" s="317">
        <v>0</v>
      </c>
      <c r="DK39" s="87">
        <v>3</v>
      </c>
      <c r="DL39" s="139">
        <v>1</v>
      </c>
      <c r="DM39" s="317">
        <v>0</v>
      </c>
      <c r="DN39" s="18">
        <v>0</v>
      </c>
      <c r="DO39" s="18">
        <v>0</v>
      </c>
      <c r="DP39" s="317">
        <v>0</v>
      </c>
      <c r="DQ39" s="87">
        <v>43</v>
      </c>
      <c r="DR39" s="18">
        <v>0</v>
      </c>
      <c r="DS39" s="317">
        <v>0</v>
      </c>
      <c r="DT39" s="87">
        <v>1</v>
      </c>
      <c r="DU39" s="18">
        <v>0</v>
      </c>
      <c r="DV39" s="317">
        <v>0</v>
      </c>
      <c r="DW39" s="396">
        <v>0</v>
      </c>
      <c r="DX39" s="50">
        <v>0</v>
      </c>
      <c r="DY39" s="52">
        <v>0</v>
      </c>
      <c r="DZ39" s="105">
        <v>18</v>
      </c>
      <c r="EA39" s="18">
        <v>0</v>
      </c>
      <c r="EB39" s="317">
        <v>0</v>
      </c>
      <c r="EC39" s="105">
        <v>32</v>
      </c>
      <c r="ED39" s="18">
        <v>0</v>
      </c>
      <c r="EE39" s="317">
        <v>0</v>
      </c>
      <c r="EF39" s="18">
        <v>0</v>
      </c>
      <c r="EG39" s="18">
        <v>0</v>
      </c>
      <c r="EH39" s="317">
        <v>0</v>
      </c>
      <c r="EI39" s="18">
        <v>0</v>
      </c>
      <c r="EJ39" s="18">
        <v>0</v>
      </c>
      <c r="EK39" s="317">
        <v>0</v>
      </c>
      <c r="EL39" s="105">
        <v>14</v>
      </c>
      <c r="EM39" s="18">
        <v>0</v>
      </c>
      <c r="EN39" s="317">
        <v>0</v>
      </c>
      <c r="EO39" s="18">
        <v>0</v>
      </c>
      <c r="EP39" s="18">
        <v>0</v>
      </c>
      <c r="EQ39" s="317">
        <v>0</v>
      </c>
      <c r="ER39" s="83"/>
      <c r="ES39" s="18">
        <v>0</v>
      </c>
      <c r="ET39" s="18">
        <v>0</v>
      </c>
      <c r="EU39" s="317">
        <v>0</v>
      </c>
      <c r="EV39" s="55"/>
      <c r="EW39" s="77" t="s">
        <v>238</v>
      </c>
    </row>
    <row r="40" spans="1:153" ht="12.75">
      <c r="A40" s="40">
        <v>43871</v>
      </c>
      <c r="B40" s="366">
        <f t="shared" ref="B40:D40" si="36">SUM(F40,I40,L40,O40,R40,X40,AG40,AJ40,AN40,AQ40,AT40,AW40,AZ40,BC40,BF40,BI40,BL40,BO40,BR40,CA40,CG40,CJ40,CM40,CP40,CV40,CY40,DE40,DH40,DK40,DN40,DQ40,DT40,DZ40,EC40,EL40)</f>
        <v>42884</v>
      </c>
      <c r="C40" s="367">
        <f t="shared" si="36"/>
        <v>1020</v>
      </c>
      <c r="D40" s="368">
        <f t="shared" si="36"/>
        <v>3900</v>
      </c>
      <c r="E40" s="369">
        <f t="shared" si="1"/>
        <v>37964</v>
      </c>
      <c r="F40" s="15">
        <v>0</v>
      </c>
      <c r="G40" s="15">
        <v>0</v>
      </c>
      <c r="H40" s="17">
        <v>0</v>
      </c>
      <c r="I40" s="15">
        <v>0</v>
      </c>
      <c r="J40" s="15">
        <v>0</v>
      </c>
      <c r="K40" s="17">
        <v>0</v>
      </c>
      <c r="L40" s="15">
        <v>0</v>
      </c>
      <c r="M40" s="15">
        <v>0</v>
      </c>
      <c r="N40" s="17">
        <v>0</v>
      </c>
      <c r="O40" s="15">
        <v>0</v>
      </c>
      <c r="P40" s="15">
        <v>0</v>
      </c>
      <c r="Q40" s="17">
        <v>0</v>
      </c>
      <c r="R40" s="15">
        <v>0</v>
      </c>
      <c r="S40" s="15">
        <v>0</v>
      </c>
      <c r="T40" s="17">
        <v>0</v>
      </c>
      <c r="U40" s="15">
        <v>0</v>
      </c>
      <c r="V40" s="15">
        <v>0</v>
      </c>
      <c r="W40" s="17">
        <v>0</v>
      </c>
      <c r="X40" s="396">
        <v>0</v>
      </c>
      <c r="Y40" s="50">
        <v>0</v>
      </c>
      <c r="Z40" s="52">
        <v>0</v>
      </c>
      <c r="AA40" s="396">
        <v>0</v>
      </c>
      <c r="AB40" s="50">
        <v>0</v>
      </c>
      <c r="AC40" s="52">
        <v>0</v>
      </c>
      <c r="AD40" s="396">
        <v>0</v>
      </c>
      <c r="AE40" s="50">
        <v>0</v>
      </c>
      <c r="AF40" s="52">
        <v>0</v>
      </c>
      <c r="AG40" s="87">
        <v>1</v>
      </c>
      <c r="AH40" s="15">
        <v>0</v>
      </c>
      <c r="AI40" s="17">
        <v>0</v>
      </c>
      <c r="AJ40" s="105">
        <v>42638</v>
      </c>
      <c r="AK40" s="139">
        <v>1017</v>
      </c>
      <c r="AL40" s="397">
        <v>3900</v>
      </c>
      <c r="AM40" s="371">
        <f t="shared" si="2"/>
        <v>37721</v>
      </c>
      <c r="AN40" s="105">
        <v>28</v>
      </c>
      <c r="AO40" s="139">
        <v>1</v>
      </c>
      <c r="AP40" s="17">
        <v>0</v>
      </c>
      <c r="AQ40" s="105">
        <v>8</v>
      </c>
      <c r="AR40" s="15">
        <v>0</v>
      </c>
      <c r="AS40" s="17">
        <v>0</v>
      </c>
      <c r="AT40" s="15">
        <v>0</v>
      </c>
      <c r="AU40" s="15">
        <v>0</v>
      </c>
      <c r="AV40" s="17">
        <v>0</v>
      </c>
      <c r="AW40" s="87">
        <v>36</v>
      </c>
      <c r="AX40" s="139">
        <v>1</v>
      </c>
      <c r="AY40" s="17">
        <v>0</v>
      </c>
      <c r="AZ40" s="87">
        <v>3</v>
      </c>
      <c r="BA40" s="15">
        <v>0</v>
      </c>
      <c r="BB40" s="17">
        <v>0</v>
      </c>
      <c r="BC40" s="18">
        <v>0</v>
      </c>
      <c r="BD40" s="15">
        <v>0</v>
      </c>
      <c r="BE40" s="17">
        <v>0</v>
      </c>
      <c r="BF40" s="15">
        <v>0</v>
      </c>
      <c r="BG40" s="15">
        <v>0</v>
      </c>
      <c r="BH40" s="17">
        <v>0</v>
      </c>
      <c r="BI40" s="15">
        <v>0</v>
      </c>
      <c r="BJ40" s="372">
        <v>0</v>
      </c>
      <c r="BK40" s="17">
        <v>0</v>
      </c>
      <c r="BL40" s="15">
        <v>0</v>
      </c>
      <c r="BM40" s="15">
        <v>0</v>
      </c>
      <c r="BN40" s="17">
        <v>0</v>
      </c>
      <c r="BO40" s="87">
        <v>26</v>
      </c>
      <c r="BP40" s="372">
        <v>0</v>
      </c>
      <c r="BQ40" s="17">
        <v>0</v>
      </c>
      <c r="BR40" s="15">
        <v>0</v>
      </c>
      <c r="BS40" s="15">
        <v>0</v>
      </c>
      <c r="BT40" s="17">
        <v>0</v>
      </c>
      <c r="BU40" s="15">
        <v>0</v>
      </c>
      <c r="BV40" s="15">
        <v>0</v>
      </c>
      <c r="BW40" s="17">
        <v>0</v>
      </c>
      <c r="BX40" s="15">
        <v>0</v>
      </c>
      <c r="BY40" s="15">
        <v>0</v>
      </c>
      <c r="BZ40" s="17">
        <v>0</v>
      </c>
      <c r="CA40" s="15">
        <v>0</v>
      </c>
      <c r="CB40" s="15">
        <v>0</v>
      </c>
      <c r="CC40" s="17">
        <v>0</v>
      </c>
      <c r="CD40" s="392">
        <v>0</v>
      </c>
      <c r="CE40" s="41">
        <v>0</v>
      </c>
      <c r="CF40" s="393">
        <v>0</v>
      </c>
      <c r="CG40" s="15">
        <v>0</v>
      </c>
      <c r="CH40" s="15">
        <v>0</v>
      </c>
      <c r="CI40" s="17">
        <v>0</v>
      </c>
      <c r="CJ40" s="105">
        <v>10</v>
      </c>
      <c r="CK40" s="15">
        <v>0</v>
      </c>
      <c r="CL40" s="17">
        <v>0</v>
      </c>
      <c r="CM40" s="105">
        <v>18</v>
      </c>
      <c r="CN40" s="15">
        <v>0</v>
      </c>
      <c r="CO40" s="17">
        <v>0</v>
      </c>
      <c r="CP40" s="396">
        <v>0</v>
      </c>
      <c r="CQ40" s="50">
        <v>0</v>
      </c>
      <c r="CR40" s="52">
        <v>0</v>
      </c>
      <c r="CS40" s="15">
        <v>0</v>
      </c>
      <c r="CT40" s="15">
        <v>0</v>
      </c>
      <c r="CU40" s="17">
        <v>0</v>
      </c>
      <c r="CV40" s="87">
        <v>1</v>
      </c>
      <c r="CW40" s="15">
        <v>0</v>
      </c>
      <c r="CX40" s="17">
        <v>0</v>
      </c>
      <c r="CY40" s="15">
        <v>0</v>
      </c>
      <c r="CZ40" s="15">
        <v>0</v>
      </c>
      <c r="DA40" s="17">
        <v>0</v>
      </c>
      <c r="DB40" s="396">
        <v>0</v>
      </c>
      <c r="DC40" s="50">
        <v>0</v>
      </c>
      <c r="DD40" s="52">
        <v>0</v>
      </c>
      <c r="DE40" s="15">
        <v>0</v>
      </c>
      <c r="DF40" s="15">
        <v>0</v>
      </c>
      <c r="DG40" s="17">
        <v>0</v>
      </c>
      <c r="DH40" s="15">
        <v>0</v>
      </c>
      <c r="DI40" s="15">
        <v>0</v>
      </c>
      <c r="DJ40" s="17">
        <v>0</v>
      </c>
      <c r="DK40" s="87">
        <v>3</v>
      </c>
      <c r="DL40" s="139">
        <v>1</v>
      </c>
      <c r="DM40" s="17">
        <v>0</v>
      </c>
      <c r="DN40" s="15">
        <v>0</v>
      </c>
      <c r="DO40" s="15">
        <v>0</v>
      </c>
      <c r="DP40" s="17">
        <v>0</v>
      </c>
      <c r="DQ40" s="87">
        <v>45</v>
      </c>
      <c r="DR40" s="15">
        <v>0</v>
      </c>
      <c r="DS40" s="17">
        <v>0</v>
      </c>
      <c r="DT40" s="87">
        <v>1</v>
      </c>
      <c r="DU40" s="15">
        <v>0</v>
      </c>
      <c r="DV40" s="17">
        <v>0</v>
      </c>
      <c r="DW40" s="396">
        <v>0</v>
      </c>
      <c r="DX40" s="50">
        <v>0</v>
      </c>
      <c r="DY40" s="52">
        <v>0</v>
      </c>
      <c r="DZ40" s="105">
        <v>18</v>
      </c>
      <c r="EA40" s="15">
        <v>0</v>
      </c>
      <c r="EB40" s="17">
        <v>0</v>
      </c>
      <c r="EC40" s="105">
        <v>33</v>
      </c>
      <c r="ED40" s="15">
        <v>0</v>
      </c>
      <c r="EE40" s="17">
        <v>0</v>
      </c>
      <c r="EF40" s="15">
        <v>0</v>
      </c>
      <c r="EG40" s="15">
        <v>0</v>
      </c>
      <c r="EH40" s="17">
        <v>0</v>
      </c>
      <c r="EI40" s="15">
        <v>0</v>
      </c>
      <c r="EJ40" s="15">
        <v>0</v>
      </c>
      <c r="EK40" s="17">
        <v>0</v>
      </c>
      <c r="EL40" s="105">
        <v>15</v>
      </c>
      <c r="EM40" s="15">
        <v>0</v>
      </c>
      <c r="EN40" s="17">
        <v>0</v>
      </c>
      <c r="EO40" s="15">
        <v>0</v>
      </c>
      <c r="EP40" s="15">
        <v>0</v>
      </c>
      <c r="EQ40" s="17">
        <v>0</v>
      </c>
      <c r="ER40" s="54"/>
      <c r="ES40" s="15">
        <v>0</v>
      </c>
      <c r="ET40" s="15">
        <v>0</v>
      </c>
      <c r="EU40" s="17">
        <v>0</v>
      </c>
      <c r="EV40" s="55"/>
      <c r="EW40" s="77" t="s">
        <v>241</v>
      </c>
    </row>
    <row r="41" spans="1:153" ht="12.75">
      <c r="A41" s="40">
        <v>43872</v>
      </c>
      <c r="B41" s="366">
        <f t="shared" ref="B41:D41" si="37">SUM(F41,I41,L41,O41,R41,X41,AG41,AJ41,AN41,AQ41,AT41,AW41,AZ41,BC41,BF41,BI41,BL41,BO41,BR41,CA41,CG41,CJ41,CM41,CP41,CV41,CY41,DE41,DH41,DK41,DN41,DQ41,DT41,DZ41,EC41,EL41)</f>
        <v>44916</v>
      </c>
      <c r="C41" s="367">
        <f t="shared" si="37"/>
        <v>1117</v>
      </c>
      <c r="D41" s="368">
        <f t="shared" si="37"/>
        <v>4700</v>
      </c>
      <c r="E41" s="369">
        <f t="shared" si="1"/>
        <v>39099</v>
      </c>
      <c r="F41" s="18">
        <v>0</v>
      </c>
      <c r="G41" s="18">
        <v>0</v>
      </c>
      <c r="H41" s="317">
        <v>0</v>
      </c>
      <c r="I41" s="18">
        <v>0</v>
      </c>
      <c r="J41" s="18">
        <v>0</v>
      </c>
      <c r="K41" s="317">
        <v>0</v>
      </c>
      <c r="L41" s="18">
        <v>0</v>
      </c>
      <c r="M41" s="18">
        <v>0</v>
      </c>
      <c r="N41" s="317">
        <v>0</v>
      </c>
      <c r="O41" s="18">
        <v>0</v>
      </c>
      <c r="P41" s="18">
        <v>0</v>
      </c>
      <c r="Q41" s="317">
        <v>0</v>
      </c>
      <c r="R41" s="18">
        <v>0</v>
      </c>
      <c r="S41" s="18">
        <v>0</v>
      </c>
      <c r="T41" s="317">
        <v>0</v>
      </c>
      <c r="U41" s="18">
        <v>0</v>
      </c>
      <c r="V41" s="18">
        <v>0</v>
      </c>
      <c r="W41" s="317">
        <v>0</v>
      </c>
      <c r="X41" s="396">
        <v>0</v>
      </c>
      <c r="Y41" s="50">
        <v>0</v>
      </c>
      <c r="Z41" s="52">
        <v>0</v>
      </c>
      <c r="AA41" s="396">
        <v>0</v>
      </c>
      <c r="AB41" s="50">
        <v>0</v>
      </c>
      <c r="AC41" s="52">
        <v>0</v>
      </c>
      <c r="AD41" s="396">
        <v>0</v>
      </c>
      <c r="AE41" s="50">
        <v>0</v>
      </c>
      <c r="AF41" s="52">
        <v>0</v>
      </c>
      <c r="AG41" s="87">
        <v>1</v>
      </c>
      <c r="AH41" s="18">
        <v>0</v>
      </c>
      <c r="AI41" s="317">
        <v>0</v>
      </c>
      <c r="AJ41" s="105">
        <v>44653</v>
      </c>
      <c r="AK41" s="139">
        <v>1114</v>
      </c>
      <c r="AL41" s="397">
        <v>4700</v>
      </c>
      <c r="AM41" s="371">
        <f t="shared" si="2"/>
        <v>38839</v>
      </c>
      <c r="AN41" s="105">
        <v>28</v>
      </c>
      <c r="AO41" s="139">
        <v>1</v>
      </c>
      <c r="AP41" s="317">
        <v>0</v>
      </c>
      <c r="AQ41" s="105">
        <v>8</v>
      </c>
      <c r="AR41" s="18">
        <v>0</v>
      </c>
      <c r="AS41" s="317">
        <v>0</v>
      </c>
      <c r="AT41" s="18">
        <v>0</v>
      </c>
      <c r="AU41" s="18">
        <v>0</v>
      </c>
      <c r="AV41" s="317">
        <v>0</v>
      </c>
      <c r="AW41" s="87">
        <v>49</v>
      </c>
      <c r="AX41" s="139">
        <v>1</v>
      </c>
      <c r="AY41" s="317">
        <v>0</v>
      </c>
      <c r="AZ41" s="87">
        <v>3</v>
      </c>
      <c r="BA41" s="18">
        <v>0</v>
      </c>
      <c r="BB41" s="317">
        <v>0</v>
      </c>
      <c r="BC41" s="18">
        <v>0</v>
      </c>
      <c r="BD41" s="18">
        <v>0</v>
      </c>
      <c r="BE41" s="317">
        <v>0</v>
      </c>
      <c r="BF41" s="18">
        <v>0</v>
      </c>
      <c r="BG41" s="18">
        <v>0</v>
      </c>
      <c r="BH41" s="317">
        <v>0</v>
      </c>
      <c r="BI41" s="18">
        <v>0</v>
      </c>
      <c r="BJ41" s="372">
        <v>0</v>
      </c>
      <c r="BK41" s="317">
        <v>0</v>
      </c>
      <c r="BL41" s="18">
        <v>0</v>
      </c>
      <c r="BM41" s="18">
        <v>0</v>
      </c>
      <c r="BN41" s="317">
        <v>0</v>
      </c>
      <c r="BO41" s="87">
        <v>28</v>
      </c>
      <c r="BP41" s="372">
        <v>0</v>
      </c>
      <c r="BQ41" s="317">
        <v>0</v>
      </c>
      <c r="BR41" s="15">
        <v>0</v>
      </c>
      <c r="BS41" s="15">
        <v>0</v>
      </c>
      <c r="BT41" s="17">
        <v>0</v>
      </c>
      <c r="BU41" s="15">
        <v>0</v>
      </c>
      <c r="BV41" s="15">
        <v>0</v>
      </c>
      <c r="BW41" s="17">
        <v>0</v>
      </c>
      <c r="BX41" s="15">
        <v>0</v>
      </c>
      <c r="BY41" s="15">
        <v>0</v>
      </c>
      <c r="BZ41" s="17">
        <v>0</v>
      </c>
      <c r="CA41" s="18">
        <v>0</v>
      </c>
      <c r="CB41" s="18">
        <v>0</v>
      </c>
      <c r="CC41" s="317">
        <v>0</v>
      </c>
      <c r="CD41" s="394">
        <v>0</v>
      </c>
      <c r="CE41" s="63">
        <v>0</v>
      </c>
      <c r="CF41" s="395">
        <v>0</v>
      </c>
      <c r="CG41" s="18">
        <v>0</v>
      </c>
      <c r="CH41" s="18">
        <v>0</v>
      </c>
      <c r="CI41" s="317">
        <v>0</v>
      </c>
      <c r="CJ41" s="105">
        <v>10</v>
      </c>
      <c r="CK41" s="18">
        <v>0</v>
      </c>
      <c r="CL41" s="317">
        <v>0</v>
      </c>
      <c r="CM41" s="105">
        <v>18</v>
      </c>
      <c r="CN41" s="18">
        <v>0</v>
      </c>
      <c r="CO41" s="317">
        <v>0</v>
      </c>
      <c r="CP41" s="396">
        <v>0</v>
      </c>
      <c r="CQ41" s="50">
        <v>0</v>
      </c>
      <c r="CR41" s="52">
        <v>0</v>
      </c>
      <c r="CS41" s="18">
        <v>0</v>
      </c>
      <c r="CT41" s="18">
        <v>0</v>
      </c>
      <c r="CU41" s="317">
        <v>0</v>
      </c>
      <c r="CV41" s="87">
        <v>1</v>
      </c>
      <c r="CW41" s="18">
        <v>0</v>
      </c>
      <c r="CX41" s="317">
        <v>0</v>
      </c>
      <c r="CY41" s="18">
        <v>0</v>
      </c>
      <c r="CZ41" s="18">
        <v>0</v>
      </c>
      <c r="DA41" s="317">
        <v>0</v>
      </c>
      <c r="DB41" s="396">
        <v>0</v>
      </c>
      <c r="DC41" s="50">
        <v>0</v>
      </c>
      <c r="DD41" s="52">
        <v>0</v>
      </c>
      <c r="DE41" s="18">
        <v>0</v>
      </c>
      <c r="DF41" s="18">
        <v>0</v>
      </c>
      <c r="DG41" s="317">
        <v>0</v>
      </c>
      <c r="DH41" s="18">
        <v>0</v>
      </c>
      <c r="DI41" s="18">
        <v>0</v>
      </c>
      <c r="DJ41" s="317">
        <v>0</v>
      </c>
      <c r="DK41" s="87">
        <v>3</v>
      </c>
      <c r="DL41" s="139">
        <v>1</v>
      </c>
      <c r="DM41" s="317">
        <v>0</v>
      </c>
      <c r="DN41" s="18">
        <v>0</v>
      </c>
      <c r="DO41" s="18">
        <v>0</v>
      </c>
      <c r="DP41" s="317">
        <v>0</v>
      </c>
      <c r="DQ41" s="87">
        <v>47</v>
      </c>
      <c r="DR41" s="18">
        <v>0</v>
      </c>
      <c r="DS41" s="317">
        <v>0</v>
      </c>
      <c r="DT41" s="87">
        <v>1</v>
      </c>
      <c r="DU41" s="18">
        <v>0</v>
      </c>
      <c r="DV41" s="317">
        <v>0</v>
      </c>
      <c r="DW41" s="396">
        <v>0</v>
      </c>
      <c r="DX41" s="50">
        <v>0</v>
      </c>
      <c r="DY41" s="52">
        <v>0</v>
      </c>
      <c r="DZ41" s="105">
        <v>18</v>
      </c>
      <c r="EA41" s="18">
        <v>0</v>
      </c>
      <c r="EB41" s="317">
        <v>0</v>
      </c>
      <c r="EC41" s="105">
        <v>33</v>
      </c>
      <c r="ED41" s="18">
        <v>0</v>
      </c>
      <c r="EE41" s="317">
        <v>0</v>
      </c>
      <c r="EF41" s="18">
        <v>0</v>
      </c>
      <c r="EG41" s="18">
        <v>0</v>
      </c>
      <c r="EH41" s="317">
        <v>0</v>
      </c>
      <c r="EI41" s="18">
        <v>0</v>
      </c>
      <c r="EJ41" s="18">
        <v>0</v>
      </c>
      <c r="EK41" s="317">
        <v>0</v>
      </c>
      <c r="EL41" s="105">
        <v>15</v>
      </c>
      <c r="EM41" s="18">
        <v>0</v>
      </c>
      <c r="EN41" s="317">
        <v>0</v>
      </c>
      <c r="EO41" s="18">
        <v>0</v>
      </c>
      <c r="EP41" s="18">
        <v>0</v>
      </c>
      <c r="EQ41" s="317">
        <v>0</v>
      </c>
      <c r="ER41" s="83"/>
      <c r="ES41" s="18">
        <v>0</v>
      </c>
      <c r="ET41" s="18">
        <v>0</v>
      </c>
      <c r="EU41" s="317">
        <v>0</v>
      </c>
      <c r="EV41" s="55"/>
      <c r="EW41" s="56"/>
    </row>
    <row r="42" spans="1:153" ht="12.75">
      <c r="A42" s="40">
        <v>43873</v>
      </c>
      <c r="B42" s="366">
        <f t="shared" ref="B42:D42" si="38">SUM(F42,I42,L42,O42,R42,X42,AG42,AJ42,AN42,AQ42,AT42,AW42,AZ42,BC42,BF42,BI42,BL42,BO42,BR42,CA42,CG42,CJ42,CM42,CP42,CV42,CY42,DE42,DH42,DK42,DN42,DQ42,DT42,DZ42,EC42,EL42)</f>
        <v>46741</v>
      </c>
      <c r="C42" s="367">
        <f t="shared" si="38"/>
        <v>1371</v>
      </c>
      <c r="D42" s="368">
        <f t="shared" si="38"/>
        <v>5200</v>
      </c>
      <c r="E42" s="369">
        <f t="shared" si="1"/>
        <v>40170</v>
      </c>
      <c r="F42" s="15">
        <v>0</v>
      </c>
      <c r="G42" s="15">
        <v>0</v>
      </c>
      <c r="H42" s="17">
        <v>0</v>
      </c>
      <c r="I42" s="15">
        <v>0</v>
      </c>
      <c r="J42" s="15">
        <v>0</v>
      </c>
      <c r="K42" s="17">
        <v>0</v>
      </c>
      <c r="L42" s="15">
        <v>0</v>
      </c>
      <c r="M42" s="15">
        <v>0</v>
      </c>
      <c r="N42" s="17">
        <v>0</v>
      </c>
      <c r="O42" s="15">
        <v>0</v>
      </c>
      <c r="P42" s="15">
        <v>0</v>
      </c>
      <c r="Q42" s="17">
        <v>0</v>
      </c>
      <c r="R42" s="15">
        <v>0</v>
      </c>
      <c r="S42" s="15">
        <v>0</v>
      </c>
      <c r="T42" s="17">
        <v>0</v>
      </c>
      <c r="U42" s="15">
        <v>0</v>
      </c>
      <c r="V42" s="15">
        <v>0</v>
      </c>
      <c r="W42" s="17">
        <v>0</v>
      </c>
      <c r="X42" s="396">
        <v>0</v>
      </c>
      <c r="Y42" s="50">
        <v>0</v>
      </c>
      <c r="Z42" s="52">
        <v>0</v>
      </c>
      <c r="AA42" s="396">
        <v>0</v>
      </c>
      <c r="AB42" s="50">
        <v>0</v>
      </c>
      <c r="AC42" s="52">
        <v>0</v>
      </c>
      <c r="AD42" s="396">
        <v>0</v>
      </c>
      <c r="AE42" s="50">
        <v>0</v>
      </c>
      <c r="AF42" s="52">
        <v>0</v>
      </c>
      <c r="AG42" s="87">
        <v>1</v>
      </c>
      <c r="AH42" s="15">
        <v>0</v>
      </c>
      <c r="AI42" s="17">
        <v>0</v>
      </c>
      <c r="AJ42" s="105">
        <v>46472</v>
      </c>
      <c r="AK42" s="139">
        <v>1368</v>
      </c>
      <c r="AL42" s="397">
        <v>5200</v>
      </c>
      <c r="AM42" s="371">
        <f t="shared" si="2"/>
        <v>39904</v>
      </c>
      <c r="AN42" s="105">
        <v>28</v>
      </c>
      <c r="AO42" s="139">
        <v>1</v>
      </c>
      <c r="AP42" s="17">
        <v>0</v>
      </c>
      <c r="AQ42" s="105">
        <v>8</v>
      </c>
      <c r="AR42" s="15">
        <v>0</v>
      </c>
      <c r="AS42" s="17">
        <v>0</v>
      </c>
      <c r="AT42" s="15">
        <v>0</v>
      </c>
      <c r="AU42" s="15">
        <v>0</v>
      </c>
      <c r="AV42" s="17">
        <v>0</v>
      </c>
      <c r="AW42" s="87">
        <v>50</v>
      </c>
      <c r="AX42" s="139">
        <v>1</v>
      </c>
      <c r="AY42" s="17">
        <v>0</v>
      </c>
      <c r="AZ42" s="87">
        <v>3</v>
      </c>
      <c r="BA42" s="15">
        <v>0</v>
      </c>
      <c r="BB42" s="17">
        <v>0</v>
      </c>
      <c r="BC42" s="18">
        <v>0</v>
      </c>
      <c r="BD42" s="15">
        <v>0</v>
      </c>
      <c r="BE42" s="17">
        <v>0</v>
      </c>
      <c r="BF42" s="15">
        <v>0</v>
      </c>
      <c r="BG42" s="15">
        <v>0</v>
      </c>
      <c r="BH42" s="17">
        <v>0</v>
      </c>
      <c r="BI42" s="15">
        <v>0</v>
      </c>
      <c r="BJ42" s="372">
        <v>0</v>
      </c>
      <c r="BK42" s="17">
        <v>0</v>
      </c>
      <c r="BL42" s="15">
        <v>0</v>
      </c>
      <c r="BM42" s="15">
        <v>0</v>
      </c>
      <c r="BN42" s="17">
        <v>0</v>
      </c>
      <c r="BO42" s="87">
        <v>29</v>
      </c>
      <c r="BP42" s="372">
        <v>0</v>
      </c>
      <c r="BQ42" s="17">
        <v>0</v>
      </c>
      <c r="BR42" s="15">
        <v>0</v>
      </c>
      <c r="BS42" s="15">
        <v>0</v>
      </c>
      <c r="BT42" s="17">
        <v>0</v>
      </c>
      <c r="BU42" s="15">
        <v>0</v>
      </c>
      <c r="BV42" s="15">
        <v>0</v>
      </c>
      <c r="BW42" s="17">
        <v>0</v>
      </c>
      <c r="BX42" s="15">
        <v>0</v>
      </c>
      <c r="BY42" s="15">
        <v>0</v>
      </c>
      <c r="BZ42" s="17">
        <v>0</v>
      </c>
      <c r="CA42" s="15">
        <v>0</v>
      </c>
      <c r="CB42" s="15">
        <v>0</v>
      </c>
      <c r="CC42" s="17">
        <v>0</v>
      </c>
      <c r="CD42" s="392">
        <v>0</v>
      </c>
      <c r="CE42" s="41">
        <v>0</v>
      </c>
      <c r="CF42" s="393">
        <v>0</v>
      </c>
      <c r="CG42" s="15">
        <v>0</v>
      </c>
      <c r="CH42" s="15">
        <v>0</v>
      </c>
      <c r="CI42" s="17">
        <v>0</v>
      </c>
      <c r="CJ42" s="105">
        <v>10</v>
      </c>
      <c r="CK42" s="15">
        <v>0</v>
      </c>
      <c r="CL42" s="17">
        <v>0</v>
      </c>
      <c r="CM42" s="105">
        <v>18</v>
      </c>
      <c r="CN42" s="15">
        <v>0</v>
      </c>
      <c r="CO42" s="17">
        <v>0</v>
      </c>
      <c r="CP42" s="396">
        <v>0</v>
      </c>
      <c r="CQ42" s="50">
        <v>0</v>
      </c>
      <c r="CR42" s="52">
        <v>0</v>
      </c>
      <c r="CS42" s="15">
        <v>0</v>
      </c>
      <c r="CT42" s="15">
        <v>0</v>
      </c>
      <c r="CU42" s="17">
        <v>0</v>
      </c>
      <c r="CV42" s="87">
        <v>1</v>
      </c>
      <c r="CW42" s="15">
        <v>0</v>
      </c>
      <c r="CX42" s="17">
        <v>0</v>
      </c>
      <c r="CY42" s="15">
        <v>0</v>
      </c>
      <c r="CZ42" s="15">
        <v>0</v>
      </c>
      <c r="DA42" s="17">
        <v>0</v>
      </c>
      <c r="DB42" s="396">
        <v>0</v>
      </c>
      <c r="DC42" s="50">
        <v>0</v>
      </c>
      <c r="DD42" s="52">
        <v>0</v>
      </c>
      <c r="DE42" s="15">
        <v>0</v>
      </c>
      <c r="DF42" s="15">
        <v>0</v>
      </c>
      <c r="DG42" s="17">
        <v>0</v>
      </c>
      <c r="DH42" s="15">
        <v>0</v>
      </c>
      <c r="DI42" s="15">
        <v>0</v>
      </c>
      <c r="DJ42" s="17">
        <v>0</v>
      </c>
      <c r="DK42" s="87">
        <v>3</v>
      </c>
      <c r="DL42" s="139">
        <v>1</v>
      </c>
      <c r="DM42" s="17">
        <v>0</v>
      </c>
      <c r="DN42" s="15">
        <v>0</v>
      </c>
      <c r="DO42" s="15">
        <v>0</v>
      </c>
      <c r="DP42" s="17">
        <v>0</v>
      </c>
      <c r="DQ42" s="87">
        <v>50</v>
      </c>
      <c r="DR42" s="15">
        <v>0</v>
      </c>
      <c r="DS42" s="17">
        <v>0</v>
      </c>
      <c r="DT42" s="87">
        <v>1</v>
      </c>
      <c r="DU42" s="15">
        <v>0</v>
      </c>
      <c r="DV42" s="17">
        <v>0</v>
      </c>
      <c r="DW42" s="396">
        <v>0</v>
      </c>
      <c r="DX42" s="50">
        <v>0</v>
      </c>
      <c r="DY42" s="52">
        <v>0</v>
      </c>
      <c r="DZ42" s="105">
        <v>18</v>
      </c>
      <c r="EA42" s="15">
        <v>0</v>
      </c>
      <c r="EB42" s="17">
        <v>0</v>
      </c>
      <c r="EC42" s="105">
        <v>33</v>
      </c>
      <c r="ED42" s="15">
        <v>0</v>
      </c>
      <c r="EE42" s="17">
        <v>0</v>
      </c>
      <c r="EF42" s="15">
        <v>0</v>
      </c>
      <c r="EG42" s="15">
        <v>0</v>
      </c>
      <c r="EH42" s="17">
        <v>0</v>
      </c>
      <c r="EI42" s="15">
        <v>0</v>
      </c>
      <c r="EJ42" s="15">
        <v>0</v>
      </c>
      <c r="EK42" s="17">
        <v>0</v>
      </c>
      <c r="EL42" s="105">
        <v>16</v>
      </c>
      <c r="EM42" s="15">
        <v>0</v>
      </c>
      <c r="EN42" s="17">
        <v>0</v>
      </c>
      <c r="EO42" s="15">
        <v>0</v>
      </c>
      <c r="EP42" s="15">
        <v>0</v>
      </c>
      <c r="EQ42" s="17">
        <v>0</v>
      </c>
      <c r="ER42" s="54"/>
      <c r="ES42" s="15">
        <v>0</v>
      </c>
      <c r="ET42" s="15">
        <v>0</v>
      </c>
      <c r="EU42" s="17">
        <v>0</v>
      </c>
      <c r="EV42" s="55"/>
      <c r="EW42" s="77" t="s">
        <v>245</v>
      </c>
    </row>
    <row r="43" spans="1:153" ht="12.75">
      <c r="A43" s="40">
        <v>43874</v>
      </c>
      <c r="B43" s="366">
        <f t="shared" ref="B43:D43" si="39">SUM(F43,I43,L43,O43,R43,X43,AG43,AJ43,AN43,AQ43,AT43,AW43,AZ43,BC43,BF43,BI43,BL43,BO43,BR43,CA43,CG43,CJ43,CM43,CP43,CV43,CY43,DE43,DH43,DK43,DN43,DQ43,DT43,DZ43,EC43,EL43)</f>
        <v>64136</v>
      </c>
      <c r="C43" s="367">
        <f t="shared" si="39"/>
        <v>1385</v>
      </c>
      <c r="D43" s="368">
        <f t="shared" si="39"/>
        <v>6300</v>
      </c>
      <c r="E43" s="369">
        <f t="shared" si="1"/>
        <v>56451</v>
      </c>
      <c r="F43" s="18">
        <v>0</v>
      </c>
      <c r="G43" s="18">
        <v>0</v>
      </c>
      <c r="H43" s="317">
        <v>0</v>
      </c>
      <c r="I43" s="18">
        <v>0</v>
      </c>
      <c r="J43" s="18">
        <v>0</v>
      </c>
      <c r="K43" s="317">
        <v>0</v>
      </c>
      <c r="L43" s="18">
        <v>0</v>
      </c>
      <c r="M43" s="18">
        <v>0</v>
      </c>
      <c r="N43" s="317">
        <v>0</v>
      </c>
      <c r="O43" s="18">
        <v>0</v>
      </c>
      <c r="P43" s="18">
        <v>0</v>
      </c>
      <c r="Q43" s="317">
        <v>0</v>
      </c>
      <c r="R43" s="18">
        <v>0</v>
      </c>
      <c r="S43" s="18">
        <v>0</v>
      </c>
      <c r="T43" s="317">
        <v>0</v>
      </c>
      <c r="U43" s="18">
        <v>0</v>
      </c>
      <c r="V43" s="18">
        <v>0</v>
      </c>
      <c r="W43" s="317">
        <v>0</v>
      </c>
      <c r="X43" s="396">
        <v>0</v>
      </c>
      <c r="Y43" s="50">
        <v>0</v>
      </c>
      <c r="Z43" s="52">
        <v>0</v>
      </c>
      <c r="AA43" s="396">
        <v>0</v>
      </c>
      <c r="AB43" s="50">
        <v>0</v>
      </c>
      <c r="AC43" s="52">
        <v>0</v>
      </c>
      <c r="AD43" s="396">
        <v>0</v>
      </c>
      <c r="AE43" s="50">
        <v>0</v>
      </c>
      <c r="AF43" s="52">
        <v>0</v>
      </c>
      <c r="AG43" s="87">
        <v>1</v>
      </c>
      <c r="AH43" s="18">
        <v>0</v>
      </c>
      <c r="AI43" s="317">
        <v>0</v>
      </c>
      <c r="AJ43" s="105">
        <v>63851</v>
      </c>
      <c r="AK43" s="139">
        <v>1381</v>
      </c>
      <c r="AL43" s="397">
        <v>6300</v>
      </c>
      <c r="AM43" s="371">
        <f t="shared" si="2"/>
        <v>56170</v>
      </c>
      <c r="AN43" s="105">
        <v>28</v>
      </c>
      <c r="AO43" s="139">
        <v>1</v>
      </c>
      <c r="AP43" s="317">
        <v>0</v>
      </c>
      <c r="AQ43" s="105">
        <v>8</v>
      </c>
      <c r="AR43" s="18">
        <v>0</v>
      </c>
      <c r="AS43" s="317">
        <v>0</v>
      </c>
      <c r="AT43" s="18">
        <v>0</v>
      </c>
      <c r="AU43" s="18">
        <v>0</v>
      </c>
      <c r="AV43" s="317">
        <v>0</v>
      </c>
      <c r="AW43" s="87">
        <v>53</v>
      </c>
      <c r="AX43" s="139">
        <v>1</v>
      </c>
      <c r="AY43" s="317">
        <v>0</v>
      </c>
      <c r="AZ43" s="87">
        <v>3</v>
      </c>
      <c r="BA43" s="18">
        <v>0</v>
      </c>
      <c r="BB43" s="317">
        <v>0</v>
      </c>
      <c r="BC43" s="18">
        <v>0</v>
      </c>
      <c r="BD43" s="18">
        <v>0</v>
      </c>
      <c r="BE43" s="317">
        <v>0</v>
      </c>
      <c r="BF43" s="18">
        <v>0</v>
      </c>
      <c r="BG43" s="18">
        <v>0</v>
      </c>
      <c r="BH43" s="317">
        <v>0</v>
      </c>
      <c r="BI43" s="18">
        <v>0</v>
      </c>
      <c r="BJ43" s="372">
        <v>0</v>
      </c>
      <c r="BK43" s="317">
        <v>0</v>
      </c>
      <c r="BL43" s="18">
        <v>0</v>
      </c>
      <c r="BM43" s="18">
        <v>0</v>
      </c>
      <c r="BN43" s="317">
        <v>0</v>
      </c>
      <c r="BO43" s="87">
        <v>33</v>
      </c>
      <c r="BP43" s="139">
        <v>1</v>
      </c>
      <c r="BQ43" s="317">
        <v>0</v>
      </c>
      <c r="BR43" s="15">
        <v>0</v>
      </c>
      <c r="BS43" s="15">
        <v>0</v>
      </c>
      <c r="BT43" s="17">
        <v>0</v>
      </c>
      <c r="BU43" s="15">
        <v>0</v>
      </c>
      <c r="BV43" s="15">
        <v>0</v>
      </c>
      <c r="BW43" s="17">
        <v>0</v>
      </c>
      <c r="BX43" s="15">
        <v>0</v>
      </c>
      <c r="BY43" s="15">
        <v>0</v>
      </c>
      <c r="BZ43" s="17">
        <v>0</v>
      </c>
      <c r="CA43" s="18">
        <v>0</v>
      </c>
      <c r="CB43" s="18">
        <v>0</v>
      </c>
      <c r="CC43" s="317">
        <v>0</v>
      </c>
      <c r="CD43" s="394">
        <v>0</v>
      </c>
      <c r="CE43" s="63">
        <v>0</v>
      </c>
      <c r="CF43" s="395">
        <v>0</v>
      </c>
      <c r="CG43" s="18">
        <v>0</v>
      </c>
      <c r="CH43" s="18">
        <v>0</v>
      </c>
      <c r="CI43" s="317">
        <v>0</v>
      </c>
      <c r="CJ43" s="105">
        <v>10</v>
      </c>
      <c r="CK43" s="18">
        <v>0</v>
      </c>
      <c r="CL43" s="317">
        <v>0</v>
      </c>
      <c r="CM43" s="105">
        <v>19</v>
      </c>
      <c r="CN43" s="18">
        <v>0</v>
      </c>
      <c r="CO43" s="317">
        <v>0</v>
      </c>
      <c r="CP43" s="396">
        <v>0</v>
      </c>
      <c r="CQ43" s="50">
        <v>0</v>
      </c>
      <c r="CR43" s="52">
        <v>0</v>
      </c>
      <c r="CS43" s="18">
        <v>0</v>
      </c>
      <c r="CT43" s="18">
        <v>0</v>
      </c>
      <c r="CU43" s="317">
        <v>0</v>
      </c>
      <c r="CV43" s="87">
        <v>1</v>
      </c>
      <c r="CW43" s="18">
        <v>0</v>
      </c>
      <c r="CX43" s="317">
        <v>0</v>
      </c>
      <c r="CY43" s="18">
        <v>0</v>
      </c>
      <c r="CZ43" s="18">
        <v>0</v>
      </c>
      <c r="DA43" s="317">
        <v>0</v>
      </c>
      <c r="DB43" s="396">
        <v>0</v>
      </c>
      <c r="DC43" s="50">
        <v>0</v>
      </c>
      <c r="DD43" s="52">
        <v>0</v>
      </c>
      <c r="DE43" s="18">
        <v>0</v>
      </c>
      <c r="DF43" s="18">
        <v>0</v>
      </c>
      <c r="DG43" s="317">
        <v>0</v>
      </c>
      <c r="DH43" s="18">
        <v>0</v>
      </c>
      <c r="DI43" s="18">
        <v>0</v>
      </c>
      <c r="DJ43" s="317">
        <v>0</v>
      </c>
      <c r="DK43" s="87">
        <v>3</v>
      </c>
      <c r="DL43" s="139">
        <v>1</v>
      </c>
      <c r="DM43" s="317">
        <v>0</v>
      </c>
      <c r="DN43" s="18">
        <v>0</v>
      </c>
      <c r="DO43" s="18">
        <v>0</v>
      </c>
      <c r="DP43" s="317">
        <v>0</v>
      </c>
      <c r="DQ43" s="87">
        <v>58</v>
      </c>
      <c r="DR43" s="18">
        <v>0</v>
      </c>
      <c r="DS43" s="317">
        <v>0</v>
      </c>
      <c r="DT43" s="87">
        <v>1</v>
      </c>
      <c r="DU43" s="18">
        <v>0</v>
      </c>
      <c r="DV43" s="317">
        <v>0</v>
      </c>
      <c r="DW43" s="396">
        <v>0</v>
      </c>
      <c r="DX43" s="50">
        <v>0</v>
      </c>
      <c r="DY43" s="52">
        <v>0</v>
      </c>
      <c r="DZ43" s="105">
        <v>18</v>
      </c>
      <c r="EA43" s="18">
        <v>0</v>
      </c>
      <c r="EB43" s="317">
        <v>0</v>
      </c>
      <c r="EC43" s="105">
        <v>33</v>
      </c>
      <c r="ED43" s="18">
        <v>0</v>
      </c>
      <c r="EE43" s="317">
        <v>0</v>
      </c>
      <c r="EF43" s="18">
        <v>0</v>
      </c>
      <c r="EG43" s="18">
        <v>0</v>
      </c>
      <c r="EH43" s="317">
        <v>0</v>
      </c>
      <c r="EI43" s="18">
        <v>0</v>
      </c>
      <c r="EJ43" s="18">
        <v>0</v>
      </c>
      <c r="EK43" s="317">
        <v>0</v>
      </c>
      <c r="EL43" s="105">
        <v>16</v>
      </c>
      <c r="EM43" s="18">
        <v>0</v>
      </c>
      <c r="EN43" s="317">
        <v>0</v>
      </c>
      <c r="EO43" s="18">
        <v>0</v>
      </c>
      <c r="EP43" s="18">
        <v>0</v>
      </c>
      <c r="EQ43" s="317">
        <v>0</v>
      </c>
      <c r="ER43" s="83"/>
      <c r="ES43" s="18">
        <v>0</v>
      </c>
      <c r="ET43" s="18">
        <v>0</v>
      </c>
      <c r="EU43" s="317">
        <v>0</v>
      </c>
      <c r="EV43" s="55" t="s">
        <v>202</v>
      </c>
      <c r="EW43" s="77" t="s">
        <v>841</v>
      </c>
    </row>
    <row r="44" spans="1:153" ht="12.75">
      <c r="A44" s="40">
        <v>43875</v>
      </c>
      <c r="B44" s="366">
        <f t="shared" ref="B44:D44" si="40">SUM(F44,I44,L44,O44,R44,X44,AG44,AJ44,AN44,AQ44,AT44,AW44,AZ44,BC44,BF44,BI44,BL44,BO44,BR44,CA44,CG44,CJ44,CM44,CP44,CV44,CY44,DE44,DH44,DK44,DN44,DQ44,DT44,DZ44,EC44,EL44)</f>
        <v>64800</v>
      </c>
      <c r="C44" s="367">
        <f t="shared" si="40"/>
        <v>1528</v>
      </c>
      <c r="D44" s="368">
        <f t="shared" si="40"/>
        <v>8100</v>
      </c>
      <c r="E44" s="369">
        <f t="shared" si="1"/>
        <v>55172</v>
      </c>
      <c r="F44" s="15">
        <v>0</v>
      </c>
      <c r="G44" s="15">
        <v>0</v>
      </c>
      <c r="H44" s="17">
        <v>0</v>
      </c>
      <c r="I44" s="15">
        <v>0</v>
      </c>
      <c r="J44" s="15">
        <v>0</v>
      </c>
      <c r="K44" s="17">
        <v>0</v>
      </c>
      <c r="L44" s="15">
        <v>0</v>
      </c>
      <c r="M44" s="15">
        <v>0</v>
      </c>
      <c r="N44" s="17">
        <v>0</v>
      </c>
      <c r="O44" s="15">
        <v>0</v>
      </c>
      <c r="P44" s="15">
        <v>0</v>
      </c>
      <c r="Q44" s="17">
        <v>0</v>
      </c>
      <c r="R44" s="15">
        <v>0</v>
      </c>
      <c r="S44" s="15">
        <v>0</v>
      </c>
      <c r="T44" s="17">
        <v>0</v>
      </c>
      <c r="U44" s="15">
        <v>0</v>
      </c>
      <c r="V44" s="15">
        <v>0</v>
      </c>
      <c r="W44" s="17">
        <v>0</v>
      </c>
      <c r="X44" s="396">
        <v>0</v>
      </c>
      <c r="Y44" s="50">
        <v>0</v>
      </c>
      <c r="Z44" s="52">
        <v>0</v>
      </c>
      <c r="AA44" s="396">
        <v>0</v>
      </c>
      <c r="AB44" s="50">
        <v>0</v>
      </c>
      <c r="AC44" s="52">
        <v>0</v>
      </c>
      <c r="AD44" s="396">
        <v>0</v>
      </c>
      <c r="AE44" s="50">
        <v>0</v>
      </c>
      <c r="AF44" s="52">
        <v>0</v>
      </c>
      <c r="AG44" s="87">
        <v>1</v>
      </c>
      <c r="AH44" s="15">
        <v>0</v>
      </c>
      <c r="AI44" s="17">
        <v>0</v>
      </c>
      <c r="AJ44" s="105">
        <v>64492</v>
      </c>
      <c r="AK44" s="139">
        <v>1524</v>
      </c>
      <c r="AL44" s="397">
        <v>8100</v>
      </c>
      <c r="AM44" s="371">
        <f t="shared" si="2"/>
        <v>54868</v>
      </c>
      <c r="AN44" s="105">
        <v>28</v>
      </c>
      <c r="AO44" s="139">
        <v>1</v>
      </c>
      <c r="AP44" s="17">
        <v>0</v>
      </c>
      <c r="AQ44" s="105">
        <v>8</v>
      </c>
      <c r="AR44" s="15">
        <v>0</v>
      </c>
      <c r="AS44" s="17">
        <v>0</v>
      </c>
      <c r="AT44" s="15">
        <v>0</v>
      </c>
      <c r="AU44" s="15">
        <v>0</v>
      </c>
      <c r="AV44" s="17">
        <v>0</v>
      </c>
      <c r="AW44" s="87">
        <v>56</v>
      </c>
      <c r="AX44" s="139">
        <v>1</v>
      </c>
      <c r="AY44" s="17">
        <v>0</v>
      </c>
      <c r="AZ44" s="87">
        <v>3</v>
      </c>
      <c r="BA44" s="15">
        <v>0</v>
      </c>
      <c r="BB44" s="17">
        <v>0</v>
      </c>
      <c r="BC44" s="18">
        <v>0</v>
      </c>
      <c r="BD44" s="15">
        <v>0</v>
      </c>
      <c r="BE44" s="17">
        <v>0</v>
      </c>
      <c r="BF44" s="15">
        <v>0</v>
      </c>
      <c r="BG44" s="15">
        <v>0</v>
      </c>
      <c r="BH44" s="17">
        <v>0</v>
      </c>
      <c r="BI44" s="15">
        <v>0</v>
      </c>
      <c r="BJ44" s="372">
        <v>0</v>
      </c>
      <c r="BK44" s="17">
        <v>0</v>
      </c>
      <c r="BL44" s="15">
        <v>0</v>
      </c>
      <c r="BM44" s="15">
        <v>0</v>
      </c>
      <c r="BN44" s="17">
        <v>0</v>
      </c>
      <c r="BO44" s="87">
        <v>41</v>
      </c>
      <c r="BP44" s="139">
        <v>1</v>
      </c>
      <c r="BQ44" s="17">
        <v>0</v>
      </c>
      <c r="BR44" s="15">
        <v>0</v>
      </c>
      <c r="BS44" s="15">
        <v>0</v>
      </c>
      <c r="BT44" s="17">
        <v>0</v>
      </c>
      <c r="BU44" s="15">
        <v>0</v>
      </c>
      <c r="BV44" s="15">
        <v>0</v>
      </c>
      <c r="BW44" s="17">
        <v>0</v>
      </c>
      <c r="BX44" s="15">
        <v>0</v>
      </c>
      <c r="BY44" s="15">
        <v>0</v>
      </c>
      <c r="BZ44" s="17">
        <v>0</v>
      </c>
      <c r="CA44" s="15">
        <v>0</v>
      </c>
      <c r="CB44" s="15">
        <v>0</v>
      </c>
      <c r="CC44" s="17">
        <v>0</v>
      </c>
      <c r="CD44" s="392">
        <v>0</v>
      </c>
      <c r="CE44" s="41">
        <v>0</v>
      </c>
      <c r="CF44" s="393">
        <v>0</v>
      </c>
      <c r="CG44" s="15">
        <v>0</v>
      </c>
      <c r="CH44" s="15">
        <v>0</v>
      </c>
      <c r="CI44" s="17">
        <v>0</v>
      </c>
      <c r="CJ44" s="105">
        <v>10</v>
      </c>
      <c r="CK44" s="15">
        <v>0</v>
      </c>
      <c r="CL44" s="17">
        <v>0</v>
      </c>
      <c r="CM44" s="105">
        <v>21</v>
      </c>
      <c r="CN44" s="15">
        <v>0</v>
      </c>
      <c r="CO44" s="17">
        <v>0</v>
      </c>
      <c r="CP44" s="396">
        <v>0</v>
      </c>
      <c r="CQ44" s="50">
        <v>0</v>
      </c>
      <c r="CR44" s="52">
        <v>0</v>
      </c>
      <c r="CS44" s="15">
        <v>0</v>
      </c>
      <c r="CT44" s="15">
        <v>0</v>
      </c>
      <c r="CU44" s="17">
        <v>0</v>
      </c>
      <c r="CV44" s="87">
        <v>1</v>
      </c>
      <c r="CW44" s="15">
        <v>0</v>
      </c>
      <c r="CX44" s="17">
        <v>0</v>
      </c>
      <c r="CY44" s="15">
        <v>0</v>
      </c>
      <c r="CZ44" s="15">
        <v>0</v>
      </c>
      <c r="DA44" s="17">
        <v>0</v>
      </c>
      <c r="DB44" s="396">
        <v>0</v>
      </c>
      <c r="DC44" s="50">
        <v>0</v>
      </c>
      <c r="DD44" s="52">
        <v>0</v>
      </c>
      <c r="DE44" s="15">
        <v>0</v>
      </c>
      <c r="DF44" s="15">
        <v>0</v>
      </c>
      <c r="DG44" s="17">
        <v>0</v>
      </c>
      <c r="DH44" s="15">
        <v>0</v>
      </c>
      <c r="DI44" s="15">
        <v>0</v>
      </c>
      <c r="DJ44" s="17">
        <v>0</v>
      </c>
      <c r="DK44" s="87">
        <v>3</v>
      </c>
      <c r="DL44" s="139">
        <v>1</v>
      </c>
      <c r="DM44" s="17">
        <v>0</v>
      </c>
      <c r="DN44" s="15">
        <v>0</v>
      </c>
      <c r="DO44" s="15">
        <v>0</v>
      </c>
      <c r="DP44" s="17">
        <v>0</v>
      </c>
      <c r="DQ44" s="87">
        <v>67</v>
      </c>
      <c r="DR44" s="15">
        <v>0</v>
      </c>
      <c r="DS44" s="17">
        <v>0</v>
      </c>
      <c r="DT44" s="87">
        <v>1</v>
      </c>
      <c r="DU44" s="15">
        <v>0</v>
      </c>
      <c r="DV44" s="17">
        <v>0</v>
      </c>
      <c r="DW44" s="396">
        <v>0</v>
      </c>
      <c r="DX44" s="50">
        <v>0</v>
      </c>
      <c r="DY44" s="52">
        <v>0</v>
      </c>
      <c r="DZ44" s="105">
        <v>18</v>
      </c>
      <c r="EA44" s="15">
        <v>0</v>
      </c>
      <c r="EB44" s="17">
        <v>0</v>
      </c>
      <c r="EC44" s="105">
        <v>34</v>
      </c>
      <c r="ED44" s="15">
        <v>0</v>
      </c>
      <c r="EE44" s="17">
        <v>0</v>
      </c>
      <c r="EF44" s="15">
        <v>0</v>
      </c>
      <c r="EG44" s="15">
        <v>0</v>
      </c>
      <c r="EH44" s="17">
        <v>0</v>
      </c>
      <c r="EI44" s="15">
        <v>0</v>
      </c>
      <c r="EJ44" s="15">
        <v>0</v>
      </c>
      <c r="EK44" s="17">
        <v>0</v>
      </c>
      <c r="EL44" s="105">
        <v>16</v>
      </c>
      <c r="EM44" s="15">
        <v>0</v>
      </c>
      <c r="EN44" s="17">
        <v>0</v>
      </c>
      <c r="EO44" s="15">
        <v>0</v>
      </c>
      <c r="EP44" s="15">
        <v>0</v>
      </c>
      <c r="EQ44" s="17">
        <v>0</v>
      </c>
      <c r="ER44" s="54"/>
      <c r="ES44" s="15">
        <v>0</v>
      </c>
      <c r="ET44" s="15">
        <v>0</v>
      </c>
      <c r="EU44" s="17">
        <v>0</v>
      </c>
      <c r="EV44" s="55"/>
      <c r="EW44" s="77" t="s">
        <v>1069</v>
      </c>
    </row>
    <row r="45" spans="1:153" ht="12.75">
      <c r="A45" s="40">
        <v>43876</v>
      </c>
      <c r="B45" s="366">
        <f t="shared" ref="B45:D45" si="41">SUM(F45,I45,L45,O45,R45,X45,AG45,AJ45,AN45,AQ45,AT45,AW45,AZ45,BC45,BF45,BI45,BL45,BO45,BR45,CA45,CG45,CJ45,CM45,CP45,CV45,CY45,DE45,DH45,DK45,DN45,DQ45,DT45,DZ45,EC45,EL45)</f>
        <v>68827</v>
      </c>
      <c r="C45" s="367">
        <f t="shared" si="41"/>
        <v>1670</v>
      </c>
      <c r="D45" s="368">
        <f t="shared" si="41"/>
        <v>9400</v>
      </c>
      <c r="E45" s="369">
        <f t="shared" si="1"/>
        <v>57757</v>
      </c>
      <c r="F45" s="18">
        <v>0</v>
      </c>
      <c r="G45" s="18">
        <v>0</v>
      </c>
      <c r="H45" s="317">
        <v>0</v>
      </c>
      <c r="I45" s="18">
        <v>0</v>
      </c>
      <c r="J45" s="18">
        <v>0</v>
      </c>
      <c r="K45" s="317">
        <v>0</v>
      </c>
      <c r="L45" s="18">
        <v>0</v>
      </c>
      <c r="M45" s="18">
        <v>0</v>
      </c>
      <c r="N45" s="317">
        <v>0</v>
      </c>
      <c r="O45" s="18">
        <v>0</v>
      </c>
      <c r="P45" s="18">
        <v>0</v>
      </c>
      <c r="Q45" s="317">
        <v>0</v>
      </c>
      <c r="R45" s="18">
        <v>0</v>
      </c>
      <c r="S45" s="18">
        <v>0</v>
      </c>
      <c r="T45" s="317">
        <v>0</v>
      </c>
      <c r="U45" s="18">
        <v>0</v>
      </c>
      <c r="V45" s="18">
        <v>0</v>
      </c>
      <c r="W45" s="317">
        <v>0</v>
      </c>
      <c r="X45" s="396">
        <v>0</v>
      </c>
      <c r="Y45" s="50">
        <v>0</v>
      </c>
      <c r="Z45" s="52">
        <v>0</v>
      </c>
      <c r="AA45" s="396">
        <v>0</v>
      </c>
      <c r="AB45" s="50">
        <v>0</v>
      </c>
      <c r="AC45" s="52">
        <v>0</v>
      </c>
      <c r="AD45" s="396">
        <v>0</v>
      </c>
      <c r="AE45" s="50">
        <v>0</v>
      </c>
      <c r="AF45" s="52">
        <v>0</v>
      </c>
      <c r="AG45" s="87">
        <v>1</v>
      </c>
      <c r="AH45" s="18">
        <v>0</v>
      </c>
      <c r="AI45" s="317">
        <v>0</v>
      </c>
      <c r="AJ45" s="105">
        <v>68500</v>
      </c>
      <c r="AK45" s="139">
        <v>1666</v>
      </c>
      <c r="AL45" s="397">
        <v>9400</v>
      </c>
      <c r="AM45" s="371">
        <f t="shared" si="2"/>
        <v>57434</v>
      </c>
      <c r="AN45" s="105">
        <v>29</v>
      </c>
      <c r="AO45" s="139">
        <v>1</v>
      </c>
      <c r="AP45" s="317">
        <v>0</v>
      </c>
      <c r="AQ45" s="105">
        <v>8</v>
      </c>
      <c r="AR45" s="18">
        <v>0</v>
      </c>
      <c r="AS45" s="317">
        <v>0</v>
      </c>
      <c r="AT45" s="18">
        <v>0</v>
      </c>
      <c r="AU45" s="18">
        <v>0</v>
      </c>
      <c r="AV45" s="317">
        <v>0</v>
      </c>
      <c r="AW45" s="87">
        <v>56</v>
      </c>
      <c r="AX45" s="139">
        <v>1</v>
      </c>
      <c r="AY45" s="317">
        <v>0</v>
      </c>
      <c r="AZ45" s="87">
        <v>3</v>
      </c>
      <c r="BA45" s="18">
        <v>0</v>
      </c>
      <c r="BB45" s="317">
        <v>0</v>
      </c>
      <c r="BC45" s="18">
        <v>0</v>
      </c>
      <c r="BD45" s="18">
        <v>0</v>
      </c>
      <c r="BE45" s="317">
        <v>0</v>
      </c>
      <c r="BF45" s="18">
        <v>0</v>
      </c>
      <c r="BG45" s="18">
        <v>0</v>
      </c>
      <c r="BH45" s="317">
        <v>0</v>
      </c>
      <c r="BI45" s="18">
        <v>0</v>
      </c>
      <c r="BJ45" s="372">
        <v>0</v>
      </c>
      <c r="BK45" s="317">
        <v>0</v>
      </c>
      <c r="BL45" s="18">
        <v>0</v>
      </c>
      <c r="BM45" s="18">
        <v>0</v>
      </c>
      <c r="BN45" s="317">
        <v>0</v>
      </c>
      <c r="BO45" s="87">
        <v>53</v>
      </c>
      <c r="BP45" s="139">
        <v>1</v>
      </c>
      <c r="BQ45" s="317">
        <v>0</v>
      </c>
      <c r="BR45" s="15">
        <v>0</v>
      </c>
      <c r="BS45" s="15">
        <v>0</v>
      </c>
      <c r="BT45" s="17">
        <v>0</v>
      </c>
      <c r="BU45" s="15">
        <v>0</v>
      </c>
      <c r="BV45" s="15">
        <v>0</v>
      </c>
      <c r="BW45" s="17">
        <v>0</v>
      </c>
      <c r="BX45" s="15">
        <v>0</v>
      </c>
      <c r="BY45" s="15">
        <v>0</v>
      </c>
      <c r="BZ45" s="17">
        <v>0</v>
      </c>
      <c r="CA45" s="18">
        <v>0</v>
      </c>
      <c r="CB45" s="18">
        <v>0</v>
      </c>
      <c r="CC45" s="317">
        <v>0</v>
      </c>
      <c r="CD45" s="394">
        <v>0</v>
      </c>
      <c r="CE45" s="63">
        <v>0</v>
      </c>
      <c r="CF45" s="395">
        <v>0</v>
      </c>
      <c r="CG45" s="18">
        <v>0</v>
      </c>
      <c r="CH45" s="18">
        <v>0</v>
      </c>
      <c r="CI45" s="317">
        <v>0</v>
      </c>
      <c r="CJ45" s="105">
        <v>10</v>
      </c>
      <c r="CK45" s="18">
        <v>0</v>
      </c>
      <c r="CL45" s="317">
        <v>0</v>
      </c>
      <c r="CM45" s="105">
        <v>22</v>
      </c>
      <c r="CN45" s="18">
        <v>0</v>
      </c>
      <c r="CO45" s="317">
        <v>0</v>
      </c>
      <c r="CP45" s="396">
        <v>0</v>
      </c>
      <c r="CQ45" s="50">
        <v>0</v>
      </c>
      <c r="CR45" s="52">
        <v>0</v>
      </c>
      <c r="CS45" s="18">
        <v>0</v>
      </c>
      <c r="CT45" s="18">
        <v>0</v>
      </c>
      <c r="CU45" s="317">
        <v>0</v>
      </c>
      <c r="CV45" s="87">
        <v>1</v>
      </c>
      <c r="CW45" s="18">
        <v>0</v>
      </c>
      <c r="CX45" s="317">
        <v>0</v>
      </c>
      <c r="CY45" s="18">
        <v>0</v>
      </c>
      <c r="CZ45" s="18">
        <v>0</v>
      </c>
      <c r="DA45" s="317">
        <v>0</v>
      </c>
      <c r="DB45" s="396">
        <v>0</v>
      </c>
      <c r="DC45" s="50">
        <v>0</v>
      </c>
      <c r="DD45" s="52">
        <v>0</v>
      </c>
      <c r="DE45" s="18">
        <v>0</v>
      </c>
      <c r="DF45" s="18">
        <v>0</v>
      </c>
      <c r="DG45" s="317">
        <v>0</v>
      </c>
      <c r="DH45" s="18">
        <v>0</v>
      </c>
      <c r="DI45" s="18">
        <v>0</v>
      </c>
      <c r="DJ45" s="317">
        <v>0</v>
      </c>
      <c r="DK45" s="87">
        <v>3</v>
      </c>
      <c r="DL45" s="139">
        <v>1</v>
      </c>
      <c r="DM45" s="317">
        <v>0</v>
      </c>
      <c r="DN45" s="18">
        <v>0</v>
      </c>
      <c r="DO45" s="18">
        <v>0</v>
      </c>
      <c r="DP45" s="317">
        <v>0</v>
      </c>
      <c r="DQ45" s="87">
        <v>72</v>
      </c>
      <c r="DR45" s="18">
        <v>0</v>
      </c>
      <c r="DS45" s="317">
        <v>0</v>
      </c>
      <c r="DT45" s="87">
        <v>1</v>
      </c>
      <c r="DU45" s="18">
        <v>0</v>
      </c>
      <c r="DV45" s="317">
        <v>0</v>
      </c>
      <c r="DW45" s="396">
        <v>0</v>
      </c>
      <c r="DX45" s="50">
        <v>0</v>
      </c>
      <c r="DY45" s="52">
        <v>0</v>
      </c>
      <c r="DZ45" s="105">
        <v>18</v>
      </c>
      <c r="EA45" s="18">
        <v>0</v>
      </c>
      <c r="EB45" s="317">
        <v>0</v>
      </c>
      <c r="EC45" s="105">
        <v>34</v>
      </c>
      <c r="ED45" s="18">
        <v>0</v>
      </c>
      <c r="EE45" s="317">
        <v>0</v>
      </c>
      <c r="EF45" s="18">
        <v>0</v>
      </c>
      <c r="EG45" s="18">
        <v>0</v>
      </c>
      <c r="EH45" s="317">
        <v>0</v>
      </c>
      <c r="EI45" s="18">
        <v>0</v>
      </c>
      <c r="EJ45" s="18">
        <v>0</v>
      </c>
      <c r="EK45" s="317">
        <v>0</v>
      </c>
      <c r="EL45" s="105">
        <v>16</v>
      </c>
      <c r="EM45" s="18">
        <v>0</v>
      </c>
      <c r="EN45" s="317">
        <v>0</v>
      </c>
      <c r="EO45" s="18">
        <v>0</v>
      </c>
      <c r="EP45" s="18">
        <v>0</v>
      </c>
      <c r="EQ45" s="317">
        <v>0</v>
      </c>
      <c r="ER45" s="83"/>
      <c r="ES45" s="18">
        <v>0</v>
      </c>
      <c r="ET45" s="18">
        <v>0</v>
      </c>
      <c r="EU45" s="317">
        <v>0</v>
      </c>
      <c r="EV45" s="55"/>
      <c r="EW45" s="56"/>
    </row>
    <row r="46" spans="1:153" ht="12.75">
      <c r="A46" s="40">
        <v>43877</v>
      </c>
      <c r="B46" s="366">
        <f t="shared" ref="B46:D46" si="42">SUM(F46,I46,L46,O46,R46,X46,AG46,AJ46,AN46,AQ46,AT46,AW46,AZ46,BC46,BF46,BI46,BL46,BO46,BR46,CA46,CG46,CJ46,CM46,CP46,CV46,CY46,DE46,DH46,DK46,DN46,DQ46,DT46,DZ46,EC46,EL46)</f>
        <v>70890</v>
      </c>
      <c r="C46" s="367">
        <f t="shared" si="42"/>
        <v>1777</v>
      </c>
      <c r="D46" s="368">
        <f t="shared" si="42"/>
        <v>10900</v>
      </c>
      <c r="E46" s="369">
        <f t="shared" si="1"/>
        <v>58213</v>
      </c>
      <c r="F46" s="15">
        <v>0</v>
      </c>
      <c r="G46" s="15">
        <v>0</v>
      </c>
      <c r="H46" s="17">
        <v>0</v>
      </c>
      <c r="I46" s="15">
        <v>0</v>
      </c>
      <c r="J46" s="15">
        <v>0</v>
      </c>
      <c r="K46" s="17">
        <v>0</v>
      </c>
      <c r="L46" s="15">
        <v>0</v>
      </c>
      <c r="M46" s="15">
        <v>0</v>
      </c>
      <c r="N46" s="17">
        <v>0</v>
      </c>
      <c r="O46" s="15">
        <v>0</v>
      </c>
      <c r="P46" s="15">
        <v>0</v>
      </c>
      <c r="Q46" s="17">
        <v>0</v>
      </c>
      <c r="R46" s="15">
        <v>0</v>
      </c>
      <c r="S46" s="15">
        <v>0</v>
      </c>
      <c r="T46" s="17">
        <v>0</v>
      </c>
      <c r="U46" s="15">
        <v>0</v>
      </c>
      <c r="V46" s="15">
        <v>0</v>
      </c>
      <c r="W46" s="17">
        <v>0</v>
      </c>
      <c r="X46" s="396">
        <v>0</v>
      </c>
      <c r="Y46" s="50">
        <v>0</v>
      </c>
      <c r="Z46" s="52">
        <v>0</v>
      </c>
      <c r="AA46" s="396">
        <v>0</v>
      </c>
      <c r="AB46" s="50">
        <v>0</v>
      </c>
      <c r="AC46" s="52">
        <v>0</v>
      </c>
      <c r="AD46" s="396">
        <v>0</v>
      </c>
      <c r="AE46" s="50">
        <v>0</v>
      </c>
      <c r="AF46" s="52">
        <v>0</v>
      </c>
      <c r="AG46" s="87">
        <v>1</v>
      </c>
      <c r="AH46" s="15">
        <v>0</v>
      </c>
      <c r="AI46" s="17">
        <v>0</v>
      </c>
      <c r="AJ46" s="105">
        <v>70548</v>
      </c>
      <c r="AK46" s="139">
        <v>1772</v>
      </c>
      <c r="AL46" s="397">
        <v>10900</v>
      </c>
      <c r="AM46" s="371">
        <f t="shared" si="2"/>
        <v>57876</v>
      </c>
      <c r="AN46" s="105">
        <v>30</v>
      </c>
      <c r="AO46" s="139">
        <v>1</v>
      </c>
      <c r="AP46" s="17">
        <v>0</v>
      </c>
      <c r="AQ46" s="105">
        <v>9</v>
      </c>
      <c r="AR46" s="15">
        <v>0</v>
      </c>
      <c r="AS46" s="17">
        <v>0</v>
      </c>
      <c r="AT46" s="15">
        <v>0</v>
      </c>
      <c r="AU46" s="15">
        <v>0</v>
      </c>
      <c r="AV46" s="17">
        <v>0</v>
      </c>
      <c r="AW46" s="87">
        <v>57</v>
      </c>
      <c r="AX46" s="139">
        <v>1</v>
      </c>
      <c r="AY46" s="17">
        <v>0</v>
      </c>
      <c r="AZ46" s="87">
        <v>3</v>
      </c>
      <c r="BA46" s="15">
        <v>0</v>
      </c>
      <c r="BB46" s="17">
        <v>0</v>
      </c>
      <c r="BC46" s="18">
        <v>0</v>
      </c>
      <c r="BD46" s="15">
        <v>0</v>
      </c>
      <c r="BE46" s="17">
        <v>0</v>
      </c>
      <c r="BF46" s="15">
        <v>0</v>
      </c>
      <c r="BG46" s="15">
        <v>0</v>
      </c>
      <c r="BH46" s="17">
        <v>0</v>
      </c>
      <c r="BI46" s="15">
        <v>0</v>
      </c>
      <c r="BJ46" s="372">
        <v>0</v>
      </c>
      <c r="BK46" s="17">
        <v>0</v>
      </c>
      <c r="BL46" s="15">
        <v>0</v>
      </c>
      <c r="BM46" s="15">
        <v>0</v>
      </c>
      <c r="BN46" s="17">
        <v>0</v>
      </c>
      <c r="BO46" s="87">
        <v>59</v>
      </c>
      <c r="BP46" s="139">
        <v>1</v>
      </c>
      <c r="BQ46" s="17">
        <v>0</v>
      </c>
      <c r="BR46" s="15">
        <v>0</v>
      </c>
      <c r="BS46" s="15">
        <v>0</v>
      </c>
      <c r="BT46" s="17">
        <v>0</v>
      </c>
      <c r="BU46" s="15">
        <v>0</v>
      </c>
      <c r="BV46" s="15">
        <v>0</v>
      </c>
      <c r="BW46" s="17">
        <v>0</v>
      </c>
      <c r="BX46" s="15">
        <v>0</v>
      </c>
      <c r="BY46" s="15">
        <v>0</v>
      </c>
      <c r="BZ46" s="17">
        <v>0</v>
      </c>
      <c r="CA46" s="15">
        <v>0</v>
      </c>
      <c r="CB46" s="15">
        <v>0</v>
      </c>
      <c r="CC46" s="17">
        <v>0</v>
      </c>
      <c r="CD46" s="392">
        <v>0</v>
      </c>
      <c r="CE46" s="41">
        <v>0</v>
      </c>
      <c r="CF46" s="393">
        <v>0</v>
      </c>
      <c r="CG46" s="15">
        <v>0</v>
      </c>
      <c r="CH46" s="15">
        <v>0</v>
      </c>
      <c r="CI46" s="17">
        <v>0</v>
      </c>
      <c r="CJ46" s="105">
        <v>10</v>
      </c>
      <c r="CK46" s="15">
        <v>0</v>
      </c>
      <c r="CL46" s="17">
        <v>0</v>
      </c>
      <c r="CM46" s="105">
        <v>22</v>
      </c>
      <c r="CN46" s="15">
        <v>0</v>
      </c>
      <c r="CO46" s="17">
        <v>0</v>
      </c>
      <c r="CP46" s="396">
        <v>0</v>
      </c>
      <c r="CQ46" s="50">
        <v>0</v>
      </c>
      <c r="CR46" s="52">
        <v>0</v>
      </c>
      <c r="CS46" s="15">
        <v>0</v>
      </c>
      <c r="CT46" s="15">
        <v>0</v>
      </c>
      <c r="CU46" s="17">
        <v>0</v>
      </c>
      <c r="CV46" s="87">
        <v>1</v>
      </c>
      <c r="CW46" s="15">
        <v>0</v>
      </c>
      <c r="CX46" s="17">
        <v>0</v>
      </c>
      <c r="CY46" s="15">
        <v>0</v>
      </c>
      <c r="CZ46" s="15">
        <v>0</v>
      </c>
      <c r="DA46" s="17">
        <v>0</v>
      </c>
      <c r="DB46" s="396">
        <v>0</v>
      </c>
      <c r="DC46" s="50">
        <v>0</v>
      </c>
      <c r="DD46" s="52">
        <v>0</v>
      </c>
      <c r="DE46" s="15">
        <v>0</v>
      </c>
      <c r="DF46" s="15">
        <v>0</v>
      </c>
      <c r="DG46" s="17">
        <v>0</v>
      </c>
      <c r="DH46" s="15">
        <v>0</v>
      </c>
      <c r="DI46" s="15">
        <v>0</v>
      </c>
      <c r="DJ46" s="17">
        <v>0</v>
      </c>
      <c r="DK46" s="87">
        <v>3</v>
      </c>
      <c r="DL46" s="139">
        <v>1</v>
      </c>
      <c r="DM46" s="17">
        <v>0</v>
      </c>
      <c r="DN46" s="15">
        <v>0</v>
      </c>
      <c r="DO46" s="15">
        <v>0</v>
      </c>
      <c r="DP46" s="17">
        <v>0</v>
      </c>
      <c r="DQ46" s="87">
        <v>75</v>
      </c>
      <c r="DR46" s="15">
        <v>0</v>
      </c>
      <c r="DS46" s="17">
        <v>0</v>
      </c>
      <c r="DT46" s="87">
        <v>1</v>
      </c>
      <c r="DU46" s="15">
        <v>0</v>
      </c>
      <c r="DV46" s="17">
        <v>0</v>
      </c>
      <c r="DW46" s="396">
        <v>0</v>
      </c>
      <c r="DX46" s="50">
        <v>0</v>
      </c>
      <c r="DY46" s="52">
        <v>0</v>
      </c>
      <c r="DZ46" s="105">
        <v>20</v>
      </c>
      <c r="EA46" s="139">
        <v>1</v>
      </c>
      <c r="EB46" s="17">
        <v>0</v>
      </c>
      <c r="EC46" s="105">
        <v>35</v>
      </c>
      <c r="ED46" s="15">
        <v>0</v>
      </c>
      <c r="EE46" s="17">
        <v>0</v>
      </c>
      <c r="EF46" s="15">
        <v>0</v>
      </c>
      <c r="EG46" s="15">
        <v>0</v>
      </c>
      <c r="EH46" s="17">
        <v>0</v>
      </c>
      <c r="EI46" s="15">
        <v>0</v>
      </c>
      <c r="EJ46" s="15">
        <v>0</v>
      </c>
      <c r="EK46" s="17">
        <v>0</v>
      </c>
      <c r="EL46" s="105">
        <v>16</v>
      </c>
      <c r="EM46" s="15">
        <v>0</v>
      </c>
      <c r="EN46" s="17">
        <v>0</v>
      </c>
      <c r="EO46" s="15">
        <v>0</v>
      </c>
      <c r="EP46" s="15">
        <v>0</v>
      </c>
      <c r="EQ46" s="17">
        <v>0</v>
      </c>
      <c r="ER46" s="54"/>
      <c r="ES46" s="15">
        <v>0</v>
      </c>
      <c r="ET46" s="15">
        <v>0</v>
      </c>
      <c r="EU46" s="17">
        <v>0</v>
      </c>
      <c r="EV46" s="55" t="s">
        <v>1071</v>
      </c>
      <c r="EW46" s="77" t="s">
        <v>205</v>
      </c>
    </row>
    <row r="47" spans="1:153" ht="12.75">
      <c r="A47" s="40">
        <v>43878</v>
      </c>
      <c r="B47" s="366">
        <f t="shared" ref="B47:D47" si="43">SUM(F47,I47,L47,O47,R47,X47,AG47,AJ47,AN47,AQ47,AT47,AW47,AZ47,BC47,BF47,BI47,BL47,BO47,BR47,CA47,CG47,CJ47,CM47,CP47,CV47,CY47,DE47,DH47,DK47,DN47,DQ47,DT47,DZ47,EC47,EL47)</f>
        <v>72792</v>
      </c>
      <c r="C47" s="367">
        <f t="shared" si="43"/>
        <v>1875</v>
      </c>
      <c r="D47" s="368">
        <f t="shared" si="43"/>
        <v>12600</v>
      </c>
      <c r="E47" s="369">
        <f t="shared" si="1"/>
        <v>58317</v>
      </c>
      <c r="F47" s="18">
        <v>0</v>
      </c>
      <c r="G47" s="18">
        <v>0</v>
      </c>
      <c r="H47" s="317">
        <v>0</v>
      </c>
      <c r="I47" s="18">
        <v>0</v>
      </c>
      <c r="J47" s="18">
        <v>0</v>
      </c>
      <c r="K47" s="317">
        <v>0</v>
      </c>
      <c r="L47" s="18">
        <v>0</v>
      </c>
      <c r="M47" s="18">
        <v>0</v>
      </c>
      <c r="N47" s="317">
        <v>0</v>
      </c>
      <c r="O47" s="18">
        <v>0</v>
      </c>
      <c r="P47" s="18">
        <v>0</v>
      </c>
      <c r="Q47" s="317">
        <v>0</v>
      </c>
      <c r="R47" s="18">
        <v>0</v>
      </c>
      <c r="S47" s="18">
        <v>0</v>
      </c>
      <c r="T47" s="317">
        <v>0</v>
      </c>
      <c r="U47" s="18">
        <v>0</v>
      </c>
      <c r="V47" s="18">
        <v>0</v>
      </c>
      <c r="W47" s="317">
        <v>0</v>
      </c>
      <c r="X47" s="396">
        <v>0</v>
      </c>
      <c r="Y47" s="50">
        <v>0</v>
      </c>
      <c r="Z47" s="52">
        <v>0</v>
      </c>
      <c r="AA47" s="396">
        <v>0</v>
      </c>
      <c r="AB47" s="50">
        <v>0</v>
      </c>
      <c r="AC47" s="52">
        <v>0</v>
      </c>
      <c r="AD47" s="396">
        <v>0</v>
      </c>
      <c r="AE47" s="50">
        <v>0</v>
      </c>
      <c r="AF47" s="52">
        <v>0</v>
      </c>
      <c r="AG47" s="87">
        <v>1</v>
      </c>
      <c r="AH47" s="18">
        <v>0</v>
      </c>
      <c r="AI47" s="317">
        <v>0</v>
      </c>
      <c r="AJ47" s="105">
        <v>72436</v>
      </c>
      <c r="AK47" s="139">
        <v>1870</v>
      </c>
      <c r="AL47" s="397">
        <v>12600</v>
      </c>
      <c r="AM47" s="371">
        <f t="shared" si="2"/>
        <v>57966</v>
      </c>
      <c r="AN47" s="105">
        <v>31</v>
      </c>
      <c r="AO47" s="139">
        <v>1</v>
      </c>
      <c r="AP47" s="317">
        <v>0</v>
      </c>
      <c r="AQ47" s="105">
        <v>9</v>
      </c>
      <c r="AR47" s="18">
        <v>0</v>
      </c>
      <c r="AS47" s="317">
        <v>0</v>
      </c>
      <c r="AT47" s="18">
        <v>0</v>
      </c>
      <c r="AU47" s="18">
        <v>0</v>
      </c>
      <c r="AV47" s="317">
        <v>0</v>
      </c>
      <c r="AW47" s="87">
        <v>60</v>
      </c>
      <c r="AX47" s="139">
        <v>1</v>
      </c>
      <c r="AY47" s="317">
        <v>0</v>
      </c>
      <c r="AZ47" s="87">
        <v>3</v>
      </c>
      <c r="BA47" s="18">
        <v>0</v>
      </c>
      <c r="BB47" s="317">
        <v>0</v>
      </c>
      <c r="BC47" s="18">
        <v>0</v>
      </c>
      <c r="BD47" s="18">
        <v>0</v>
      </c>
      <c r="BE47" s="317">
        <v>0</v>
      </c>
      <c r="BF47" s="18">
        <v>0</v>
      </c>
      <c r="BG47" s="18">
        <v>0</v>
      </c>
      <c r="BH47" s="317">
        <v>0</v>
      </c>
      <c r="BI47" s="18">
        <v>0</v>
      </c>
      <c r="BJ47" s="372">
        <v>0</v>
      </c>
      <c r="BK47" s="317">
        <v>0</v>
      </c>
      <c r="BL47" s="18">
        <v>0</v>
      </c>
      <c r="BM47" s="18">
        <v>0</v>
      </c>
      <c r="BN47" s="317">
        <v>0</v>
      </c>
      <c r="BO47" s="87">
        <v>65</v>
      </c>
      <c r="BP47" s="139">
        <v>1</v>
      </c>
      <c r="BQ47" s="317">
        <v>0</v>
      </c>
      <c r="BR47" s="15">
        <v>0</v>
      </c>
      <c r="BS47" s="15">
        <v>0</v>
      </c>
      <c r="BT47" s="17">
        <v>0</v>
      </c>
      <c r="BU47" s="15">
        <v>0</v>
      </c>
      <c r="BV47" s="15">
        <v>0</v>
      </c>
      <c r="BW47" s="17">
        <v>0</v>
      </c>
      <c r="BX47" s="15">
        <v>0</v>
      </c>
      <c r="BY47" s="15">
        <v>0</v>
      </c>
      <c r="BZ47" s="17">
        <v>0</v>
      </c>
      <c r="CA47" s="18">
        <v>0</v>
      </c>
      <c r="CB47" s="18">
        <v>0</v>
      </c>
      <c r="CC47" s="317">
        <v>0</v>
      </c>
      <c r="CD47" s="394">
        <v>0</v>
      </c>
      <c r="CE47" s="63">
        <v>0</v>
      </c>
      <c r="CF47" s="395">
        <v>0</v>
      </c>
      <c r="CG47" s="18">
        <v>0</v>
      </c>
      <c r="CH47" s="18">
        <v>0</v>
      </c>
      <c r="CI47" s="317">
        <v>0</v>
      </c>
      <c r="CJ47" s="105">
        <v>10</v>
      </c>
      <c r="CK47" s="18">
        <v>0</v>
      </c>
      <c r="CL47" s="317">
        <v>0</v>
      </c>
      <c r="CM47" s="105">
        <v>22</v>
      </c>
      <c r="CN47" s="18">
        <v>0</v>
      </c>
      <c r="CO47" s="317">
        <v>0</v>
      </c>
      <c r="CP47" s="396">
        <v>0</v>
      </c>
      <c r="CQ47" s="50">
        <v>0</v>
      </c>
      <c r="CR47" s="52">
        <v>0</v>
      </c>
      <c r="CS47" s="18">
        <v>0</v>
      </c>
      <c r="CT47" s="18">
        <v>0</v>
      </c>
      <c r="CU47" s="317">
        <v>0</v>
      </c>
      <c r="CV47" s="87">
        <v>1</v>
      </c>
      <c r="CW47" s="18">
        <v>0</v>
      </c>
      <c r="CX47" s="317">
        <v>0</v>
      </c>
      <c r="CY47" s="18">
        <v>0</v>
      </c>
      <c r="CZ47" s="18">
        <v>0</v>
      </c>
      <c r="DA47" s="317">
        <v>0</v>
      </c>
      <c r="DB47" s="396">
        <v>0</v>
      </c>
      <c r="DC47" s="50">
        <v>0</v>
      </c>
      <c r="DD47" s="52">
        <v>0</v>
      </c>
      <c r="DE47" s="18">
        <v>0</v>
      </c>
      <c r="DF47" s="18">
        <v>0</v>
      </c>
      <c r="DG47" s="317">
        <v>0</v>
      </c>
      <c r="DH47" s="18">
        <v>0</v>
      </c>
      <c r="DI47" s="18">
        <v>0</v>
      </c>
      <c r="DJ47" s="317">
        <v>0</v>
      </c>
      <c r="DK47" s="87">
        <v>3</v>
      </c>
      <c r="DL47" s="139">
        <v>1</v>
      </c>
      <c r="DM47" s="317">
        <v>0</v>
      </c>
      <c r="DN47" s="18">
        <v>0</v>
      </c>
      <c r="DO47" s="18">
        <v>0</v>
      </c>
      <c r="DP47" s="317">
        <v>0</v>
      </c>
      <c r="DQ47" s="87">
        <v>77</v>
      </c>
      <c r="DR47" s="18">
        <v>0</v>
      </c>
      <c r="DS47" s="317">
        <v>0</v>
      </c>
      <c r="DT47" s="87">
        <v>1</v>
      </c>
      <c r="DU47" s="18">
        <v>0</v>
      </c>
      <c r="DV47" s="317">
        <v>0</v>
      </c>
      <c r="DW47" s="396">
        <v>0</v>
      </c>
      <c r="DX47" s="50">
        <v>0</v>
      </c>
      <c r="DY47" s="52">
        <v>0</v>
      </c>
      <c r="DZ47" s="105">
        <v>22</v>
      </c>
      <c r="EA47" s="139">
        <v>1</v>
      </c>
      <c r="EB47" s="317">
        <v>0</v>
      </c>
      <c r="EC47" s="105">
        <v>35</v>
      </c>
      <c r="ED47" s="18">
        <v>0</v>
      </c>
      <c r="EE47" s="317">
        <v>0</v>
      </c>
      <c r="EF47" s="18">
        <v>0</v>
      </c>
      <c r="EG47" s="18">
        <v>0</v>
      </c>
      <c r="EH47" s="317">
        <v>0</v>
      </c>
      <c r="EI47" s="18">
        <v>0</v>
      </c>
      <c r="EJ47" s="18">
        <v>0</v>
      </c>
      <c r="EK47" s="317">
        <v>0</v>
      </c>
      <c r="EL47" s="105">
        <v>16</v>
      </c>
      <c r="EM47" s="18">
        <v>0</v>
      </c>
      <c r="EN47" s="317">
        <v>0</v>
      </c>
      <c r="EO47" s="18">
        <v>0</v>
      </c>
      <c r="EP47" s="18">
        <v>0</v>
      </c>
      <c r="EQ47" s="317">
        <v>0</v>
      </c>
      <c r="ER47" s="83"/>
      <c r="ES47" s="18">
        <v>0</v>
      </c>
      <c r="ET47" s="18">
        <v>0</v>
      </c>
      <c r="EU47" s="317">
        <v>0</v>
      </c>
      <c r="EV47" s="55"/>
      <c r="EW47" s="77" t="s">
        <v>207</v>
      </c>
    </row>
    <row r="48" spans="1:153" ht="12.75">
      <c r="A48" s="40">
        <v>43879</v>
      </c>
      <c r="B48" s="366">
        <f t="shared" ref="B48:D48" si="44">SUM(F48,I48,L48,O48,R48,X48,AG48,AJ48,AN48,AQ48,AT48,AW48,AZ48,BC48,BF48,BI48,BL48,BO48,BR48,CA48,CG48,CJ48,CM48,CP48,CV48,CY48,DE48,DH48,DK48,DN48,DQ48,DT48,DZ48,EC48,EL48)</f>
        <v>74575</v>
      </c>
      <c r="C48" s="367">
        <f t="shared" si="44"/>
        <v>2011</v>
      </c>
      <c r="D48" s="368">
        <f t="shared" si="44"/>
        <v>14400</v>
      </c>
      <c r="E48" s="369">
        <f t="shared" si="1"/>
        <v>58164</v>
      </c>
      <c r="F48" s="15">
        <v>0</v>
      </c>
      <c r="G48" s="15">
        <v>0</v>
      </c>
      <c r="H48" s="17">
        <v>0</v>
      </c>
      <c r="I48" s="15">
        <v>0</v>
      </c>
      <c r="J48" s="15">
        <v>0</v>
      </c>
      <c r="K48" s="17">
        <v>0</v>
      </c>
      <c r="L48" s="15">
        <v>0</v>
      </c>
      <c r="M48" s="15">
        <v>0</v>
      </c>
      <c r="N48" s="17">
        <v>0</v>
      </c>
      <c r="O48" s="15">
        <v>0</v>
      </c>
      <c r="P48" s="15">
        <v>0</v>
      </c>
      <c r="Q48" s="17">
        <v>0</v>
      </c>
      <c r="R48" s="15">
        <v>0</v>
      </c>
      <c r="S48" s="15">
        <v>0</v>
      </c>
      <c r="T48" s="17">
        <v>0</v>
      </c>
      <c r="U48" s="15">
        <v>0</v>
      </c>
      <c r="V48" s="15">
        <v>0</v>
      </c>
      <c r="W48" s="17">
        <v>0</v>
      </c>
      <c r="X48" s="396">
        <v>0</v>
      </c>
      <c r="Y48" s="50">
        <v>0</v>
      </c>
      <c r="Z48" s="52">
        <v>0</v>
      </c>
      <c r="AA48" s="396">
        <v>0</v>
      </c>
      <c r="AB48" s="50">
        <v>0</v>
      </c>
      <c r="AC48" s="52">
        <v>0</v>
      </c>
      <c r="AD48" s="396">
        <v>0</v>
      </c>
      <c r="AE48" s="50">
        <v>0</v>
      </c>
      <c r="AF48" s="52">
        <v>0</v>
      </c>
      <c r="AG48" s="87">
        <v>1</v>
      </c>
      <c r="AH48" s="15">
        <v>0</v>
      </c>
      <c r="AI48" s="17">
        <v>0</v>
      </c>
      <c r="AJ48" s="105">
        <v>74185</v>
      </c>
      <c r="AK48" s="139">
        <v>2006</v>
      </c>
      <c r="AL48" s="397">
        <v>14400</v>
      </c>
      <c r="AM48" s="371">
        <f t="shared" si="2"/>
        <v>57779</v>
      </c>
      <c r="AN48" s="105">
        <v>51</v>
      </c>
      <c r="AO48" s="139">
        <v>1</v>
      </c>
      <c r="AP48" s="17">
        <v>0</v>
      </c>
      <c r="AQ48" s="105">
        <v>9</v>
      </c>
      <c r="AR48" s="15">
        <v>0</v>
      </c>
      <c r="AS48" s="17">
        <v>0</v>
      </c>
      <c r="AT48" s="15">
        <v>0</v>
      </c>
      <c r="AU48" s="15">
        <v>0</v>
      </c>
      <c r="AV48" s="17">
        <v>0</v>
      </c>
      <c r="AW48" s="87">
        <v>62</v>
      </c>
      <c r="AX48" s="139">
        <v>1</v>
      </c>
      <c r="AY48" s="17">
        <v>0</v>
      </c>
      <c r="AZ48" s="87">
        <v>3</v>
      </c>
      <c r="BA48" s="15">
        <v>0</v>
      </c>
      <c r="BB48" s="17">
        <v>0</v>
      </c>
      <c r="BC48" s="18">
        <v>0</v>
      </c>
      <c r="BD48" s="15">
        <v>0</v>
      </c>
      <c r="BE48" s="17">
        <v>0</v>
      </c>
      <c r="BF48" s="15">
        <v>0</v>
      </c>
      <c r="BG48" s="15">
        <v>0</v>
      </c>
      <c r="BH48" s="17">
        <v>0</v>
      </c>
      <c r="BI48" s="15">
        <v>0</v>
      </c>
      <c r="BJ48" s="372">
        <v>0</v>
      </c>
      <c r="BK48" s="17">
        <v>0</v>
      </c>
      <c r="BL48" s="15">
        <v>0</v>
      </c>
      <c r="BM48" s="15">
        <v>0</v>
      </c>
      <c r="BN48" s="17">
        <v>0</v>
      </c>
      <c r="BO48" s="87">
        <v>73</v>
      </c>
      <c r="BP48" s="139">
        <v>1</v>
      </c>
      <c r="BQ48" s="17">
        <v>0</v>
      </c>
      <c r="BR48" s="15">
        <v>0</v>
      </c>
      <c r="BS48" s="15">
        <v>0</v>
      </c>
      <c r="BT48" s="17">
        <v>0</v>
      </c>
      <c r="BU48" s="15">
        <v>0</v>
      </c>
      <c r="BV48" s="15">
        <v>0</v>
      </c>
      <c r="BW48" s="17">
        <v>0</v>
      </c>
      <c r="BX48" s="15">
        <v>0</v>
      </c>
      <c r="BY48" s="15">
        <v>0</v>
      </c>
      <c r="BZ48" s="17">
        <v>0</v>
      </c>
      <c r="CA48" s="15">
        <v>0</v>
      </c>
      <c r="CB48" s="15">
        <v>0</v>
      </c>
      <c r="CC48" s="17">
        <v>0</v>
      </c>
      <c r="CD48" s="392">
        <v>0</v>
      </c>
      <c r="CE48" s="41">
        <v>0</v>
      </c>
      <c r="CF48" s="393">
        <v>0</v>
      </c>
      <c r="CG48" s="15">
        <v>0</v>
      </c>
      <c r="CH48" s="15">
        <v>0</v>
      </c>
      <c r="CI48" s="17">
        <v>0</v>
      </c>
      <c r="CJ48" s="105">
        <v>10</v>
      </c>
      <c r="CK48" s="15">
        <v>0</v>
      </c>
      <c r="CL48" s="17">
        <v>0</v>
      </c>
      <c r="CM48" s="105">
        <v>22</v>
      </c>
      <c r="CN48" s="15">
        <v>0</v>
      </c>
      <c r="CO48" s="17">
        <v>0</v>
      </c>
      <c r="CP48" s="396">
        <v>0</v>
      </c>
      <c r="CQ48" s="50">
        <v>0</v>
      </c>
      <c r="CR48" s="52">
        <v>0</v>
      </c>
      <c r="CS48" s="15">
        <v>0</v>
      </c>
      <c r="CT48" s="15">
        <v>0</v>
      </c>
      <c r="CU48" s="17">
        <v>0</v>
      </c>
      <c r="CV48" s="87">
        <v>1</v>
      </c>
      <c r="CW48" s="15">
        <v>0</v>
      </c>
      <c r="CX48" s="17">
        <v>0</v>
      </c>
      <c r="CY48" s="15">
        <v>0</v>
      </c>
      <c r="CZ48" s="15">
        <v>0</v>
      </c>
      <c r="DA48" s="17">
        <v>0</v>
      </c>
      <c r="DB48" s="396">
        <v>0</v>
      </c>
      <c r="DC48" s="50">
        <v>0</v>
      </c>
      <c r="DD48" s="52">
        <v>0</v>
      </c>
      <c r="DE48" s="15">
        <v>0</v>
      </c>
      <c r="DF48" s="15">
        <v>0</v>
      </c>
      <c r="DG48" s="17">
        <v>0</v>
      </c>
      <c r="DH48" s="15">
        <v>0</v>
      </c>
      <c r="DI48" s="15">
        <v>0</v>
      </c>
      <c r="DJ48" s="17">
        <v>0</v>
      </c>
      <c r="DK48" s="87">
        <v>3</v>
      </c>
      <c r="DL48" s="139">
        <v>1</v>
      </c>
      <c r="DM48" s="17">
        <v>0</v>
      </c>
      <c r="DN48" s="15">
        <v>0</v>
      </c>
      <c r="DO48" s="15">
        <v>0</v>
      </c>
      <c r="DP48" s="17">
        <v>0</v>
      </c>
      <c r="DQ48" s="87">
        <v>81</v>
      </c>
      <c r="DR48" s="15">
        <v>0</v>
      </c>
      <c r="DS48" s="17">
        <v>0</v>
      </c>
      <c r="DT48" s="87">
        <v>1</v>
      </c>
      <c r="DU48" s="15">
        <v>0</v>
      </c>
      <c r="DV48" s="17">
        <v>0</v>
      </c>
      <c r="DW48" s="396">
        <v>0</v>
      </c>
      <c r="DX48" s="50">
        <v>0</v>
      </c>
      <c r="DY48" s="52">
        <v>0</v>
      </c>
      <c r="DZ48" s="105">
        <v>22</v>
      </c>
      <c r="EA48" s="139">
        <v>1</v>
      </c>
      <c r="EB48" s="17">
        <v>0</v>
      </c>
      <c r="EC48" s="105">
        <v>35</v>
      </c>
      <c r="ED48" s="15">
        <v>0</v>
      </c>
      <c r="EE48" s="17">
        <v>0</v>
      </c>
      <c r="EF48" s="15">
        <v>0</v>
      </c>
      <c r="EG48" s="15">
        <v>0</v>
      </c>
      <c r="EH48" s="17">
        <v>0</v>
      </c>
      <c r="EI48" s="15">
        <v>0</v>
      </c>
      <c r="EJ48" s="15">
        <v>0</v>
      </c>
      <c r="EK48" s="17">
        <v>0</v>
      </c>
      <c r="EL48" s="105">
        <v>16</v>
      </c>
      <c r="EM48" s="15">
        <v>0</v>
      </c>
      <c r="EN48" s="17">
        <v>0</v>
      </c>
      <c r="EO48" s="15">
        <v>0</v>
      </c>
      <c r="EP48" s="15">
        <v>0</v>
      </c>
      <c r="EQ48" s="17">
        <v>0</v>
      </c>
      <c r="ER48" s="54"/>
      <c r="ES48" s="15">
        <v>0</v>
      </c>
      <c r="ET48" s="15">
        <v>0</v>
      </c>
      <c r="EU48" s="17">
        <v>0</v>
      </c>
      <c r="EV48" s="55"/>
      <c r="EW48" s="56"/>
    </row>
    <row r="49" spans="1:153" ht="12.75">
      <c r="A49" s="93">
        <v>43880</v>
      </c>
      <c r="B49" s="366">
        <f t="shared" ref="B49:D49" si="45">SUM(F49,I49,L49,O49,R49,X49,AG49,AJ49,AN49,AQ49,AT49,AW49,AZ49,BC49,BF49,BI49,BL49,BO49,BR49,CA49,CG49,CJ49,CM49,CP49,CV49,CY49,DE49,DH49,DK49,DN49,DQ49,DT49,DZ49,EC49,EL49)</f>
        <v>74988</v>
      </c>
      <c r="C49" s="367">
        <f t="shared" si="45"/>
        <v>2129</v>
      </c>
      <c r="D49" s="368">
        <f t="shared" si="45"/>
        <v>16100</v>
      </c>
      <c r="E49" s="369">
        <f t="shared" si="1"/>
        <v>56759</v>
      </c>
      <c r="F49" s="18">
        <v>0</v>
      </c>
      <c r="G49" s="18">
        <v>0</v>
      </c>
      <c r="H49" s="317">
        <v>0</v>
      </c>
      <c r="I49" s="18">
        <v>0</v>
      </c>
      <c r="J49" s="18">
        <v>0</v>
      </c>
      <c r="K49" s="317">
        <v>0</v>
      </c>
      <c r="L49" s="18">
        <v>0</v>
      </c>
      <c r="M49" s="18">
        <v>0</v>
      </c>
      <c r="N49" s="317">
        <v>0</v>
      </c>
      <c r="O49" s="18">
        <v>0</v>
      </c>
      <c r="P49" s="18">
        <v>0</v>
      </c>
      <c r="Q49" s="317">
        <v>0</v>
      </c>
      <c r="R49" s="18">
        <v>0</v>
      </c>
      <c r="S49" s="18">
        <v>0</v>
      </c>
      <c r="T49" s="317">
        <v>0</v>
      </c>
      <c r="U49" s="18">
        <v>0</v>
      </c>
      <c r="V49" s="18">
        <v>0</v>
      </c>
      <c r="W49" s="317">
        <v>0</v>
      </c>
      <c r="X49" s="396">
        <v>0</v>
      </c>
      <c r="Y49" s="50">
        <v>0</v>
      </c>
      <c r="Z49" s="52">
        <v>0</v>
      </c>
      <c r="AA49" s="396">
        <v>0</v>
      </c>
      <c r="AB49" s="50">
        <v>0</v>
      </c>
      <c r="AC49" s="52">
        <v>0</v>
      </c>
      <c r="AD49" s="396">
        <v>0</v>
      </c>
      <c r="AE49" s="50">
        <v>0</v>
      </c>
      <c r="AF49" s="52">
        <v>0</v>
      </c>
      <c r="AG49" s="87">
        <v>1</v>
      </c>
      <c r="AH49" s="18">
        <v>0</v>
      </c>
      <c r="AI49" s="317">
        <v>0</v>
      </c>
      <c r="AJ49" s="105">
        <v>74576</v>
      </c>
      <c r="AK49" s="139">
        <v>2121</v>
      </c>
      <c r="AL49" s="397">
        <v>16100</v>
      </c>
      <c r="AM49" s="371">
        <f t="shared" si="2"/>
        <v>56355</v>
      </c>
      <c r="AN49" s="105">
        <v>51</v>
      </c>
      <c r="AO49" s="139">
        <v>1</v>
      </c>
      <c r="AP49" s="317">
        <v>0</v>
      </c>
      <c r="AQ49" s="105">
        <v>9</v>
      </c>
      <c r="AR49" s="18">
        <v>0</v>
      </c>
      <c r="AS49" s="317">
        <v>0</v>
      </c>
      <c r="AT49" s="18">
        <v>0</v>
      </c>
      <c r="AU49" s="18">
        <v>0</v>
      </c>
      <c r="AV49" s="317">
        <v>0</v>
      </c>
      <c r="AW49" s="87">
        <v>65</v>
      </c>
      <c r="AX49" s="139">
        <v>2</v>
      </c>
      <c r="AY49" s="317">
        <v>0</v>
      </c>
      <c r="AZ49" s="87">
        <v>3</v>
      </c>
      <c r="BA49" s="18">
        <v>0</v>
      </c>
      <c r="BB49" s="317">
        <v>0</v>
      </c>
      <c r="BC49" s="18">
        <v>0</v>
      </c>
      <c r="BD49" s="18">
        <v>0</v>
      </c>
      <c r="BE49" s="317">
        <v>0</v>
      </c>
      <c r="BF49" s="18">
        <v>0</v>
      </c>
      <c r="BG49" s="18">
        <v>0</v>
      </c>
      <c r="BH49" s="317">
        <v>0</v>
      </c>
      <c r="BI49" s="105">
        <v>2</v>
      </c>
      <c r="BJ49" s="139">
        <v>2</v>
      </c>
      <c r="BK49" s="317">
        <v>0</v>
      </c>
      <c r="BL49" s="18">
        <v>0</v>
      </c>
      <c r="BM49" s="18">
        <v>0</v>
      </c>
      <c r="BN49" s="317">
        <v>0</v>
      </c>
      <c r="BO49" s="87">
        <v>85</v>
      </c>
      <c r="BP49" s="139">
        <v>1</v>
      </c>
      <c r="BQ49" s="317">
        <v>0</v>
      </c>
      <c r="BR49" s="15">
        <v>0</v>
      </c>
      <c r="BS49" s="15">
        <v>0</v>
      </c>
      <c r="BT49" s="17">
        <v>0</v>
      </c>
      <c r="BU49" s="15">
        <v>0</v>
      </c>
      <c r="BV49" s="15">
        <v>0</v>
      </c>
      <c r="BW49" s="17">
        <v>0</v>
      </c>
      <c r="BX49" s="15">
        <v>0</v>
      </c>
      <c r="BY49" s="15">
        <v>0</v>
      </c>
      <c r="BZ49" s="17">
        <v>0</v>
      </c>
      <c r="CA49" s="18">
        <v>0</v>
      </c>
      <c r="CB49" s="18">
        <v>0</v>
      </c>
      <c r="CC49" s="317">
        <v>0</v>
      </c>
      <c r="CD49" s="394">
        <v>0</v>
      </c>
      <c r="CE49" s="63">
        <v>0</v>
      </c>
      <c r="CF49" s="395">
        <v>0</v>
      </c>
      <c r="CG49" s="18">
        <v>0</v>
      </c>
      <c r="CH49" s="18">
        <v>0</v>
      </c>
      <c r="CI49" s="317">
        <v>0</v>
      </c>
      <c r="CJ49" s="105">
        <v>10</v>
      </c>
      <c r="CK49" s="18">
        <v>0</v>
      </c>
      <c r="CL49" s="317">
        <v>0</v>
      </c>
      <c r="CM49" s="105">
        <v>22</v>
      </c>
      <c r="CN49" s="18">
        <v>0</v>
      </c>
      <c r="CO49" s="317">
        <v>0</v>
      </c>
      <c r="CP49" s="396">
        <v>0</v>
      </c>
      <c r="CQ49" s="50">
        <v>0</v>
      </c>
      <c r="CR49" s="52">
        <v>0</v>
      </c>
      <c r="CS49" s="18">
        <v>0</v>
      </c>
      <c r="CT49" s="18">
        <v>0</v>
      </c>
      <c r="CU49" s="317">
        <v>0</v>
      </c>
      <c r="CV49" s="87">
        <v>1</v>
      </c>
      <c r="CW49" s="18">
        <v>0</v>
      </c>
      <c r="CX49" s="317">
        <v>0</v>
      </c>
      <c r="CY49" s="18">
        <v>0</v>
      </c>
      <c r="CZ49" s="18">
        <v>0</v>
      </c>
      <c r="DA49" s="317">
        <v>0</v>
      </c>
      <c r="DB49" s="396">
        <v>0</v>
      </c>
      <c r="DC49" s="50">
        <v>0</v>
      </c>
      <c r="DD49" s="52">
        <v>0</v>
      </c>
      <c r="DE49" s="18">
        <v>0</v>
      </c>
      <c r="DF49" s="18">
        <v>0</v>
      </c>
      <c r="DG49" s="317">
        <v>0</v>
      </c>
      <c r="DH49" s="18">
        <v>0</v>
      </c>
      <c r="DI49" s="18">
        <v>0</v>
      </c>
      <c r="DJ49" s="317">
        <v>0</v>
      </c>
      <c r="DK49" s="87">
        <v>3</v>
      </c>
      <c r="DL49" s="139">
        <v>1</v>
      </c>
      <c r="DM49" s="317">
        <v>0</v>
      </c>
      <c r="DN49" s="18">
        <v>0</v>
      </c>
      <c r="DO49" s="18">
        <v>0</v>
      </c>
      <c r="DP49" s="317">
        <v>0</v>
      </c>
      <c r="DQ49" s="87">
        <v>84</v>
      </c>
      <c r="DR49" s="18">
        <v>0</v>
      </c>
      <c r="DS49" s="317">
        <v>0</v>
      </c>
      <c r="DT49" s="87">
        <v>1</v>
      </c>
      <c r="DU49" s="18">
        <v>0</v>
      </c>
      <c r="DV49" s="317">
        <v>0</v>
      </c>
      <c r="DW49" s="396">
        <v>0</v>
      </c>
      <c r="DX49" s="50">
        <v>0</v>
      </c>
      <c r="DY49" s="52">
        <v>0</v>
      </c>
      <c r="DZ49" s="105">
        <v>24</v>
      </c>
      <c r="EA49" s="139">
        <v>1</v>
      </c>
      <c r="EB49" s="317">
        <v>0</v>
      </c>
      <c r="EC49" s="105">
        <v>35</v>
      </c>
      <c r="ED49" s="18">
        <v>0</v>
      </c>
      <c r="EE49" s="317">
        <v>0</v>
      </c>
      <c r="EF49" s="18">
        <v>0</v>
      </c>
      <c r="EG49" s="18">
        <v>0</v>
      </c>
      <c r="EH49" s="317">
        <v>0</v>
      </c>
      <c r="EI49" s="18">
        <v>0</v>
      </c>
      <c r="EJ49" s="18">
        <v>0</v>
      </c>
      <c r="EK49" s="317">
        <v>0</v>
      </c>
      <c r="EL49" s="105">
        <v>16</v>
      </c>
      <c r="EM49" s="18">
        <v>0</v>
      </c>
      <c r="EN49" s="317">
        <v>0</v>
      </c>
      <c r="EO49" s="18">
        <v>0</v>
      </c>
      <c r="EP49" s="18">
        <v>0</v>
      </c>
      <c r="EQ49" s="317">
        <v>0</v>
      </c>
      <c r="ER49" s="83"/>
      <c r="ES49" s="18">
        <v>0</v>
      </c>
      <c r="ET49" s="18">
        <v>0</v>
      </c>
      <c r="EU49" s="317">
        <v>0</v>
      </c>
      <c r="EV49" s="55" t="s">
        <v>1074</v>
      </c>
      <c r="EW49" s="76" t="s">
        <v>1075</v>
      </c>
    </row>
    <row r="50" spans="1:153" ht="12.75">
      <c r="A50" s="40">
        <v>43881</v>
      </c>
      <c r="B50" s="366">
        <f t="shared" ref="B50:D50" si="46">SUM(F50,I50,L50,O50,R50,X50,AG50,AJ50,AN50,AQ50,AT50,AW50,AZ50,BC50,BF50,BI50,BL50,BO50,BR50,CA50,CG50,CJ50,CM50,CP50,CV50,CY50,DE50,DH50,DK50,DN50,DQ50,DT50,DZ50,EC50,EL50)</f>
        <v>76047</v>
      </c>
      <c r="C50" s="367">
        <f t="shared" si="46"/>
        <v>2247</v>
      </c>
      <c r="D50" s="368">
        <f t="shared" si="46"/>
        <v>18200</v>
      </c>
      <c r="E50" s="369">
        <f t="shared" si="1"/>
        <v>55600</v>
      </c>
      <c r="F50" s="15">
        <v>0</v>
      </c>
      <c r="G50" s="15">
        <v>0</v>
      </c>
      <c r="H50" s="17">
        <v>0</v>
      </c>
      <c r="I50" s="15">
        <v>0</v>
      </c>
      <c r="J50" s="15">
        <v>0</v>
      </c>
      <c r="K50" s="17">
        <v>0</v>
      </c>
      <c r="L50" s="15">
        <v>0</v>
      </c>
      <c r="M50" s="15">
        <v>0</v>
      </c>
      <c r="N50" s="17">
        <v>0</v>
      </c>
      <c r="O50" s="15">
        <v>0</v>
      </c>
      <c r="P50" s="15">
        <v>0</v>
      </c>
      <c r="Q50" s="17">
        <v>0</v>
      </c>
      <c r="R50" s="15">
        <v>0</v>
      </c>
      <c r="S50" s="15">
        <v>0</v>
      </c>
      <c r="T50" s="17">
        <v>0</v>
      </c>
      <c r="U50" s="15">
        <v>0</v>
      </c>
      <c r="V50" s="15">
        <v>0</v>
      </c>
      <c r="W50" s="17">
        <v>0</v>
      </c>
      <c r="X50" s="396">
        <v>0</v>
      </c>
      <c r="Y50" s="50">
        <v>0</v>
      </c>
      <c r="Z50" s="52">
        <v>0</v>
      </c>
      <c r="AA50" s="396">
        <v>0</v>
      </c>
      <c r="AB50" s="50">
        <v>0</v>
      </c>
      <c r="AC50" s="52">
        <v>0</v>
      </c>
      <c r="AD50" s="396">
        <v>0</v>
      </c>
      <c r="AE50" s="50">
        <v>0</v>
      </c>
      <c r="AF50" s="52">
        <v>0</v>
      </c>
      <c r="AG50" s="87">
        <v>1</v>
      </c>
      <c r="AH50" s="15">
        <v>0</v>
      </c>
      <c r="AI50" s="17">
        <v>0</v>
      </c>
      <c r="AJ50" s="105">
        <v>75465</v>
      </c>
      <c r="AK50" s="139">
        <v>2239</v>
      </c>
      <c r="AL50" s="397">
        <v>18200</v>
      </c>
      <c r="AM50" s="371">
        <f t="shared" si="2"/>
        <v>55026</v>
      </c>
      <c r="AN50" s="105">
        <v>204</v>
      </c>
      <c r="AO50" s="139">
        <v>1</v>
      </c>
      <c r="AP50" s="17">
        <v>0</v>
      </c>
      <c r="AQ50" s="105">
        <v>9</v>
      </c>
      <c r="AR50" s="15">
        <v>0</v>
      </c>
      <c r="AS50" s="17">
        <v>0</v>
      </c>
      <c r="AT50" s="15">
        <v>0</v>
      </c>
      <c r="AU50" s="15">
        <v>0</v>
      </c>
      <c r="AV50" s="17">
        <v>0</v>
      </c>
      <c r="AW50" s="87">
        <v>68</v>
      </c>
      <c r="AX50" s="139">
        <v>2</v>
      </c>
      <c r="AY50" s="17">
        <v>0</v>
      </c>
      <c r="AZ50" s="87">
        <v>3</v>
      </c>
      <c r="BA50" s="15">
        <v>0</v>
      </c>
      <c r="BB50" s="17">
        <v>0</v>
      </c>
      <c r="BC50" s="18">
        <v>0</v>
      </c>
      <c r="BD50" s="15">
        <v>0</v>
      </c>
      <c r="BE50" s="17">
        <v>0</v>
      </c>
      <c r="BF50" s="15">
        <v>0</v>
      </c>
      <c r="BG50" s="15">
        <v>0</v>
      </c>
      <c r="BH50" s="17">
        <v>0</v>
      </c>
      <c r="BI50" s="105">
        <v>5</v>
      </c>
      <c r="BJ50" s="139">
        <v>2</v>
      </c>
      <c r="BK50" s="17">
        <v>0</v>
      </c>
      <c r="BL50" s="15">
        <v>0</v>
      </c>
      <c r="BM50" s="15">
        <v>0</v>
      </c>
      <c r="BN50" s="17">
        <v>0</v>
      </c>
      <c r="BO50" s="87">
        <v>93</v>
      </c>
      <c r="BP50" s="139">
        <v>1</v>
      </c>
      <c r="BQ50" s="17">
        <v>0</v>
      </c>
      <c r="BR50" s="15">
        <v>0</v>
      </c>
      <c r="BS50" s="15">
        <v>0</v>
      </c>
      <c r="BT50" s="17">
        <v>0</v>
      </c>
      <c r="BU50" s="15">
        <v>0</v>
      </c>
      <c r="BV50" s="15">
        <v>0</v>
      </c>
      <c r="BW50" s="17">
        <v>0</v>
      </c>
      <c r="BX50" s="15">
        <v>0</v>
      </c>
      <c r="BY50" s="15">
        <v>0</v>
      </c>
      <c r="BZ50" s="17">
        <v>0</v>
      </c>
      <c r="CA50" s="15">
        <v>0</v>
      </c>
      <c r="CB50" s="15">
        <v>0</v>
      </c>
      <c r="CC50" s="17">
        <v>0</v>
      </c>
      <c r="CD50" s="392">
        <v>0</v>
      </c>
      <c r="CE50" s="41">
        <v>0</v>
      </c>
      <c r="CF50" s="393">
        <v>0</v>
      </c>
      <c r="CG50" s="15">
        <v>0</v>
      </c>
      <c r="CH50" s="15">
        <v>0</v>
      </c>
      <c r="CI50" s="17">
        <v>0</v>
      </c>
      <c r="CJ50" s="105">
        <v>10</v>
      </c>
      <c r="CK50" s="15">
        <v>0</v>
      </c>
      <c r="CL50" s="17">
        <v>0</v>
      </c>
      <c r="CM50" s="105">
        <v>22</v>
      </c>
      <c r="CN50" s="15">
        <v>0</v>
      </c>
      <c r="CO50" s="17">
        <v>0</v>
      </c>
      <c r="CP50" s="396">
        <v>0</v>
      </c>
      <c r="CQ50" s="50">
        <v>0</v>
      </c>
      <c r="CR50" s="52">
        <v>0</v>
      </c>
      <c r="CS50" s="15">
        <v>0</v>
      </c>
      <c r="CT50" s="15">
        <v>0</v>
      </c>
      <c r="CU50" s="17">
        <v>0</v>
      </c>
      <c r="CV50" s="87">
        <v>1</v>
      </c>
      <c r="CW50" s="15">
        <v>0</v>
      </c>
      <c r="CX50" s="17">
        <v>0</v>
      </c>
      <c r="CY50" s="15">
        <v>0</v>
      </c>
      <c r="CZ50" s="15">
        <v>0</v>
      </c>
      <c r="DA50" s="17">
        <v>0</v>
      </c>
      <c r="DB50" s="396">
        <v>0</v>
      </c>
      <c r="DC50" s="50">
        <v>0</v>
      </c>
      <c r="DD50" s="52">
        <v>0</v>
      </c>
      <c r="DE50" s="15">
        <v>0</v>
      </c>
      <c r="DF50" s="15">
        <v>0</v>
      </c>
      <c r="DG50" s="17">
        <v>0</v>
      </c>
      <c r="DH50" s="15">
        <v>0</v>
      </c>
      <c r="DI50" s="15">
        <v>0</v>
      </c>
      <c r="DJ50" s="17">
        <v>0</v>
      </c>
      <c r="DK50" s="87">
        <v>3</v>
      </c>
      <c r="DL50" s="139">
        <v>1</v>
      </c>
      <c r="DM50" s="17">
        <v>0</v>
      </c>
      <c r="DN50" s="15">
        <v>0</v>
      </c>
      <c r="DO50" s="15">
        <v>0</v>
      </c>
      <c r="DP50" s="17">
        <v>0</v>
      </c>
      <c r="DQ50" s="87">
        <v>85</v>
      </c>
      <c r="DR50" s="15">
        <v>0</v>
      </c>
      <c r="DS50" s="17">
        <v>0</v>
      </c>
      <c r="DT50" s="87">
        <v>1</v>
      </c>
      <c r="DU50" s="15">
        <v>0</v>
      </c>
      <c r="DV50" s="17">
        <v>0</v>
      </c>
      <c r="DW50" s="396">
        <v>0</v>
      </c>
      <c r="DX50" s="50">
        <v>0</v>
      </c>
      <c r="DY50" s="52">
        <v>0</v>
      </c>
      <c r="DZ50" s="105">
        <v>26</v>
      </c>
      <c r="EA50" s="139">
        <v>1</v>
      </c>
      <c r="EB50" s="17">
        <v>0</v>
      </c>
      <c r="EC50" s="105">
        <v>35</v>
      </c>
      <c r="ED50" s="15">
        <v>0</v>
      </c>
      <c r="EE50" s="17">
        <v>0</v>
      </c>
      <c r="EF50" s="15">
        <v>0</v>
      </c>
      <c r="EG50" s="15">
        <v>0</v>
      </c>
      <c r="EH50" s="17">
        <v>0</v>
      </c>
      <c r="EI50" s="15">
        <v>0</v>
      </c>
      <c r="EJ50" s="15">
        <v>0</v>
      </c>
      <c r="EK50" s="17">
        <v>0</v>
      </c>
      <c r="EL50" s="105">
        <v>16</v>
      </c>
      <c r="EM50" s="15">
        <v>0</v>
      </c>
      <c r="EN50" s="17">
        <v>0</v>
      </c>
      <c r="EO50" s="15">
        <v>0</v>
      </c>
      <c r="EP50" s="15">
        <v>0</v>
      </c>
      <c r="EQ50" s="17">
        <v>0</v>
      </c>
      <c r="ER50" s="54"/>
      <c r="ES50" s="15">
        <v>0</v>
      </c>
      <c r="ET50" s="15">
        <v>0</v>
      </c>
      <c r="EU50" s="17">
        <v>0</v>
      </c>
      <c r="EV50" s="55"/>
      <c r="EW50" s="77" t="s">
        <v>1076</v>
      </c>
    </row>
    <row r="51" spans="1:153" ht="12.75">
      <c r="A51" s="40">
        <v>43882</v>
      </c>
      <c r="B51" s="366">
        <f t="shared" ref="B51:D51" si="47">SUM(F51,I51,L51,O51,R51,X51,AG51,AJ51,AN51,AQ51,AT51,AW51,AZ51,BC51,BF51,BI51,BL51,BO51,BR51,CA51,CG51,CJ51,CM51,CP51,CV51,CY51,DE51,DH51,DK51,DN51,DQ51,DT51,DZ51,EC51,EL51)</f>
        <v>77042</v>
      </c>
      <c r="C51" s="367">
        <f t="shared" si="47"/>
        <v>2359</v>
      </c>
      <c r="D51" s="368">
        <f t="shared" si="47"/>
        <v>18900</v>
      </c>
      <c r="E51" s="369">
        <f t="shared" si="1"/>
        <v>55783</v>
      </c>
      <c r="F51" s="18">
        <v>0</v>
      </c>
      <c r="G51" s="18">
        <v>0</v>
      </c>
      <c r="H51" s="317">
        <v>0</v>
      </c>
      <c r="I51" s="18">
        <v>0</v>
      </c>
      <c r="J51" s="18">
        <v>0</v>
      </c>
      <c r="K51" s="317">
        <v>0</v>
      </c>
      <c r="L51" s="18">
        <v>0</v>
      </c>
      <c r="M51" s="18">
        <v>0</v>
      </c>
      <c r="N51" s="317">
        <v>0</v>
      </c>
      <c r="O51" s="18">
        <v>0</v>
      </c>
      <c r="P51" s="18">
        <v>0</v>
      </c>
      <c r="Q51" s="317">
        <v>0</v>
      </c>
      <c r="R51" s="18">
        <v>0</v>
      </c>
      <c r="S51" s="18">
        <v>0</v>
      </c>
      <c r="T51" s="317">
        <v>0</v>
      </c>
      <c r="U51" s="18">
        <v>0</v>
      </c>
      <c r="V51" s="18">
        <v>0</v>
      </c>
      <c r="W51" s="317">
        <v>0</v>
      </c>
      <c r="X51" s="396">
        <v>0</v>
      </c>
      <c r="Y51" s="50">
        <v>0</v>
      </c>
      <c r="Z51" s="52">
        <v>0</v>
      </c>
      <c r="AA51" s="396">
        <v>0</v>
      </c>
      <c r="AB51" s="50">
        <v>0</v>
      </c>
      <c r="AC51" s="52">
        <v>0</v>
      </c>
      <c r="AD51" s="396">
        <v>0</v>
      </c>
      <c r="AE51" s="50">
        <v>0</v>
      </c>
      <c r="AF51" s="52">
        <v>0</v>
      </c>
      <c r="AG51" s="87">
        <v>1</v>
      </c>
      <c r="AH51" s="18">
        <v>0</v>
      </c>
      <c r="AI51" s="317">
        <v>0</v>
      </c>
      <c r="AJ51" s="105">
        <v>76288</v>
      </c>
      <c r="AK51" s="139">
        <v>2348</v>
      </c>
      <c r="AL51" s="397">
        <v>18900</v>
      </c>
      <c r="AM51" s="371">
        <f t="shared" si="2"/>
        <v>55040</v>
      </c>
      <c r="AN51" s="105">
        <v>346</v>
      </c>
      <c r="AO51" s="139">
        <v>2</v>
      </c>
      <c r="AP51" s="317">
        <v>0</v>
      </c>
      <c r="AQ51" s="105">
        <v>11</v>
      </c>
      <c r="AR51" s="18">
        <v>0</v>
      </c>
      <c r="AS51" s="317">
        <v>0</v>
      </c>
      <c r="AT51" s="18">
        <v>0</v>
      </c>
      <c r="AU51" s="18">
        <v>0</v>
      </c>
      <c r="AV51" s="317">
        <v>0</v>
      </c>
      <c r="AW51" s="87">
        <v>68</v>
      </c>
      <c r="AX51" s="139">
        <v>2</v>
      </c>
      <c r="AY51" s="317">
        <v>0</v>
      </c>
      <c r="AZ51" s="87">
        <v>3</v>
      </c>
      <c r="BA51" s="18">
        <v>0</v>
      </c>
      <c r="BB51" s="317">
        <v>0</v>
      </c>
      <c r="BC51" s="18">
        <v>0</v>
      </c>
      <c r="BD51" s="18">
        <v>0</v>
      </c>
      <c r="BE51" s="317">
        <v>0</v>
      </c>
      <c r="BF51" s="18">
        <v>0</v>
      </c>
      <c r="BG51" s="18">
        <v>0</v>
      </c>
      <c r="BH51" s="317">
        <v>0</v>
      </c>
      <c r="BI51" s="105">
        <v>18</v>
      </c>
      <c r="BJ51" s="139">
        <v>4</v>
      </c>
      <c r="BK51" s="317">
        <v>0</v>
      </c>
      <c r="BL51" s="105">
        <v>1</v>
      </c>
      <c r="BM51" s="18">
        <v>0</v>
      </c>
      <c r="BN51" s="317">
        <v>0</v>
      </c>
      <c r="BO51" s="87">
        <v>105</v>
      </c>
      <c r="BP51" s="139">
        <v>1</v>
      </c>
      <c r="BQ51" s="317">
        <v>0</v>
      </c>
      <c r="BR51" s="15">
        <v>0</v>
      </c>
      <c r="BS51" s="15">
        <v>0</v>
      </c>
      <c r="BT51" s="17">
        <v>0</v>
      </c>
      <c r="BU51" s="15">
        <v>0</v>
      </c>
      <c r="BV51" s="15">
        <v>0</v>
      </c>
      <c r="BW51" s="17">
        <v>0</v>
      </c>
      <c r="BX51" s="15">
        <v>0</v>
      </c>
      <c r="BY51" s="15">
        <v>0</v>
      </c>
      <c r="BZ51" s="17">
        <v>0</v>
      </c>
      <c r="CA51" s="18">
        <v>0</v>
      </c>
      <c r="CB51" s="18">
        <v>0</v>
      </c>
      <c r="CC51" s="317">
        <v>0</v>
      </c>
      <c r="CD51" s="394">
        <v>0</v>
      </c>
      <c r="CE51" s="63">
        <v>0</v>
      </c>
      <c r="CF51" s="395">
        <v>0</v>
      </c>
      <c r="CG51" s="105">
        <v>1</v>
      </c>
      <c r="CH51" s="18">
        <v>0</v>
      </c>
      <c r="CI51" s="317">
        <v>0</v>
      </c>
      <c r="CJ51" s="105">
        <v>10</v>
      </c>
      <c r="CK51" s="18">
        <v>0</v>
      </c>
      <c r="CL51" s="317">
        <v>0</v>
      </c>
      <c r="CM51" s="105">
        <v>22</v>
      </c>
      <c r="CN51" s="18">
        <v>0</v>
      </c>
      <c r="CO51" s="317">
        <v>0</v>
      </c>
      <c r="CP51" s="396">
        <v>0</v>
      </c>
      <c r="CQ51" s="50">
        <v>0</v>
      </c>
      <c r="CR51" s="52">
        <v>0</v>
      </c>
      <c r="CS51" s="18">
        <v>0</v>
      </c>
      <c r="CT51" s="18">
        <v>0</v>
      </c>
      <c r="CU51" s="317">
        <v>0</v>
      </c>
      <c r="CV51" s="87">
        <v>1</v>
      </c>
      <c r="CW51" s="18">
        <v>0</v>
      </c>
      <c r="CX51" s="317">
        <v>0</v>
      </c>
      <c r="CY51" s="18">
        <v>0</v>
      </c>
      <c r="CZ51" s="18">
        <v>0</v>
      </c>
      <c r="DA51" s="317">
        <v>0</v>
      </c>
      <c r="DB51" s="396">
        <v>0</v>
      </c>
      <c r="DC51" s="50">
        <v>0</v>
      </c>
      <c r="DD51" s="52">
        <v>0</v>
      </c>
      <c r="DE51" s="18">
        <v>0</v>
      </c>
      <c r="DF51" s="18">
        <v>0</v>
      </c>
      <c r="DG51" s="317">
        <v>0</v>
      </c>
      <c r="DH51" s="18">
        <v>0</v>
      </c>
      <c r="DI51" s="18">
        <v>0</v>
      </c>
      <c r="DJ51" s="317">
        <v>0</v>
      </c>
      <c r="DK51" s="87">
        <v>3</v>
      </c>
      <c r="DL51" s="139">
        <v>1</v>
      </c>
      <c r="DM51" s="317">
        <v>0</v>
      </c>
      <c r="DN51" s="18">
        <v>0</v>
      </c>
      <c r="DO51" s="18">
        <v>0</v>
      </c>
      <c r="DP51" s="317">
        <v>0</v>
      </c>
      <c r="DQ51" s="87">
        <v>86</v>
      </c>
      <c r="DR51" s="18">
        <v>0</v>
      </c>
      <c r="DS51" s="317">
        <v>0</v>
      </c>
      <c r="DT51" s="87">
        <v>1</v>
      </c>
      <c r="DU51" s="18">
        <v>0</v>
      </c>
      <c r="DV51" s="317">
        <v>0</v>
      </c>
      <c r="DW51" s="396">
        <v>0</v>
      </c>
      <c r="DX51" s="50">
        <v>0</v>
      </c>
      <c r="DY51" s="52">
        <v>0</v>
      </c>
      <c r="DZ51" s="105">
        <v>26</v>
      </c>
      <c r="EA51" s="139">
        <v>1</v>
      </c>
      <c r="EB51" s="317">
        <v>0</v>
      </c>
      <c r="EC51" s="105">
        <v>35</v>
      </c>
      <c r="ED51" s="18">
        <v>0</v>
      </c>
      <c r="EE51" s="317">
        <v>0</v>
      </c>
      <c r="EF51" s="18">
        <v>0</v>
      </c>
      <c r="EG51" s="18">
        <v>0</v>
      </c>
      <c r="EH51" s="317">
        <v>0</v>
      </c>
      <c r="EI51" s="18">
        <v>0</v>
      </c>
      <c r="EJ51" s="18">
        <v>0</v>
      </c>
      <c r="EK51" s="317">
        <v>0</v>
      </c>
      <c r="EL51" s="105">
        <v>16</v>
      </c>
      <c r="EM51" s="18">
        <v>0</v>
      </c>
      <c r="EN51" s="317">
        <v>0</v>
      </c>
      <c r="EO51" s="18">
        <v>0</v>
      </c>
      <c r="EP51" s="18">
        <v>0</v>
      </c>
      <c r="EQ51" s="317">
        <v>0</v>
      </c>
      <c r="ER51" s="83"/>
      <c r="ES51" s="18">
        <v>0</v>
      </c>
      <c r="ET51" s="18">
        <v>0</v>
      </c>
      <c r="EU51" s="317">
        <v>0</v>
      </c>
      <c r="EV51" s="55" t="s">
        <v>210</v>
      </c>
      <c r="EW51" s="77" t="s">
        <v>211</v>
      </c>
    </row>
    <row r="52" spans="1:153" ht="12.75">
      <c r="A52" s="40">
        <v>43883</v>
      </c>
      <c r="B52" s="366">
        <f t="shared" ref="B52:D52" si="48">SUM(F52,I52,L52,O52,R52,X52,AG52,AJ52,AN52,AQ52,AT52,AW52,AZ52,BC52,BF52,BI52,BL52,BO52,BR52,CA52,CG52,CJ52,CM52,CP52,CV52,CY52,DE52,DH52,DK52,DN52,DQ52,DT52,DZ52,EC52,EL52)</f>
        <v>77990</v>
      </c>
      <c r="C52" s="367">
        <f t="shared" si="48"/>
        <v>2460</v>
      </c>
      <c r="D52" s="368">
        <f t="shared" si="48"/>
        <v>22900</v>
      </c>
      <c r="E52" s="369">
        <f t="shared" si="1"/>
        <v>52630</v>
      </c>
      <c r="F52" s="15">
        <v>0</v>
      </c>
      <c r="G52" s="15">
        <v>0</v>
      </c>
      <c r="H52" s="17">
        <v>0</v>
      </c>
      <c r="I52" s="15">
        <v>0</v>
      </c>
      <c r="J52" s="15">
        <v>0</v>
      </c>
      <c r="K52" s="17">
        <v>0</v>
      </c>
      <c r="L52" s="15">
        <v>0</v>
      </c>
      <c r="M52" s="15">
        <v>0</v>
      </c>
      <c r="N52" s="17">
        <v>0</v>
      </c>
      <c r="O52" s="15">
        <v>0</v>
      </c>
      <c r="P52" s="15">
        <v>0</v>
      </c>
      <c r="Q52" s="17">
        <v>0</v>
      </c>
      <c r="R52" s="15">
        <v>0</v>
      </c>
      <c r="S52" s="15">
        <v>0</v>
      </c>
      <c r="T52" s="17">
        <v>0</v>
      </c>
      <c r="U52" s="15">
        <v>0</v>
      </c>
      <c r="V52" s="15">
        <v>0</v>
      </c>
      <c r="W52" s="17">
        <v>0</v>
      </c>
      <c r="X52" s="396">
        <v>0</v>
      </c>
      <c r="Y52" s="50">
        <v>0</v>
      </c>
      <c r="Z52" s="52">
        <v>0</v>
      </c>
      <c r="AA52" s="396">
        <v>0</v>
      </c>
      <c r="AB52" s="50">
        <v>0</v>
      </c>
      <c r="AC52" s="52">
        <v>0</v>
      </c>
      <c r="AD52" s="396">
        <v>0</v>
      </c>
      <c r="AE52" s="50">
        <v>0</v>
      </c>
      <c r="AF52" s="52">
        <v>0</v>
      </c>
      <c r="AG52" s="87">
        <v>1</v>
      </c>
      <c r="AH52" s="15">
        <v>0</v>
      </c>
      <c r="AI52" s="17">
        <v>0</v>
      </c>
      <c r="AJ52" s="105">
        <v>76936</v>
      </c>
      <c r="AK52" s="139">
        <v>2445</v>
      </c>
      <c r="AL52" s="397">
        <v>22900</v>
      </c>
      <c r="AM52" s="371">
        <f t="shared" si="2"/>
        <v>51591</v>
      </c>
      <c r="AN52" s="105">
        <v>602</v>
      </c>
      <c r="AO52" s="139">
        <v>5</v>
      </c>
      <c r="AP52" s="17">
        <v>0</v>
      </c>
      <c r="AQ52" s="105">
        <v>13</v>
      </c>
      <c r="AR52" s="15">
        <v>0</v>
      </c>
      <c r="AS52" s="17">
        <v>0</v>
      </c>
      <c r="AT52" s="15">
        <v>0</v>
      </c>
      <c r="AU52" s="15">
        <v>0</v>
      </c>
      <c r="AV52" s="17">
        <v>0</v>
      </c>
      <c r="AW52" s="87">
        <v>70</v>
      </c>
      <c r="AX52" s="139">
        <v>2</v>
      </c>
      <c r="AY52" s="17">
        <v>0</v>
      </c>
      <c r="AZ52" s="87">
        <v>3</v>
      </c>
      <c r="BA52" s="15">
        <v>0</v>
      </c>
      <c r="BB52" s="17">
        <v>0</v>
      </c>
      <c r="BC52" s="18">
        <v>0</v>
      </c>
      <c r="BD52" s="15">
        <v>0</v>
      </c>
      <c r="BE52" s="17">
        <v>0</v>
      </c>
      <c r="BF52" s="15">
        <v>0</v>
      </c>
      <c r="BG52" s="15">
        <v>0</v>
      </c>
      <c r="BH52" s="17">
        <v>0</v>
      </c>
      <c r="BI52" s="105">
        <v>28</v>
      </c>
      <c r="BJ52" s="139">
        <v>5</v>
      </c>
      <c r="BK52" s="17">
        <v>0</v>
      </c>
      <c r="BL52" s="105">
        <v>1</v>
      </c>
      <c r="BM52" s="15">
        <v>0</v>
      </c>
      <c r="BN52" s="17">
        <v>0</v>
      </c>
      <c r="BO52" s="87">
        <v>132</v>
      </c>
      <c r="BP52" s="139">
        <v>1</v>
      </c>
      <c r="BQ52" s="17">
        <v>0</v>
      </c>
      <c r="BR52" s="15">
        <v>0</v>
      </c>
      <c r="BS52" s="15">
        <v>0</v>
      </c>
      <c r="BT52" s="17">
        <v>0</v>
      </c>
      <c r="BU52" s="15">
        <v>0</v>
      </c>
      <c r="BV52" s="15">
        <v>0</v>
      </c>
      <c r="BW52" s="17">
        <v>0</v>
      </c>
      <c r="BX52" s="15">
        <v>0</v>
      </c>
      <c r="BY52" s="15">
        <v>0</v>
      </c>
      <c r="BZ52" s="17">
        <v>0</v>
      </c>
      <c r="CA52" s="15">
        <v>0</v>
      </c>
      <c r="CB52" s="15">
        <v>0</v>
      </c>
      <c r="CC52" s="17">
        <v>0</v>
      </c>
      <c r="CD52" s="392">
        <v>0</v>
      </c>
      <c r="CE52" s="41">
        <v>0</v>
      </c>
      <c r="CF52" s="393">
        <v>0</v>
      </c>
      <c r="CG52" s="105">
        <v>1</v>
      </c>
      <c r="CH52" s="15">
        <v>0</v>
      </c>
      <c r="CI52" s="17">
        <v>0</v>
      </c>
      <c r="CJ52" s="105">
        <v>10</v>
      </c>
      <c r="CK52" s="15">
        <v>0</v>
      </c>
      <c r="CL52" s="17">
        <v>0</v>
      </c>
      <c r="CM52" s="105">
        <v>22</v>
      </c>
      <c r="CN52" s="15">
        <v>0</v>
      </c>
      <c r="CO52" s="17">
        <v>0</v>
      </c>
      <c r="CP52" s="396">
        <v>0</v>
      </c>
      <c r="CQ52" s="50">
        <v>0</v>
      </c>
      <c r="CR52" s="52">
        <v>0</v>
      </c>
      <c r="CS52" s="15">
        <v>0</v>
      </c>
      <c r="CT52" s="15">
        <v>0</v>
      </c>
      <c r="CU52" s="17">
        <v>0</v>
      </c>
      <c r="CV52" s="87">
        <v>1</v>
      </c>
      <c r="CW52" s="15">
        <v>0</v>
      </c>
      <c r="CX52" s="17">
        <v>0</v>
      </c>
      <c r="CY52" s="15">
        <v>0</v>
      </c>
      <c r="CZ52" s="15">
        <v>0</v>
      </c>
      <c r="DA52" s="17">
        <v>0</v>
      </c>
      <c r="DB52" s="396">
        <v>0</v>
      </c>
      <c r="DC52" s="50">
        <v>0</v>
      </c>
      <c r="DD52" s="52">
        <v>0</v>
      </c>
      <c r="DE52" s="15">
        <v>0</v>
      </c>
      <c r="DF52" s="15">
        <v>0</v>
      </c>
      <c r="DG52" s="17">
        <v>0</v>
      </c>
      <c r="DH52" s="15">
        <v>0</v>
      </c>
      <c r="DI52" s="15">
        <v>0</v>
      </c>
      <c r="DJ52" s="17">
        <v>0</v>
      </c>
      <c r="DK52" s="87">
        <v>3</v>
      </c>
      <c r="DL52" s="139">
        <v>1</v>
      </c>
      <c r="DM52" s="17">
        <v>0</v>
      </c>
      <c r="DN52" s="15">
        <v>0</v>
      </c>
      <c r="DO52" s="15">
        <v>0</v>
      </c>
      <c r="DP52" s="17">
        <v>0</v>
      </c>
      <c r="DQ52" s="87">
        <v>89</v>
      </c>
      <c r="DR52" s="15">
        <v>0</v>
      </c>
      <c r="DS52" s="17">
        <v>0</v>
      </c>
      <c r="DT52" s="87">
        <v>1</v>
      </c>
      <c r="DU52" s="15">
        <v>0</v>
      </c>
      <c r="DV52" s="17">
        <v>0</v>
      </c>
      <c r="DW52" s="396">
        <v>0</v>
      </c>
      <c r="DX52" s="50">
        <v>0</v>
      </c>
      <c r="DY52" s="52">
        <v>0</v>
      </c>
      <c r="DZ52" s="105">
        <v>26</v>
      </c>
      <c r="EA52" s="139">
        <v>1</v>
      </c>
      <c r="EB52" s="17">
        <v>0</v>
      </c>
      <c r="EC52" s="105">
        <v>35</v>
      </c>
      <c r="ED52" s="15">
        <v>0</v>
      </c>
      <c r="EE52" s="17">
        <v>0</v>
      </c>
      <c r="EF52" s="15">
        <v>0</v>
      </c>
      <c r="EG52" s="15">
        <v>0</v>
      </c>
      <c r="EH52" s="17">
        <v>0</v>
      </c>
      <c r="EI52" s="15">
        <v>0</v>
      </c>
      <c r="EJ52" s="15">
        <v>0</v>
      </c>
      <c r="EK52" s="17">
        <v>0</v>
      </c>
      <c r="EL52" s="105">
        <v>16</v>
      </c>
      <c r="EM52" s="15">
        <v>0</v>
      </c>
      <c r="EN52" s="17">
        <v>0</v>
      </c>
      <c r="EO52" s="15">
        <v>0</v>
      </c>
      <c r="EP52" s="15">
        <v>0</v>
      </c>
      <c r="EQ52" s="17">
        <v>0</v>
      </c>
      <c r="ER52" s="54"/>
      <c r="ES52" s="15">
        <v>0</v>
      </c>
      <c r="ET52" s="15">
        <v>0</v>
      </c>
      <c r="EU52" s="17">
        <v>0</v>
      </c>
      <c r="EV52" s="55"/>
      <c r="EW52" s="77" t="s">
        <v>273</v>
      </c>
    </row>
    <row r="53" spans="1:153" ht="12.75">
      <c r="A53" s="93">
        <v>43884</v>
      </c>
      <c r="B53" s="366">
        <f t="shared" ref="B53:D53" si="49">SUM(F53,I53,L53,O53,R53,X53,AG53,AJ53,AN53,AQ53,AT53,AW53,AZ53,BC53,BF53,BI53,BL53,BO53,BR53,CA53,CG53,CJ53,CM53,CP53,CV53,CY53,DE53,DH53,DK53,DN53,DQ53,DT53,DZ53,EC53,EL53)</f>
        <v>78399</v>
      </c>
      <c r="C53" s="367">
        <f t="shared" si="49"/>
        <v>2615</v>
      </c>
      <c r="D53" s="368">
        <f t="shared" si="49"/>
        <v>23400</v>
      </c>
      <c r="E53" s="369">
        <f t="shared" si="1"/>
        <v>52384</v>
      </c>
      <c r="F53" s="18">
        <v>0</v>
      </c>
      <c r="G53" s="18">
        <v>0</v>
      </c>
      <c r="H53" s="317">
        <v>0</v>
      </c>
      <c r="I53" s="18">
        <v>0</v>
      </c>
      <c r="J53" s="18">
        <v>0</v>
      </c>
      <c r="K53" s="317">
        <v>0</v>
      </c>
      <c r="L53" s="18">
        <v>0</v>
      </c>
      <c r="M53" s="18">
        <v>0</v>
      </c>
      <c r="N53" s="317">
        <v>0</v>
      </c>
      <c r="O53" s="18">
        <v>0</v>
      </c>
      <c r="P53" s="18">
        <v>0</v>
      </c>
      <c r="Q53" s="317">
        <v>0</v>
      </c>
      <c r="R53" s="18">
        <v>0</v>
      </c>
      <c r="S53" s="18">
        <v>0</v>
      </c>
      <c r="T53" s="317">
        <v>0</v>
      </c>
      <c r="U53" s="18">
        <v>0</v>
      </c>
      <c r="V53" s="18">
        <v>0</v>
      </c>
      <c r="W53" s="317">
        <v>0</v>
      </c>
      <c r="X53" s="396">
        <v>0</v>
      </c>
      <c r="Y53" s="50">
        <v>0</v>
      </c>
      <c r="Z53" s="52">
        <v>0</v>
      </c>
      <c r="AA53" s="396">
        <v>0</v>
      </c>
      <c r="AB53" s="50">
        <v>0</v>
      </c>
      <c r="AC53" s="52">
        <v>0</v>
      </c>
      <c r="AD53" s="396">
        <v>0</v>
      </c>
      <c r="AE53" s="50">
        <v>0</v>
      </c>
      <c r="AF53" s="52">
        <v>0</v>
      </c>
      <c r="AG53" s="87">
        <v>1</v>
      </c>
      <c r="AH53" s="18">
        <v>0</v>
      </c>
      <c r="AI53" s="317">
        <v>0</v>
      </c>
      <c r="AJ53" s="105">
        <v>77150</v>
      </c>
      <c r="AK53" s="139">
        <v>2595</v>
      </c>
      <c r="AL53" s="397">
        <v>23400</v>
      </c>
      <c r="AM53" s="371">
        <f t="shared" si="2"/>
        <v>51155</v>
      </c>
      <c r="AN53" s="105">
        <v>763</v>
      </c>
      <c r="AO53" s="139">
        <v>7</v>
      </c>
      <c r="AP53" s="317">
        <v>0</v>
      </c>
      <c r="AQ53" s="105">
        <v>13</v>
      </c>
      <c r="AR53" s="18">
        <v>0</v>
      </c>
      <c r="AS53" s="317">
        <v>0</v>
      </c>
      <c r="AT53" s="18">
        <v>0</v>
      </c>
      <c r="AU53" s="18">
        <v>0</v>
      </c>
      <c r="AV53" s="317">
        <v>0</v>
      </c>
      <c r="AW53" s="87">
        <v>74</v>
      </c>
      <c r="AX53" s="139">
        <v>2</v>
      </c>
      <c r="AY53" s="317">
        <v>0</v>
      </c>
      <c r="AZ53" s="87">
        <v>3</v>
      </c>
      <c r="BA53" s="18">
        <v>0</v>
      </c>
      <c r="BB53" s="317">
        <v>0</v>
      </c>
      <c r="BC53" s="18">
        <v>0</v>
      </c>
      <c r="BD53" s="18">
        <v>0</v>
      </c>
      <c r="BE53" s="317">
        <v>0</v>
      </c>
      <c r="BF53" s="18">
        <v>0</v>
      </c>
      <c r="BG53" s="18">
        <v>0</v>
      </c>
      <c r="BH53" s="317">
        <v>0</v>
      </c>
      <c r="BI53" s="105">
        <v>43</v>
      </c>
      <c r="BJ53" s="139">
        <v>8</v>
      </c>
      <c r="BK53" s="317">
        <v>0</v>
      </c>
      <c r="BL53" s="105">
        <v>1</v>
      </c>
      <c r="BM53" s="18">
        <v>0</v>
      </c>
      <c r="BN53" s="317">
        <v>0</v>
      </c>
      <c r="BO53" s="87">
        <v>144</v>
      </c>
      <c r="BP53" s="139">
        <v>1</v>
      </c>
      <c r="BQ53" s="317">
        <v>0</v>
      </c>
      <c r="BR53" s="15">
        <v>0</v>
      </c>
      <c r="BS53" s="15">
        <v>0</v>
      </c>
      <c r="BT53" s="17">
        <v>0</v>
      </c>
      <c r="BU53" s="15">
        <v>0</v>
      </c>
      <c r="BV53" s="15">
        <v>0</v>
      </c>
      <c r="BW53" s="17">
        <v>0</v>
      </c>
      <c r="BX53" s="15">
        <v>0</v>
      </c>
      <c r="BY53" s="15">
        <v>0</v>
      </c>
      <c r="BZ53" s="17">
        <v>0</v>
      </c>
      <c r="CA53" s="105">
        <v>3</v>
      </c>
      <c r="CB53" s="18">
        <v>0</v>
      </c>
      <c r="CC53" s="317">
        <v>0</v>
      </c>
      <c r="CD53" s="394">
        <v>0</v>
      </c>
      <c r="CE53" s="63">
        <v>0</v>
      </c>
      <c r="CF53" s="395">
        <v>0</v>
      </c>
      <c r="CG53" s="105">
        <v>1</v>
      </c>
      <c r="CH53" s="18">
        <v>0</v>
      </c>
      <c r="CI53" s="317">
        <v>0</v>
      </c>
      <c r="CJ53" s="105">
        <v>10</v>
      </c>
      <c r="CK53" s="18">
        <v>0</v>
      </c>
      <c r="CL53" s="317">
        <v>0</v>
      </c>
      <c r="CM53" s="105">
        <v>22</v>
      </c>
      <c r="CN53" s="18">
        <v>0</v>
      </c>
      <c r="CO53" s="317">
        <v>0</v>
      </c>
      <c r="CP53" s="396">
        <v>0</v>
      </c>
      <c r="CQ53" s="50">
        <v>0</v>
      </c>
      <c r="CR53" s="52">
        <v>0</v>
      </c>
      <c r="CS53" s="18">
        <v>0</v>
      </c>
      <c r="CT53" s="18">
        <v>0</v>
      </c>
      <c r="CU53" s="317">
        <v>0</v>
      </c>
      <c r="CV53" s="87">
        <v>1</v>
      </c>
      <c r="CW53" s="18">
        <v>0</v>
      </c>
      <c r="CX53" s="317">
        <v>0</v>
      </c>
      <c r="CY53" s="18">
        <v>0</v>
      </c>
      <c r="CZ53" s="18">
        <v>0</v>
      </c>
      <c r="DA53" s="317">
        <v>0</v>
      </c>
      <c r="DB53" s="396">
        <v>0</v>
      </c>
      <c r="DC53" s="50">
        <v>0</v>
      </c>
      <c r="DD53" s="52">
        <v>0</v>
      </c>
      <c r="DE53" s="18">
        <v>0</v>
      </c>
      <c r="DF53" s="18">
        <v>0</v>
      </c>
      <c r="DG53" s="317">
        <v>0</v>
      </c>
      <c r="DH53" s="18">
        <v>0</v>
      </c>
      <c r="DI53" s="18">
        <v>0</v>
      </c>
      <c r="DJ53" s="317">
        <v>0</v>
      </c>
      <c r="DK53" s="87">
        <v>3</v>
      </c>
      <c r="DL53" s="139">
        <v>1</v>
      </c>
      <c r="DM53" s="317">
        <v>0</v>
      </c>
      <c r="DN53" s="18">
        <v>0</v>
      </c>
      <c r="DO53" s="18">
        <v>0</v>
      </c>
      <c r="DP53" s="317">
        <v>0</v>
      </c>
      <c r="DQ53" s="87">
        <v>89</v>
      </c>
      <c r="DR53" s="18">
        <v>0</v>
      </c>
      <c r="DS53" s="317">
        <v>0</v>
      </c>
      <c r="DT53" s="87">
        <v>1</v>
      </c>
      <c r="DU53" s="18">
        <v>0</v>
      </c>
      <c r="DV53" s="317">
        <v>0</v>
      </c>
      <c r="DW53" s="396">
        <v>0</v>
      </c>
      <c r="DX53" s="50">
        <v>0</v>
      </c>
      <c r="DY53" s="52">
        <v>0</v>
      </c>
      <c r="DZ53" s="105">
        <v>26</v>
      </c>
      <c r="EA53" s="139">
        <v>1</v>
      </c>
      <c r="EB53" s="317">
        <v>0</v>
      </c>
      <c r="EC53" s="105">
        <v>35</v>
      </c>
      <c r="ED53" s="18">
        <v>0</v>
      </c>
      <c r="EE53" s="317">
        <v>0</v>
      </c>
      <c r="EF53" s="18">
        <v>0</v>
      </c>
      <c r="EG53" s="18">
        <v>0</v>
      </c>
      <c r="EH53" s="317">
        <v>0</v>
      </c>
      <c r="EI53" s="18">
        <v>0</v>
      </c>
      <c r="EJ53" s="18">
        <v>0</v>
      </c>
      <c r="EK53" s="317">
        <v>0</v>
      </c>
      <c r="EL53" s="105">
        <v>16</v>
      </c>
      <c r="EM53" s="18">
        <v>0</v>
      </c>
      <c r="EN53" s="317">
        <v>0</v>
      </c>
      <c r="EO53" s="18">
        <v>0</v>
      </c>
      <c r="EP53" s="18">
        <v>0</v>
      </c>
      <c r="EQ53" s="317">
        <v>0</v>
      </c>
      <c r="ER53" s="83"/>
      <c r="ES53" s="18">
        <v>0</v>
      </c>
      <c r="ET53" s="18">
        <v>0</v>
      </c>
      <c r="EU53" s="317">
        <v>0</v>
      </c>
      <c r="EV53" s="55" t="s">
        <v>213</v>
      </c>
      <c r="EW53" s="77" t="s">
        <v>214</v>
      </c>
    </row>
    <row r="54" spans="1:153" ht="12.75">
      <c r="A54" s="93">
        <v>43885</v>
      </c>
      <c r="B54" s="366">
        <f t="shared" ref="B54:D54" si="50">SUM(F54,I54,L54,O54,R54,X54,AG54,AJ54,AN54,AQ54,AT54,AW54,AZ54,BC54,BF54,BI54,BL54,BO54,BR54,CA54,CG54,CJ54,CM54,CP54,CV54,CY54,DE54,DH54,DK54,DN54,DQ54,DT54,DZ54,EC54,EL54)</f>
        <v>79183</v>
      </c>
      <c r="C54" s="367">
        <f t="shared" si="50"/>
        <v>2693</v>
      </c>
      <c r="D54" s="368">
        <f t="shared" si="50"/>
        <v>25200</v>
      </c>
      <c r="E54" s="369">
        <f t="shared" si="1"/>
        <v>51290</v>
      </c>
      <c r="F54" s="15">
        <v>0</v>
      </c>
      <c r="G54" s="15">
        <v>0</v>
      </c>
      <c r="H54" s="17">
        <v>0</v>
      </c>
      <c r="I54" s="15">
        <v>0</v>
      </c>
      <c r="J54" s="15">
        <v>0</v>
      </c>
      <c r="K54" s="17">
        <v>0</v>
      </c>
      <c r="L54" s="105">
        <v>1</v>
      </c>
      <c r="M54" s="15">
        <v>0</v>
      </c>
      <c r="N54" s="17">
        <v>0</v>
      </c>
      <c r="O54" s="15">
        <v>0</v>
      </c>
      <c r="P54" s="15">
        <v>0</v>
      </c>
      <c r="Q54" s="17">
        <v>0</v>
      </c>
      <c r="R54" s="87">
        <v>8</v>
      </c>
      <c r="S54" s="15">
        <v>0</v>
      </c>
      <c r="T54" s="17">
        <v>0</v>
      </c>
      <c r="U54" s="15">
        <v>0</v>
      </c>
      <c r="V54" s="15">
        <v>0</v>
      </c>
      <c r="W54" s="17">
        <v>0</v>
      </c>
      <c r="X54" s="396">
        <v>0</v>
      </c>
      <c r="Y54" s="50">
        <v>0</v>
      </c>
      <c r="Z54" s="52">
        <v>0</v>
      </c>
      <c r="AA54" s="396">
        <v>0</v>
      </c>
      <c r="AB54" s="50">
        <v>0</v>
      </c>
      <c r="AC54" s="52">
        <v>0</v>
      </c>
      <c r="AD54" s="396">
        <v>0</v>
      </c>
      <c r="AE54" s="50">
        <v>0</v>
      </c>
      <c r="AF54" s="52">
        <v>0</v>
      </c>
      <c r="AG54" s="87">
        <v>1</v>
      </c>
      <c r="AH54" s="15">
        <v>0</v>
      </c>
      <c r="AI54" s="17">
        <v>0</v>
      </c>
      <c r="AJ54" s="105">
        <v>77658</v>
      </c>
      <c r="AK54" s="139">
        <v>2666</v>
      </c>
      <c r="AL54" s="397">
        <v>25200</v>
      </c>
      <c r="AM54" s="371">
        <f t="shared" si="2"/>
        <v>49792</v>
      </c>
      <c r="AN54" s="105">
        <v>977</v>
      </c>
      <c r="AO54" s="139">
        <v>10</v>
      </c>
      <c r="AP54" s="17">
        <v>0</v>
      </c>
      <c r="AQ54" s="105">
        <v>13</v>
      </c>
      <c r="AR54" s="15">
        <v>0</v>
      </c>
      <c r="AS54" s="17">
        <v>0</v>
      </c>
      <c r="AT54" s="15">
        <v>0</v>
      </c>
      <c r="AU54" s="15">
        <v>0</v>
      </c>
      <c r="AV54" s="17">
        <v>0</v>
      </c>
      <c r="AW54" s="87">
        <v>81</v>
      </c>
      <c r="AX54" s="139">
        <v>2</v>
      </c>
      <c r="AY54" s="17">
        <v>0</v>
      </c>
      <c r="AZ54" s="87">
        <v>3</v>
      </c>
      <c r="BA54" s="15">
        <v>0</v>
      </c>
      <c r="BB54" s="17">
        <v>0</v>
      </c>
      <c r="BC54" s="18">
        <v>0</v>
      </c>
      <c r="BD54" s="15">
        <v>0</v>
      </c>
      <c r="BE54" s="17">
        <v>0</v>
      </c>
      <c r="BF54" s="87">
        <v>1</v>
      </c>
      <c r="BG54" s="15">
        <v>0</v>
      </c>
      <c r="BH54" s="17">
        <v>0</v>
      </c>
      <c r="BI54" s="105">
        <v>61</v>
      </c>
      <c r="BJ54" s="139">
        <v>12</v>
      </c>
      <c r="BK54" s="17">
        <v>0</v>
      </c>
      <c r="BL54" s="105">
        <v>2</v>
      </c>
      <c r="BM54" s="15">
        <v>0</v>
      </c>
      <c r="BN54" s="17">
        <v>0</v>
      </c>
      <c r="BO54" s="87">
        <v>157</v>
      </c>
      <c r="BP54" s="139">
        <v>1</v>
      </c>
      <c r="BQ54" s="17">
        <v>0</v>
      </c>
      <c r="BR54" s="15">
        <v>0</v>
      </c>
      <c r="BS54" s="15">
        <v>0</v>
      </c>
      <c r="BT54" s="17">
        <v>0</v>
      </c>
      <c r="BU54" s="15">
        <v>0</v>
      </c>
      <c r="BV54" s="15">
        <v>0</v>
      </c>
      <c r="BW54" s="17">
        <v>0</v>
      </c>
      <c r="BX54" s="15">
        <v>0</v>
      </c>
      <c r="BY54" s="15">
        <v>0</v>
      </c>
      <c r="BZ54" s="17">
        <v>0</v>
      </c>
      <c r="CA54" s="87">
        <v>8</v>
      </c>
      <c r="CB54" s="15">
        <v>0</v>
      </c>
      <c r="CC54" s="17">
        <v>0</v>
      </c>
      <c r="CD54" s="392">
        <v>0</v>
      </c>
      <c r="CE54" s="41">
        <v>0</v>
      </c>
      <c r="CF54" s="393">
        <v>0</v>
      </c>
      <c r="CG54" s="105">
        <v>1</v>
      </c>
      <c r="CH54" s="15">
        <v>0</v>
      </c>
      <c r="CI54" s="17">
        <v>0</v>
      </c>
      <c r="CJ54" s="105">
        <v>10</v>
      </c>
      <c r="CK54" s="15">
        <v>0</v>
      </c>
      <c r="CL54" s="17">
        <v>0</v>
      </c>
      <c r="CM54" s="105">
        <v>22</v>
      </c>
      <c r="CN54" s="15">
        <v>0</v>
      </c>
      <c r="CO54" s="17">
        <v>0</v>
      </c>
      <c r="CP54" s="396">
        <v>0</v>
      </c>
      <c r="CQ54" s="50">
        <v>0</v>
      </c>
      <c r="CR54" s="52">
        <v>0</v>
      </c>
      <c r="CS54" s="15">
        <v>0</v>
      </c>
      <c r="CT54" s="15">
        <v>0</v>
      </c>
      <c r="CU54" s="17">
        <v>0</v>
      </c>
      <c r="CV54" s="87">
        <v>1</v>
      </c>
      <c r="CW54" s="15">
        <v>0</v>
      </c>
      <c r="CX54" s="17">
        <v>0</v>
      </c>
      <c r="CY54" s="87">
        <v>2</v>
      </c>
      <c r="CZ54" s="15">
        <v>0</v>
      </c>
      <c r="DA54" s="17">
        <v>0</v>
      </c>
      <c r="DB54" s="396">
        <v>0</v>
      </c>
      <c r="DC54" s="50">
        <v>0</v>
      </c>
      <c r="DD54" s="52">
        <v>0</v>
      </c>
      <c r="DE54" s="15">
        <v>0</v>
      </c>
      <c r="DF54" s="15">
        <v>0</v>
      </c>
      <c r="DG54" s="17">
        <v>0</v>
      </c>
      <c r="DH54" s="15">
        <v>0</v>
      </c>
      <c r="DI54" s="15">
        <v>0</v>
      </c>
      <c r="DJ54" s="17">
        <v>0</v>
      </c>
      <c r="DK54" s="87">
        <v>3</v>
      </c>
      <c r="DL54" s="139">
        <v>1</v>
      </c>
      <c r="DM54" s="17">
        <v>0</v>
      </c>
      <c r="DN54" s="15">
        <v>0</v>
      </c>
      <c r="DO54" s="15">
        <v>0</v>
      </c>
      <c r="DP54" s="17">
        <v>0</v>
      </c>
      <c r="DQ54" s="87">
        <v>90</v>
      </c>
      <c r="DR54" s="15">
        <v>0</v>
      </c>
      <c r="DS54" s="17">
        <v>0</v>
      </c>
      <c r="DT54" s="87">
        <v>1</v>
      </c>
      <c r="DU54" s="15">
        <v>0</v>
      </c>
      <c r="DV54" s="17">
        <v>0</v>
      </c>
      <c r="DW54" s="396">
        <v>0</v>
      </c>
      <c r="DX54" s="50">
        <v>0</v>
      </c>
      <c r="DY54" s="52">
        <v>0</v>
      </c>
      <c r="DZ54" s="105">
        <v>31</v>
      </c>
      <c r="EA54" s="139">
        <v>1</v>
      </c>
      <c r="EB54" s="17">
        <v>0</v>
      </c>
      <c r="EC54" s="105">
        <v>35</v>
      </c>
      <c r="ED54" s="15">
        <v>0</v>
      </c>
      <c r="EE54" s="17">
        <v>0</v>
      </c>
      <c r="EF54" s="15">
        <v>0</v>
      </c>
      <c r="EG54" s="15">
        <v>0</v>
      </c>
      <c r="EH54" s="17">
        <v>0</v>
      </c>
      <c r="EI54" s="15">
        <v>0</v>
      </c>
      <c r="EJ54" s="15">
        <v>0</v>
      </c>
      <c r="EK54" s="17">
        <v>0</v>
      </c>
      <c r="EL54" s="105">
        <v>16</v>
      </c>
      <c r="EM54" s="15">
        <v>0</v>
      </c>
      <c r="EN54" s="17">
        <v>0</v>
      </c>
      <c r="EO54" s="15">
        <v>0</v>
      </c>
      <c r="EP54" s="15">
        <v>0</v>
      </c>
      <c r="EQ54" s="17">
        <v>0</v>
      </c>
      <c r="ER54" s="54"/>
      <c r="ES54" s="15">
        <v>0</v>
      </c>
      <c r="ET54" s="15">
        <v>0</v>
      </c>
      <c r="EU54" s="17">
        <v>0</v>
      </c>
      <c r="EV54" s="55" t="s">
        <v>1077</v>
      </c>
      <c r="EW54" s="76" t="s">
        <v>217</v>
      </c>
    </row>
    <row r="55" spans="1:153" ht="12.75">
      <c r="A55" s="93">
        <v>43886</v>
      </c>
      <c r="B55" s="366">
        <f t="shared" ref="B55:D55" si="51">SUM(F55,I55,L55,O55,R55,X55,AG55,AJ55,AN55,AQ55,AT55,AW55,AZ55,BC55,BF55,BI55,BL55,BO55,BR55,CA55,CG55,CJ55,CM55,CP55,CV55,CY55,DE55,DH55,DK55,DN55,DQ55,DT55,DZ55,EC55,EL55)</f>
        <v>79953</v>
      </c>
      <c r="C55" s="367">
        <f t="shared" si="51"/>
        <v>2750</v>
      </c>
      <c r="D55" s="368">
        <f t="shared" si="51"/>
        <v>27819</v>
      </c>
      <c r="E55" s="369">
        <f t="shared" si="1"/>
        <v>49384</v>
      </c>
      <c r="F55" s="15">
        <v>0</v>
      </c>
      <c r="G55" s="18">
        <v>0</v>
      </c>
      <c r="H55" s="317">
        <v>0</v>
      </c>
      <c r="I55" s="15">
        <v>0</v>
      </c>
      <c r="J55" s="18">
        <v>0</v>
      </c>
      <c r="K55" s="317">
        <v>0</v>
      </c>
      <c r="L55" s="105">
        <v>1</v>
      </c>
      <c r="M55" s="18">
        <v>0</v>
      </c>
      <c r="N55" s="317">
        <v>0</v>
      </c>
      <c r="O55" s="18">
        <v>0</v>
      </c>
      <c r="P55" s="18">
        <v>0</v>
      </c>
      <c r="Q55" s="317">
        <v>0</v>
      </c>
      <c r="R55" s="105">
        <v>26</v>
      </c>
      <c r="S55" s="95">
        <v>0</v>
      </c>
      <c r="T55" s="417">
        <v>0</v>
      </c>
      <c r="U55" s="15">
        <v>0</v>
      </c>
      <c r="V55" s="18">
        <v>0</v>
      </c>
      <c r="W55" s="317">
        <v>0</v>
      </c>
      <c r="X55" s="396">
        <v>0</v>
      </c>
      <c r="Y55" s="341">
        <v>0</v>
      </c>
      <c r="Z55" s="342">
        <v>0</v>
      </c>
      <c r="AA55" s="396">
        <v>0</v>
      </c>
      <c r="AB55" s="341">
        <v>0</v>
      </c>
      <c r="AC55" s="342">
        <v>0</v>
      </c>
      <c r="AD55" s="396">
        <v>0</v>
      </c>
      <c r="AE55" s="341">
        <v>0</v>
      </c>
      <c r="AF55" s="342">
        <v>0</v>
      </c>
      <c r="AG55" s="105">
        <v>1</v>
      </c>
      <c r="AH55" s="18">
        <v>0</v>
      </c>
      <c r="AI55" s="150">
        <v>1</v>
      </c>
      <c r="AJ55" s="105">
        <v>78064</v>
      </c>
      <c r="AK55" s="139">
        <v>2718</v>
      </c>
      <c r="AL55" s="397">
        <v>27624</v>
      </c>
      <c r="AM55" s="371">
        <f t="shared" si="2"/>
        <v>47722</v>
      </c>
      <c r="AN55" s="105">
        <v>1261</v>
      </c>
      <c r="AO55" s="139">
        <v>12</v>
      </c>
      <c r="AP55" s="150">
        <v>22</v>
      </c>
      <c r="AQ55" s="105">
        <v>13</v>
      </c>
      <c r="AR55" s="18">
        <v>0</v>
      </c>
      <c r="AS55" s="150">
        <v>4</v>
      </c>
      <c r="AT55" s="18">
        <v>0</v>
      </c>
      <c r="AU55" s="18">
        <v>0</v>
      </c>
      <c r="AV55" s="317">
        <v>0</v>
      </c>
      <c r="AW55" s="105">
        <v>85</v>
      </c>
      <c r="AX55" s="139">
        <v>2</v>
      </c>
      <c r="AY55" s="150">
        <v>19</v>
      </c>
      <c r="AZ55" s="87">
        <v>3</v>
      </c>
      <c r="BA55" s="18">
        <v>0</v>
      </c>
      <c r="BB55" s="150">
        <v>3</v>
      </c>
      <c r="BC55" s="18">
        <v>0</v>
      </c>
      <c r="BD55" s="18">
        <v>0</v>
      </c>
      <c r="BE55" s="17">
        <v>0</v>
      </c>
      <c r="BF55" s="105">
        <v>5</v>
      </c>
      <c r="BG55" s="18">
        <v>0</v>
      </c>
      <c r="BH55" s="317">
        <v>0</v>
      </c>
      <c r="BI55" s="105">
        <v>95</v>
      </c>
      <c r="BJ55" s="139">
        <v>15</v>
      </c>
      <c r="BK55" s="150">
        <v>0</v>
      </c>
      <c r="BL55" s="105">
        <v>2</v>
      </c>
      <c r="BM55" s="18">
        <v>0</v>
      </c>
      <c r="BN55" s="317">
        <v>0</v>
      </c>
      <c r="BO55" s="105">
        <v>164</v>
      </c>
      <c r="BP55" s="139">
        <v>1</v>
      </c>
      <c r="BQ55" s="150">
        <v>22</v>
      </c>
      <c r="BR55" s="15">
        <v>0</v>
      </c>
      <c r="BS55" s="15">
        <v>0</v>
      </c>
      <c r="BT55" s="17">
        <v>0</v>
      </c>
      <c r="BU55" s="15">
        <v>0</v>
      </c>
      <c r="BV55" s="15">
        <v>0</v>
      </c>
      <c r="BW55" s="17">
        <v>0</v>
      </c>
      <c r="BX55" s="15">
        <v>0</v>
      </c>
      <c r="BY55" s="15">
        <v>0</v>
      </c>
      <c r="BZ55" s="17">
        <v>0</v>
      </c>
      <c r="CA55" s="105">
        <v>12</v>
      </c>
      <c r="CB55" s="18">
        <v>0</v>
      </c>
      <c r="CC55" s="317">
        <v>0</v>
      </c>
      <c r="CD55" s="394">
        <v>0</v>
      </c>
      <c r="CE55" s="387">
        <v>0</v>
      </c>
      <c r="CF55" s="388">
        <v>0</v>
      </c>
      <c r="CG55" s="105">
        <v>1</v>
      </c>
      <c r="CH55" s="18">
        <v>0</v>
      </c>
      <c r="CI55" s="317">
        <v>0</v>
      </c>
      <c r="CJ55" s="105">
        <v>10</v>
      </c>
      <c r="CK55" s="18">
        <v>0</v>
      </c>
      <c r="CL55" s="150">
        <v>7</v>
      </c>
      <c r="CM55" s="105">
        <v>22</v>
      </c>
      <c r="CN55" s="18">
        <v>0</v>
      </c>
      <c r="CO55" s="150">
        <v>18</v>
      </c>
      <c r="CP55" s="396">
        <v>0</v>
      </c>
      <c r="CQ55" s="341">
        <v>0</v>
      </c>
      <c r="CR55" s="342">
        <v>0</v>
      </c>
      <c r="CS55" s="15">
        <v>0</v>
      </c>
      <c r="CT55" s="18">
        <v>0</v>
      </c>
      <c r="CU55" s="317">
        <v>0</v>
      </c>
      <c r="CV55" s="105">
        <v>1</v>
      </c>
      <c r="CW55" s="18">
        <v>0</v>
      </c>
      <c r="CX55" s="150">
        <v>1</v>
      </c>
      <c r="CY55" s="105">
        <v>4</v>
      </c>
      <c r="CZ55" s="18">
        <v>0</v>
      </c>
      <c r="DA55" s="317">
        <v>0</v>
      </c>
      <c r="DB55" s="396">
        <v>0</v>
      </c>
      <c r="DC55" s="341">
        <v>0</v>
      </c>
      <c r="DD55" s="342">
        <v>0</v>
      </c>
      <c r="DE55" s="18">
        <v>0</v>
      </c>
      <c r="DF55" s="18">
        <v>0</v>
      </c>
      <c r="DG55" s="317">
        <v>0</v>
      </c>
      <c r="DH55" s="18">
        <v>0</v>
      </c>
      <c r="DI55" s="18">
        <v>0</v>
      </c>
      <c r="DJ55" s="317">
        <v>0</v>
      </c>
      <c r="DK55" s="105">
        <v>3</v>
      </c>
      <c r="DL55" s="139">
        <v>1</v>
      </c>
      <c r="DM55" s="150">
        <v>1</v>
      </c>
      <c r="DN55" s="18">
        <v>0</v>
      </c>
      <c r="DO55" s="18">
        <v>0</v>
      </c>
      <c r="DP55" s="317">
        <v>0</v>
      </c>
      <c r="DQ55" s="105">
        <v>91</v>
      </c>
      <c r="DR55" s="18">
        <v>0</v>
      </c>
      <c r="DS55" s="150">
        <v>53</v>
      </c>
      <c r="DT55" s="105">
        <v>1</v>
      </c>
      <c r="DU55" s="18">
        <v>0</v>
      </c>
      <c r="DV55" s="150">
        <v>1</v>
      </c>
      <c r="DW55" s="396">
        <v>0</v>
      </c>
      <c r="DX55" s="341">
        <v>0</v>
      </c>
      <c r="DY55" s="342">
        <v>0</v>
      </c>
      <c r="DZ55" s="105">
        <v>32</v>
      </c>
      <c r="EA55" s="139">
        <v>1</v>
      </c>
      <c r="EB55" s="150">
        <v>5</v>
      </c>
      <c r="EC55" s="105">
        <v>40</v>
      </c>
      <c r="ED55" s="18">
        <v>0</v>
      </c>
      <c r="EE55" s="150">
        <v>22</v>
      </c>
      <c r="EF55" s="18">
        <v>0</v>
      </c>
      <c r="EG55" s="18">
        <v>0</v>
      </c>
      <c r="EH55" s="317">
        <v>0</v>
      </c>
      <c r="EI55" s="18">
        <v>0</v>
      </c>
      <c r="EJ55" s="18">
        <v>0</v>
      </c>
      <c r="EK55" s="317">
        <v>0</v>
      </c>
      <c r="EL55" s="105">
        <v>16</v>
      </c>
      <c r="EM55" s="18">
        <v>0</v>
      </c>
      <c r="EN55" s="150">
        <v>16</v>
      </c>
      <c r="EO55" s="18">
        <v>0</v>
      </c>
      <c r="EP55" s="18">
        <v>0</v>
      </c>
      <c r="EQ55" s="317">
        <v>0</v>
      </c>
      <c r="ER55" s="83"/>
      <c r="ES55" s="18">
        <v>0</v>
      </c>
      <c r="ET55" s="18">
        <v>0</v>
      </c>
      <c r="EU55" s="317">
        <v>0</v>
      </c>
      <c r="EV55" s="151"/>
      <c r="EW55" s="77" t="s">
        <v>219</v>
      </c>
    </row>
    <row r="56" spans="1:153" ht="12.75">
      <c r="A56" s="93">
        <v>43887</v>
      </c>
      <c r="B56" s="366">
        <f t="shared" ref="B56:D56" si="52">SUM(F56,I56,L56,O56,R56,X56,AG56,AJ56,AN56,AQ56,AT56,AW56,AZ56,BC56,BF56,BI56,BL56,BO56,BR56,CA56,CG56,CJ56,CM56,CP56,CV56,CY56,DE56,DH56,DK56,DN56,DQ56,DT56,DZ56,EC56,EL56)</f>
        <v>81010</v>
      </c>
      <c r="C56" s="367">
        <f t="shared" si="52"/>
        <v>2789</v>
      </c>
      <c r="D56" s="368">
        <f t="shared" si="52"/>
        <v>30251</v>
      </c>
      <c r="E56" s="369">
        <f t="shared" si="1"/>
        <v>47970</v>
      </c>
      <c r="F56" s="15">
        <v>0</v>
      </c>
      <c r="G56" s="18">
        <v>0</v>
      </c>
      <c r="H56" s="317">
        <v>0</v>
      </c>
      <c r="I56" s="15">
        <v>0</v>
      </c>
      <c r="J56" s="18">
        <v>0</v>
      </c>
      <c r="K56" s="317">
        <v>0</v>
      </c>
      <c r="L56" s="105">
        <v>1</v>
      </c>
      <c r="M56" s="18">
        <v>0</v>
      </c>
      <c r="N56" s="317">
        <v>0</v>
      </c>
      <c r="O56" s="18">
        <v>0</v>
      </c>
      <c r="P56" s="18">
        <v>0</v>
      </c>
      <c r="Q56" s="317">
        <v>0</v>
      </c>
      <c r="R56" s="105">
        <v>33</v>
      </c>
      <c r="S56" s="95">
        <v>0</v>
      </c>
      <c r="T56" s="417">
        <v>0</v>
      </c>
      <c r="U56" s="15">
        <v>0</v>
      </c>
      <c r="V56" s="18">
        <v>0</v>
      </c>
      <c r="W56" s="317">
        <v>0</v>
      </c>
      <c r="X56" s="396">
        <v>0</v>
      </c>
      <c r="Y56" s="341">
        <v>0</v>
      </c>
      <c r="Z56" s="342">
        <v>0</v>
      </c>
      <c r="AA56" s="396">
        <v>0</v>
      </c>
      <c r="AB56" s="341">
        <v>0</v>
      </c>
      <c r="AC56" s="342">
        <v>0</v>
      </c>
      <c r="AD56" s="396">
        <v>0</v>
      </c>
      <c r="AE56" s="341">
        <v>0</v>
      </c>
      <c r="AF56" s="342">
        <v>0</v>
      </c>
      <c r="AG56" s="105">
        <v>1</v>
      </c>
      <c r="AH56" s="18">
        <v>0</v>
      </c>
      <c r="AI56" s="150">
        <v>1</v>
      </c>
      <c r="AJ56" s="105">
        <v>78497</v>
      </c>
      <c r="AK56" s="139">
        <v>2747</v>
      </c>
      <c r="AL56" s="397">
        <v>30042</v>
      </c>
      <c r="AM56" s="371">
        <f t="shared" si="2"/>
        <v>45708</v>
      </c>
      <c r="AN56" s="105">
        <v>1766</v>
      </c>
      <c r="AO56" s="139">
        <v>13</v>
      </c>
      <c r="AP56" s="150">
        <v>22</v>
      </c>
      <c r="AQ56" s="105">
        <v>13</v>
      </c>
      <c r="AR56" s="15">
        <v>0</v>
      </c>
      <c r="AS56" s="150">
        <v>4</v>
      </c>
      <c r="AT56" s="105">
        <v>1</v>
      </c>
      <c r="AU56" s="15">
        <v>0</v>
      </c>
      <c r="AV56" s="17">
        <v>0</v>
      </c>
      <c r="AW56" s="105">
        <v>91</v>
      </c>
      <c r="AX56" s="139">
        <v>2</v>
      </c>
      <c r="AY56" s="150">
        <v>24</v>
      </c>
      <c r="AZ56" s="87">
        <v>3</v>
      </c>
      <c r="BA56" s="15">
        <v>0</v>
      </c>
      <c r="BB56" s="150">
        <v>3</v>
      </c>
      <c r="BC56" s="18">
        <v>0</v>
      </c>
      <c r="BD56" s="15">
        <v>0</v>
      </c>
      <c r="BE56" s="17">
        <v>0</v>
      </c>
      <c r="BF56" s="105">
        <v>6</v>
      </c>
      <c r="BG56" s="15">
        <v>0</v>
      </c>
      <c r="BH56" s="17">
        <v>0</v>
      </c>
      <c r="BI56" s="105">
        <v>141</v>
      </c>
      <c r="BJ56" s="139">
        <v>22</v>
      </c>
      <c r="BK56" s="150">
        <v>0</v>
      </c>
      <c r="BL56" s="105">
        <v>2</v>
      </c>
      <c r="BM56" s="15">
        <v>0</v>
      </c>
      <c r="BN56" s="17">
        <v>0</v>
      </c>
      <c r="BO56" s="105">
        <v>186</v>
      </c>
      <c r="BP56" s="139">
        <v>3</v>
      </c>
      <c r="BQ56" s="150">
        <v>22</v>
      </c>
      <c r="BR56" s="15">
        <v>0</v>
      </c>
      <c r="BS56" s="15">
        <v>0</v>
      </c>
      <c r="BT56" s="17">
        <v>0</v>
      </c>
      <c r="BU56" s="15">
        <v>0</v>
      </c>
      <c r="BV56" s="15">
        <v>0</v>
      </c>
      <c r="BW56" s="17">
        <v>0</v>
      </c>
      <c r="BX56" s="15">
        <v>0</v>
      </c>
      <c r="BY56" s="15">
        <v>0</v>
      </c>
      <c r="BZ56" s="17">
        <v>0</v>
      </c>
      <c r="CA56" s="105">
        <v>43</v>
      </c>
      <c r="CB56" s="15">
        <v>0</v>
      </c>
      <c r="CC56" s="17">
        <v>0</v>
      </c>
      <c r="CD56" s="392">
        <v>0</v>
      </c>
      <c r="CE56" s="374">
        <v>0</v>
      </c>
      <c r="CF56" s="375">
        <v>0</v>
      </c>
      <c r="CG56" s="105">
        <v>2</v>
      </c>
      <c r="CH56" s="15">
        <v>0</v>
      </c>
      <c r="CI56" s="17">
        <v>0</v>
      </c>
      <c r="CJ56" s="105">
        <v>10</v>
      </c>
      <c r="CK56" s="15">
        <v>0</v>
      </c>
      <c r="CL56" s="150">
        <v>7</v>
      </c>
      <c r="CM56" s="105">
        <v>22</v>
      </c>
      <c r="CN56" s="15">
        <v>0</v>
      </c>
      <c r="CO56" s="150">
        <v>18</v>
      </c>
      <c r="CP56" s="396">
        <v>0</v>
      </c>
      <c r="CQ56" s="341">
        <v>0</v>
      </c>
      <c r="CR56" s="342">
        <v>0</v>
      </c>
      <c r="CS56" s="15">
        <v>0</v>
      </c>
      <c r="CT56" s="18">
        <v>0</v>
      </c>
      <c r="CU56" s="317">
        <v>0</v>
      </c>
      <c r="CV56" s="105">
        <v>1</v>
      </c>
      <c r="CW56" s="15">
        <v>0</v>
      </c>
      <c r="CX56" s="150">
        <v>1</v>
      </c>
      <c r="CY56" s="105">
        <v>4</v>
      </c>
      <c r="CZ56" s="15">
        <v>0</v>
      </c>
      <c r="DA56" s="17">
        <v>0</v>
      </c>
      <c r="DB56" s="396">
        <v>0</v>
      </c>
      <c r="DC56" s="341">
        <v>0</v>
      </c>
      <c r="DD56" s="342">
        <v>0</v>
      </c>
      <c r="DE56" s="105">
        <v>2</v>
      </c>
      <c r="DF56" s="15">
        <v>0</v>
      </c>
      <c r="DG56" s="17">
        <v>0</v>
      </c>
      <c r="DH56" s="15">
        <v>0</v>
      </c>
      <c r="DI56" s="15">
        <v>0</v>
      </c>
      <c r="DJ56" s="17">
        <v>0</v>
      </c>
      <c r="DK56" s="105">
        <v>3</v>
      </c>
      <c r="DL56" s="139">
        <v>1</v>
      </c>
      <c r="DM56" s="150">
        <v>1</v>
      </c>
      <c r="DN56" s="15">
        <v>0</v>
      </c>
      <c r="DO56" s="15">
        <v>0</v>
      </c>
      <c r="DP56" s="17">
        <v>0</v>
      </c>
      <c r="DQ56" s="105">
        <v>93</v>
      </c>
      <c r="DR56" s="15">
        <v>0</v>
      </c>
      <c r="DS56" s="150">
        <v>62</v>
      </c>
      <c r="DT56" s="105">
        <v>1</v>
      </c>
      <c r="DU56" s="15">
        <v>0</v>
      </c>
      <c r="DV56" s="150">
        <v>1</v>
      </c>
      <c r="DW56" s="396">
        <v>0</v>
      </c>
      <c r="DX56" s="341">
        <v>0</v>
      </c>
      <c r="DY56" s="342">
        <v>0</v>
      </c>
      <c r="DZ56" s="105">
        <v>32</v>
      </c>
      <c r="EA56" s="139">
        <v>1</v>
      </c>
      <c r="EB56" s="150">
        <v>5</v>
      </c>
      <c r="EC56" s="105">
        <v>40</v>
      </c>
      <c r="ED56" s="15">
        <v>0</v>
      </c>
      <c r="EE56" s="150">
        <v>22</v>
      </c>
      <c r="EF56" s="15">
        <v>0</v>
      </c>
      <c r="EG56" s="15">
        <v>0</v>
      </c>
      <c r="EH56" s="17">
        <v>0</v>
      </c>
      <c r="EI56" s="15">
        <v>0</v>
      </c>
      <c r="EJ56" s="15">
        <v>0</v>
      </c>
      <c r="EK56" s="17">
        <v>0</v>
      </c>
      <c r="EL56" s="105">
        <v>16</v>
      </c>
      <c r="EM56" s="15">
        <v>0</v>
      </c>
      <c r="EN56" s="150">
        <v>16</v>
      </c>
      <c r="EO56" s="15">
        <v>0</v>
      </c>
      <c r="EP56" s="15">
        <v>0</v>
      </c>
      <c r="EQ56" s="17">
        <v>0</v>
      </c>
      <c r="ER56" s="83"/>
      <c r="ES56" s="15">
        <v>0</v>
      </c>
      <c r="ET56" s="15">
        <v>0</v>
      </c>
      <c r="EU56" s="17">
        <v>0</v>
      </c>
      <c r="EV56" s="55" t="s">
        <v>1078</v>
      </c>
      <c r="EW56" s="77" t="s">
        <v>289</v>
      </c>
    </row>
    <row r="57" spans="1:153" ht="12.75">
      <c r="A57" s="93">
        <v>43888</v>
      </c>
      <c r="B57" s="366">
        <f t="shared" ref="B57:D57" si="53">SUM(F57,I57,L57,O57,R57,X57,AG57,AJ57,AN57,AQ57,AT57,AW57,AZ57,BC57,BF57,BI57,BL57,BO57,BR57,CA57,CG57,CJ57,CM57,CP57,CV57,CY57,DE57,DH57,DK57,DN57,DQ57,DT57,DZ57,EC57,EL57)</f>
        <v>82065</v>
      </c>
      <c r="C57" s="367">
        <f t="shared" si="53"/>
        <v>2838</v>
      </c>
      <c r="D57" s="368">
        <f t="shared" si="53"/>
        <v>33139</v>
      </c>
      <c r="E57" s="369">
        <f t="shared" si="1"/>
        <v>46088</v>
      </c>
      <c r="F57" s="15">
        <v>0</v>
      </c>
      <c r="G57" s="18">
        <v>0</v>
      </c>
      <c r="H57" s="317">
        <v>0</v>
      </c>
      <c r="I57" s="15">
        <v>0</v>
      </c>
      <c r="J57" s="18">
        <v>0</v>
      </c>
      <c r="K57" s="317">
        <v>0</v>
      </c>
      <c r="L57" s="105">
        <v>1</v>
      </c>
      <c r="M57" s="18">
        <v>0</v>
      </c>
      <c r="N57" s="317">
        <v>0</v>
      </c>
      <c r="O57" s="18">
        <v>0</v>
      </c>
      <c r="P57" s="18">
        <v>0</v>
      </c>
      <c r="Q57" s="317">
        <v>0</v>
      </c>
      <c r="R57" s="105">
        <v>33</v>
      </c>
      <c r="S57" s="95">
        <v>0</v>
      </c>
      <c r="T57" s="417">
        <v>0</v>
      </c>
      <c r="U57" s="15">
        <v>0</v>
      </c>
      <c r="V57" s="18">
        <v>0</v>
      </c>
      <c r="W57" s="317">
        <v>0</v>
      </c>
      <c r="X57" s="396">
        <v>0</v>
      </c>
      <c r="Y57" s="341">
        <v>0</v>
      </c>
      <c r="Z57" s="342">
        <v>0</v>
      </c>
      <c r="AA57" s="396">
        <v>0</v>
      </c>
      <c r="AB57" s="341">
        <v>0</v>
      </c>
      <c r="AC57" s="342">
        <v>0</v>
      </c>
      <c r="AD57" s="396">
        <v>0</v>
      </c>
      <c r="AE57" s="341">
        <v>0</v>
      </c>
      <c r="AF57" s="342">
        <v>0</v>
      </c>
      <c r="AG57" s="105">
        <v>1</v>
      </c>
      <c r="AH57" s="18">
        <v>0</v>
      </c>
      <c r="AI57" s="150">
        <v>1</v>
      </c>
      <c r="AJ57" s="105">
        <v>78834</v>
      </c>
      <c r="AK57" s="139">
        <v>2791</v>
      </c>
      <c r="AL57" s="397">
        <v>32879</v>
      </c>
      <c r="AM57" s="371">
        <f t="shared" si="2"/>
        <v>43164</v>
      </c>
      <c r="AN57" s="105">
        <v>2337</v>
      </c>
      <c r="AO57" s="139">
        <v>13</v>
      </c>
      <c r="AP57" s="150">
        <v>22</v>
      </c>
      <c r="AQ57" s="105">
        <v>19</v>
      </c>
      <c r="AR57" s="18">
        <v>0</v>
      </c>
      <c r="AS57" s="150">
        <v>4</v>
      </c>
      <c r="AT57" s="105">
        <v>1</v>
      </c>
      <c r="AU57" s="18">
        <v>0</v>
      </c>
      <c r="AV57" s="317">
        <v>0</v>
      </c>
      <c r="AW57" s="105">
        <v>93</v>
      </c>
      <c r="AX57" s="139">
        <v>2</v>
      </c>
      <c r="AY57" s="150">
        <v>24</v>
      </c>
      <c r="AZ57" s="105">
        <v>3</v>
      </c>
      <c r="BA57" s="18">
        <v>0</v>
      </c>
      <c r="BB57" s="150">
        <v>3</v>
      </c>
      <c r="BC57" s="18">
        <v>0</v>
      </c>
      <c r="BD57" s="18">
        <v>0</v>
      </c>
      <c r="BE57" s="17">
        <v>0</v>
      </c>
      <c r="BF57" s="105">
        <v>7</v>
      </c>
      <c r="BG57" s="18">
        <v>0</v>
      </c>
      <c r="BH57" s="317">
        <v>0</v>
      </c>
      <c r="BI57" s="105">
        <v>245</v>
      </c>
      <c r="BJ57" s="139">
        <v>26</v>
      </c>
      <c r="BK57" s="150">
        <v>49</v>
      </c>
      <c r="BL57" s="105">
        <v>3</v>
      </c>
      <c r="BM57" s="18">
        <v>0</v>
      </c>
      <c r="BN57" s="150">
        <v>1</v>
      </c>
      <c r="BO57" s="105">
        <v>210</v>
      </c>
      <c r="BP57" s="139">
        <v>4</v>
      </c>
      <c r="BQ57" s="150">
        <v>22</v>
      </c>
      <c r="BR57" s="15">
        <v>0</v>
      </c>
      <c r="BS57" s="15">
        <v>0</v>
      </c>
      <c r="BT57" s="17">
        <v>0</v>
      </c>
      <c r="BU57" s="15">
        <v>0</v>
      </c>
      <c r="BV57" s="15">
        <v>0</v>
      </c>
      <c r="BW57" s="17">
        <v>0</v>
      </c>
      <c r="BX57" s="15">
        <v>0</v>
      </c>
      <c r="BY57" s="15">
        <v>0</v>
      </c>
      <c r="BZ57" s="17">
        <v>0</v>
      </c>
      <c r="CA57" s="105">
        <v>43</v>
      </c>
      <c r="CB57" s="18">
        <v>0</v>
      </c>
      <c r="CC57" s="317">
        <v>0</v>
      </c>
      <c r="CD57" s="394">
        <v>0</v>
      </c>
      <c r="CE57" s="387">
        <v>0</v>
      </c>
      <c r="CF57" s="388">
        <v>0</v>
      </c>
      <c r="CG57" s="105">
        <v>2</v>
      </c>
      <c r="CH57" s="18">
        <v>0</v>
      </c>
      <c r="CI57" s="317">
        <v>0</v>
      </c>
      <c r="CJ57" s="105">
        <v>10</v>
      </c>
      <c r="CK57" s="18">
        <v>0</v>
      </c>
      <c r="CL57" s="150">
        <v>8</v>
      </c>
      <c r="CM57" s="105">
        <v>24</v>
      </c>
      <c r="CN57" s="18">
        <v>0</v>
      </c>
      <c r="CO57" s="150">
        <v>18</v>
      </c>
      <c r="CP57" s="396">
        <v>0</v>
      </c>
      <c r="CQ57" s="341">
        <v>0</v>
      </c>
      <c r="CR57" s="342">
        <v>0</v>
      </c>
      <c r="CS57" s="15">
        <v>0</v>
      </c>
      <c r="CT57" s="18">
        <v>0</v>
      </c>
      <c r="CU57" s="317">
        <v>0</v>
      </c>
      <c r="CV57" s="105">
        <v>1</v>
      </c>
      <c r="CW57" s="18">
        <v>0</v>
      </c>
      <c r="CX57" s="150">
        <v>1</v>
      </c>
      <c r="CY57" s="105">
        <v>6</v>
      </c>
      <c r="CZ57" s="18">
        <v>0</v>
      </c>
      <c r="DA57" s="317">
        <v>0</v>
      </c>
      <c r="DB57" s="396">
        <v>0</v>
      </c>
      <c r="DC57" s="341">
        <v>0</v>
      </c>
      <c r="DD57" s="342">
        <v>0</v>
      </c>
      <c r="DE57" s="105">
        <v>2</v>
      </c>
      <c r="DF57" s="18">
        <v>0</v>
      </c>
      <c r="DG57" s="317">
        <v>0</v>
      </c>
      <c r="DH57" s="18">
        <v>0</v>
      </c>
      <c r="DI57" s="18">
        <v>0</v>
      </c>
      <c r="DJ57" s="317">
        <v>0</v>
      </c>
      <c r="DK57" s="105">
        <v>3</v>
      </c>
      <c r="DL57" s="139">
        <v>1</v>
      </c>
      <c r="DM57" s="150">
        <v>1</v>
      </c>
      <c r="DN57" s="18">
        <v>0</v>
      </c>
      <c r="DO57" s="18">
        <v>0</v>
      </c>
      <c r="DP57" s="317">
        <v>0</v>
      </c>
      <c r="DQ57" s="105">
        <v>96</v>
      </c>
      <c r="DR57" s="18">
        <v>0</v>
      </c>
      <c r="DS57" s="150">
        <v>62</v>
      </c>
      <c r="DT57" s="105">
        <v>1</v>
      </c>
      <c r="DU57" s="18">
        <v>0</v>
      </c>
      <c r="DV57" s="150">
        <v>1</v>
      </c>
      <c r="DW57" s="396">
        <v>0</v>
      </c>
      <c r="DX57" s="341">
        <v>0</v>
      </c>
      <c r="DY57" s="342">
        <v>0</v>
      </c>
      <c r="DZ57" s="105">
        <v>34</v>
      </c>
      <c r="EA57" s="139">
        <v>1</v>
      </c>
      <c r="EB57" s="150">
        <v>5</v>
      </c>
      <c r="EC57" s="105">
        <v>40</v>
      </c>
      <c r="ED57" s="18">
        <v>0</v>
      </c>
      <c r="EE57" s="150">
        <v>22</v>
      </c>
      <c r="EF57" s="18">
        <v>0</v>
      </c>
      <c r="EG57" s="18">
        <v>0</v>
      </c>
      <c r="EH57" s="317">
        <v>0</v>
      </c>
      <c r="EI57" s="18">
        <v>0</v>
      </c>
      <c r="EJ57" s="18">
        <v>0</v>
      </c>
      <c r="EK57" s="317">
        <v>0</v>
      </c>
      <c r="EL57" s="105">
        <v>16</v>
      </c>
      <c r="EM57" s="18">
        <v>0</v>
      </c>
      <c r="EN57" s="150">
        <v>16</v>
      </c>
      <c r="EO57" s="18">
        <v>0</v>
      </c>
      <c r="EP57" s="18">
        <v>0</v>
      </c>
      <c r="EQ57" s="317">
        <v>0</v>
      </c>
      <c r="ER57" s="83"/>
      <c r="ES57" s="18">
        <v>0</v>
      </c>
      <c r="ET57" s="18">
        <v>0</v>
      </c>
      <c r="EU57" s="317">
        <v>0</v>
      </c>
      <c r="EV57" s="55"/>
      <c r="EW57" s="77" t="s">
        <v>293</v>
      </c>
    </row>
    <row r="58" spans="1:153" ht="12.75">
      <c r="A58" s="93">
        <v>43889</v>
      </c>
      <c r="B58" s="366">
        <f t="shared" ref="B58:D58" si="54">SUM(F58,I58,L58,O58,R58,X58,AG58,AJ58,AN58,AQ58,AT58,AW58,AZ58,BC58,BF58,BI58,BL58,BO58,BR58,CA58,CG58,CJ58,CM58,CP58,CV58,CY58,DE58,DH58,DK58,DN58,DQ58,DT58,DZ58,EC58,EL58)</f>
        <v>83490</v>
      </c>
      <c r="C58" s="367">
        <f t="shared" si="54"/>
        <v>2898</v>
      </c>
      <c r="D58" s="368">
        <f t="shared" si="54"/>
        <v>36566</v>
      </c>
      <c r="E58" s="369">
        <f t="shared" si="1"/>
        <v>44026</v>
      </c>
      <c r="F58" s="15">
        <v>0</v>
      </c>
      <c r="G58" s="18">
        <v>0</v>
      </c>
      <c r="H58" s="317">
        <v>0</v>
      </c>
      <c r="I58" s="15">
        <v>0</v>
      </c>
      <c r="J58" s="18">
        <v>0</v>
      </c>
      <c r="K58" s="317">
        <v>0</v>
      </c>
      <c r="L58" s="105">
        <v>1</v>
      </c>
      <c r="M58" s="18">
        <v>0</v>
      </c>
      <c r="N58" s="317">
        <v>0</v>
      </c>
      <c r="O58" s="105">
        <v>1</v>
      </c>
      <c r="P58" s="18">
        <v>0</v>
      </c>
      <c r="Q58" s="317">
        <v>0</v>
      </c>
      <c r="R58" s="105">
        <v>38</v>
      </c>
      <c r="S58" s="95">
        <v>0</v>
      </c>
      <c r="T58" s="417">
        <v>0</v>
      </c>
      <c r="U58" s="15">
        <v>0</v>
      </c>
      <c r="V58" s="18">
        <v>0</v>
      </c>
      <c r="W58" s="317">
        <v>0</v>
      </c>
      <c r="X58" s="396">
        <v>0</v>
      </c>
      <c r="Y58" s="341">
        <v>0</v>
      </c>
      <c r="Z58" s="342">
        <v>0</v>
      </c>
      <c r="AA58" s="396">
        <v>0</v>
      </c>
      <c r="AB58" s="341">
        <v>0</v>
      </c>
      <c r="AC58" s="342">
        <v>0</v>
      </c>
      <c r="AD58" s="396">
        <v>0</v>
      </c>
      <c r="AE58" s="341">
        <v>0</v>
      </c>
      <c r="AF58" s="342">
        <v>0</v>
      </c>
      <c r="AG58" s="105">
        <v>1</v>
      </c>
      <c r="AH58" s="18">
        <v>0</v>
      </c>
      <c r="AI58" s="150">
        <v>1</v>
      </c>
      <c r="AJ58" s="105">
        <v>79261</v>
      </c>
      <c r="AK58" s="139">
        <v>2838</v>
      </c>
      <c r="AL58" s="397">
        <v>36268</v>
      </c>
      <c r="AM58" s="371">
        <f t="shared" si="2"/>
        <v>40155</v>
      </c>
      <c r="AN58" s="105">
        <v>3150</v>
      </c>
      <c r="AO58" s="139">
        <v>17</v>
      </c>
      <c r="AP58" s="150">
        <v>22</v>
      </c>
      <c r="AQ58" s="105">
        <v>19</v>
      </c>
      <c r="AR58" s="18">
        <v>0</v>
      </c>
      <c r="AS58" s="150">
        <v>5</v>
      </c>
      <c r="AT58" s="105">
        <v>2</v>
      </c>
      <c r="AU58" s="18">
        <v>0</v>
      </c>
      <c r="AV58" s="317">
        <v>0</v>
      </c>
      <c r="AW58" s="105">
        <v>94</v>
      </c>
      <c r="AX58" s="139">
        <v>2</v>
      </c>
      <c r="AY58" s="150">
        <v>30</v>
      </c>
      <c r="AZ58" s="105">
        <v>3</v>
      </c>
      <c r="BA58" s="18">
        <v>0</v>
      </c>
      <c r="BB58" s="150">
        <v>3</v>
      </c>
      <c r="BC58" s="18">
        <v>0</v>
      </c>
      <c r="BD58" s="18">
        <v>0</v>
      </c>
      <c r="BE58" s="17">
        <v>0</v>
      </c>
      <c r="BF58" s="105">
        <v>8</v>
      </c>
      <c r="BG58" s="18">
        <v>0</v>
      </c>
      <c r="BH58" s="317">
        <v>0</v>
      </c>
      <c r="BI58" s="105">
        <v>388</v>
      </c>
      <c r="BJ58" s="139">
        <v>34</v>
      </c>
      <c r="BK58" s="150">
        <v>73</v>
      </c>
      <c r="BL58" s="105">
        <v>5</v>
      </c>
      <c r="BM58" s="18">
        <v>0</v>
      </c>
      <c r="BN58" s="150">
        <v>1</v>
      </c>
      <c r="BO58" s="105">
        <v>230</v>
      </c>
      <c r="BP58" s="139">
        <v>5</v>
      </c>
      <c r="BQ58" s="150">
        <v>22</v>
      </c>
      <c r="BR58" s="15">
        <v>0</v>
      </c>
      <c r="BS58" s="15">
        <v>0</v>
      </c>
      <c r="BT58" s="17">
        <v>0</v>
      </c>
      <c r="BU58" s="15">
        <v>0</v>
      </c>
      <c r="BV58" s="15">
        <v>0</v>
      </c>
      <c r="BW58" s="17">
        <v>0</v>
      </c>
      <c r="BX58" s="15">
        <v>0</v>
      </c>
      <c r="BY58" s="15">
        <v>0</v>
      </c>
      <c r="BZ58" s="17">
        <v>0</v>
      </c>
      <c r="CA58" s="105">
        <v>45</v>
      </c>
      <c r="CB58" s="18">
        <v>0</v>
      </c>
      <c r="CC58" s="317">
        <v>0</v>
      </c>
      <c r="CD58" s="392">
        <v>0</v>
      </c>
      <c r="CE58" s="374">
        <v>0</v>
      </c>
      <c r="CF58" s="375">
        <v>0</v>
      </c>
      <c r="CG58" s="105">
        <v>2</v>
      </c>
      <c r="CH58" s="18">
        <v>0</v>
      </c>
      <c r="CI58" s="317">
        <v>0</v>
      </c>
      <c r="CJ58" s="105">
        <v>10</v>
      </c>
      <c r="CK58" s="18">
        <v>0</v>
      </c>
      <c r="CL58" s="150">
        <v>8</v>
      </c>
      <c r="CM58" s="105">
        <v>24</v>
      </c>
      <c r="CN58" s="18">
        <v>0</v>
      </c>
      <c r="CO58" s="150">
        <v>18</v>
      </c>
      <c r="CP58" s="396">
        <v>0</v>
      </c>
      <c r="CQ58" s="341">
        <v>0</v>
      </c>
      <c r="CR58" s="342">
        <v>0</v>
      </c>
      <c r="CS58" s="15">
        <v>0</v>
      </c>
      <c r="CT58" s="18">
        <v>0</v>
      </c>
      <c r="CU58" s="317">
        <v>0</v>
      </c>
      <c r="CV58" s="105">
        <v>1</v>
      </c>
      <c r="CW58" s="18">
        <v>0</v>
      </c>
      <c r="CX58" s="150">
        <v>1</v>
      </c>
      <c r="CY58" s="105">
        <v>6</v>
      </c>
      <c r="CZ58" s="18">
        <v>0</v>
      </c>
      <c r="DA58" s="317">
        <v>0</v>
      </c>
      <c r="DB58" s="396">
        <v>0</v>
      </c>
      <c r="DC58" s="341">
        <v>0</v>
      </c>
      <c r="DD58" s="342">
        <v>0</v>
      </c>
      <c r="DE58" s="105">
        <v>2</v>
      </c>
      <c r="DF58" s="18">
        <v>0</v>
      </c>
      <c r="DG58" s="317">
        <v>0</v>
      </c>
      <c r="DH58" s="15">
        <v>0</v>
      </c>
      <c r="DI58" s="18">
        <v>0</v>
      </c>
      <c r="DJ58" s="317">
        <v>0</v>
      </c>
      <c r="DK58" s="105">
        <v>3</v>
      </c>
      <c r="DL58" s="139">
        <v>1</v>
      </c>
      <c r="DM58" s="150">
        <v>1</v>
      </c>
      <c r="DN58" s="15">
        <v>0</v>
      </c>
      <c r="DO58" s="15">
        <v>0</v>
      </c>
      <c r="DP58" s="17">
        <v>0</v>
      </c>
      <c r="DQ58" s="105">
        <v>98</v>
      </c>
      <c r="DR58" s="18">
        <v>0</v>
      </c>
      <c r="DS58" s="150">
        <v>62</v>
      </c>
      <c r="DT58" s="105">
        <v>1</v>
      </c>
      <c r="DU58" s="18">
        <v>0</v>
      </c>
      <c r="DV58" s="150">
        <v>1</v>
      </c>
      <c r="DW58" s="396">
        <v>0</v>
      </c>
      <c r="DX58" s="341">
        <v>0</v>
      </c>
      <c r="DY58" s="342">
        <v>0</v>
      </c>
      <c r="DZ58" s="105">
        <v>39</v>
      </c>
      <c r="EA58" s="139">
        <v>1</v>
      </c>
      <c r="EB58" s="150">
        <v>6</v>
      </c>
      <c r="EC58" s="105">
        <v>42</v>
      </c>
      <c r="ED58" s="18">
        <v>0</v>
      </c>
      <c r="EE58" s="150">
        <v>28</v>
      </c>
      <c r="EF58" s="15">
        <v>0</v>
      </c>
      <c r="EG58" s="18">
        <v>0</v>
      </c>
      <c r="EH58" s="317">
        <v>0</v>
      </c>
      <c r="EI58" s="15">
        <v>0</v>
      </c>
      <c r="EJ58" s="18">
        <v>0</v>
      </c>
      <c r="EK58" s="317">
        <v>0</v>
      </c>
      <c r="EL58" s="105">
        <v>16</v>
      </c>
      <c r="EM58" s="18">
        <v>0</v>
      </c>
      <c r="EN58" s="150">
        <v>16</v>
      </c>
      <c r="EO58" s="15">
        <v>0</v>
      </c>
      <c r="EP58" s="18">
        <v>0</v>
      </c>
      <c r="EQ58" s="317">
        <v>0</v>
      </c>
      <c r="ER58" s="83"/>
      <c r="ES58" s="15">
        <v>0</v>
      </c>
      <c r="ET58" s="18">
        <v>0</v>
      </c>
      <c r="EU58" s="317">
        <v>0</v>
      </c>
      <c r="EV58" s="55"/>
      <c r="EW58" s="77" t="s">
        <v>224</v>
      </c>
    </row>
    <row r="59" spans="1:153" ht="12.75">
      <c r="A59" s="81">
        <v>43890</v>
      </c>
      <c r="B59" s="376">
        <f t="shared" ref="B59:D59" si="55">SUM(F59,I59,L59,O59,R59,X59,AG59,AJ59,AN59,AQ59,AT59,AW59,AZ59,BC59,BF59,BI59,BL59,BO59,BR59,CA59,CG59,CJ59,CM59,CP59,CV59,CY59,DE59,DH59,DK59,DN59,DQ59,DT59,DZ59,EC59,EL59)</f>
        <v>84889</v>
      </c>
      <c r="C59" s="377">
        <f t="shared" si="55"/>
        <v>2940</v>
      </c>
      <c r="D59" s="378">
        <f t="shared" si="55"/>
        <v>39638</v>
      </c>
      <c r="E59" s="379">
        <f t="shared" si="1"/>
        <v>42311</v>
      </c>
      <c r="F59" s="22">
        <v>0</v>
      </c>
      <c r="G59" s="27">
        <v>0</v>
      </c>
      <c r="H59" s="354">
        <v>0</v>
      </c>
      <c r="I59" s="22">
        <v>0</v>
      </c>
      <c r="J59" s="27">
        <v>0</v>
      </c>
      <c r="K59" s="354">
        <v>0</v>
      </c>
      <c r="L59" s="116">
        <v>1</v>
      </c>
      <c r="M59" s="27">
        <v>0</v>
      </c>
      <c r="N59" s="354">
        <v>0</v>
      </c>
      <c r="O59" s="116">
        <v>3</v>
      </c>
      <c r="P59" s="27">
        <v>0</v>
      </c>
      <c r="Q59" s="354">
        <v>0</v>
      </c>
      <c r="R59" s="116">
        <v>40</v>
      </c>
      <c r="S59" s="115">
        <v>0</v>
      </c>
      <c r="T59" s="427">
        <v>0</v>
      </c>
      <c r="U59" s="22">
        <v>0</v>
      </c>
      <c r="V59" s="27">
        <v>0</v>
      </c>
      <c r="W59" s="354">
        <v>0</v>
      </c>
      <c r="X59" s="400">
        <v>0</v>
      </c>
      <c r="Y59" s="429">
        <v>0</v>
      </c>
      <c r="Z59" s="431">
        <v>0</v>
      </c>
      <c r="AA59" s="400">
        <v>0</v>
      </c>
      <c r="AB59" s="429">
        <v>0</v>
      </c>
      <c r="AC59" s="431">
        <v>0</v>
      </c>
      <c r="AD59" s="400">
        <v>0</v>
      </c>
      <c r="AE59" s="429">
        <v>0</v>
      </c>
      <c r="AF59" s="431">
        <v>0</v>
      </c>
      <c r="AG59" s="116">
        <v>1</v>
      </c>
      <c r="AH59" s="27">
        <v>0</v>
      </c>
      <c r="AI59" s="162">
        <v>1</v>
      </c>
      <c r="AJ59" s="116">
        <v>79834</v>
      </c>
      <c r="AK59" s="163">
        <v>2870</v>
      </c>
      <c r="AL59" s="403">
        <v>39261</v>
      </c>
      <c r="AM59" s="383">
        <f t="shared" si="2"/>
        <v>37703</v>
      </c>
      <c r="AN59" s="116">
        <v>3736</v>
      </c>
      <c r="AO59" s="163">
        <v>18</v>
      </c>
      <c r="AP59" s="162">
        <v>27</v>
      </c>
      <c r="AQ59" s="116">
        <v>21</v>
      </c>
      <c r="AR59" s="27">
        <v>0</v>
      </c>
      <c r="AS59" s="162">
        <v>5</v>
      </c>
      <c r="AT59" s="116">
        <v>3</v>
      </c>
      <c r="AU59" s="27">
        <v>0</v>
      </c>
      <c r="AV59" s="354">
        <v>0</v>
      </c>
      <c r="AW59" s="116">
        <v>96</v>
      </c>
      <c r="AX59" s="163">
        <v>2</v>
      </c>
      <c r="AY59" s="162">
        <v>30</v>
      </c>
      <c r="AZ59" s="116">
        <v>3</v>
      </c>
      <c r="BA59" s="27">
        <v>0</v>
      </c>
      <c r="BB59" s="162">
        <v>3</v>
      </c>
      <c r="BC59" s="27">
        <v>0</v>
      </c>
      <c r="BD59" s="27">
        <v>0</v>
      </c>
      <c r="BE59" s="24">
        <v>0</v>
      </c>
      <c r="BF59" s="116">
        <v>13</v>
      </c>
      <c r="BG59" s="27">
        <v>0</v>
      </c>
      <c r="BH59" s="354">
        <v>0</v>
      </c>
      <c r="BI59" s="116">
        <v>593</v>
      </c>
      <c r="BJ59" s="163">
        <v>43</v>
      </c>
      <c r="BK59" s="162">
        <v>123</v>
      </c>
      <c r="BL59" s="116">
        <v>7</v>
      </c>
      <c r="BM59" s="27">
        <v>0</v>
      </c>
      <c r="BN59" s="162">
        <v>1</v>
      </c>
      <c r="BO59" s="116">
        <v>239</v>
      </c>
      <c r="BP59" s="163">
        <v>5</v>
      </c>
      <c r="BQ59" s="162">
        <v>32</v>
      </c>
      <c r="BR59" s="22">
        <v>0</v>
      </c>
      <c r="BS59" s="22">
        <v>0</v>
      </c>
      <c r="BT59" s="24">
        <v>0</v>
      </c>
      <c r="BU59" s="22">
        <v>0</v>
      </c>
      <c r="BV59" s="22">
        <v>0</v>
      </c>
      <c r="BW59" s="24">
        <v>0</v>
      </c>
      <c r="BX59" s="22">
        <v>0</v>
      </c>
      <c r="BY59" s="22">
        <v>0</v>
      </c>
      <c r="BZ59" s="24">
        <v>0</v>
      </c>
      <c r="CA59" s="116">
        <v>45</v>
      </c>
      <c r="CB59" s="27">
        <v>0</v>
      </c>
      <c r="CC59" s="354">
        <v>0</v>
      </c>
      <c r="CD59" s="384">
        <v>0</v>
      </c>
      <c r="CE59" s="434">
        <v>0</v>
      </c>
      <c r="CF59" s="435">
        <v>0</v>
      </c>
      <c r="CG59" s="116">
        <v>4</v>
      </c>
      <c r="CH59" s="27">
        <v>0</v>
      </c>
      <c r="CI59" s="354">
        <v>0</v>
      </c>
      <c r="CJ59" s="116">
        <v>10</v>
      </c>
      <c r="CK59" s="27">
        <v>0</v>
      </c>
      <c r="CL59" s="162">
        <v>8</v>
      </c>
      <c r="CM59" s="116">
        <v>25</v>
      </c>
      <c r="CN59" s="27">
        <v>0</v>
      </c>
      <c r="CO59" s="162">
        <v>18</v>
      </c>
      <c r="CP59" s="400">
        <v>0</v>
      </c>
      <c r="CQ59" s="429">
        <v>0</v>
      </c>
      <c r="CR59" s="431">
        <v>0</v>
      </c>
      <c r="CS59" s="22">
        <v>0</v>
      </c>
      <c r="CT59" s="27">
        <v>0</v>
      </c>
      <c r="CU59" s="354">
        <v>0</v>
      </c>
      <c r="CV59" s="116">
        <v>1</v>
      </c>
      <c r="CW59" s="27">
        <v>0</v>
      </c>
      <c r="CX59" s="162">
        <v>1</v>
      </c>
      <c r="CY59" s="116">
        <v>6</v>
      </c>
      <c r="CZ59" s="27">
        <v>0</v>
      </c>
      <c r="DA59" s="162">
        <v>1</v>
      </c>
      <c r="DB59" s="400">
        <v>0</v>
      </c>
      <c r="DC59" s="429">
        <v>0</v>
      </c>
      <c r="DD59" s="431">
        <v>0</v>
      </c>
      <c r="DE59" s="116">
        <v>4</v>
      </c>
      <c r="DF59" s="27">
        <v>0</v>
      </c>
      <c r="DG59" s="354">
        <v>0</v>
      </c>
      <c r="DH59" s="27">
        <v>0</v>
      </c>
      <c r="DI59" s="27">
        <v>0</v>
      </c>
      <c r="DJ59" s="354">
        <v>0</v>
      </c>
      <c r="DK59" s="116">
        <v>3</v>
      </c>
      <c r="DL59" s="163">
        <v>1</v>
      </c>
      <c r="DM59" s="162">
        <v>1</v>
      </c>
      <c r="DN59" s="116">
        <v>1</v>
      </c>
      <c r="DO59" s="27">
        <v>0</v>
      </c>
      <c r="DP59" s="354">
        <v>0</v>
      </c>
      <c r="DQ59" s="116">
        <v>102</v>
      </c>
      <c r="DR59" s="27">
        <v>0</v>
      </c>
      <c r="DS59" s="162">
        <v>72</v>
      </c>
      <c r="DT59" s="116">
        <v>1</v>
      </c>
      <c r="DU59" s="27">
        <v>0</v>
      </c>
      <c r="DV59" s="162">
        <v>1</v>
      </c>
      <c r="DW59" s="400">
        <v>0</v>
      </c>
      <c r="DX59" s="429">
        <v>0</v>
      </c>
      <c r="DY59" s="431">
        <v>0</v>
      </c>
      <c r="DZ59" s="116">
        <v>39</v>
      </c>
      <c r="EA59" s="163">
        <v>1</v>
      </c>
      <c r="EB59" s="162">
        <v>9</v>
      </c>
      <c r="EC59" s="116">
        <v>42</v>
      </c>
      <c r="ED59" s="27">
        <v>0</v>
      </c>
      <c r="EE59" s="162">
        <v>28</v>
      </c>
      <c r="EF59" s="27">
        <v>0</v>
      </c>
      <c r="EG59" s="27">
        <v>0</v>
      </c>
      <c r="EH59" s="354">
        <v>0</v>
      </c>
      <c r="EI59" s="27">
        <v>0</v>
      </c>
      <c r="EJ59" s="27">
        <v>0</v>
      </c>
      <c r="EK59" s="354">
        <v>0</v>
      </c>
      <c r="EL59" s="116">
        <v>16</v>
      </c>
      <c r="EM59" s="27">
        <v>0</v>
      </c>
      <c r="EN59" s="162">
        <v>16</v>
      </c>
      <c r="EO59" s="27">
        <v>0</v>
      </c>
      <c r="EP59" s="27">
        <v>0</v>
      </c>
      <c r="EQ59" s="354">
        <v>0</v>
      </c>
      <c r="ER59" s="83"/>
      <c r="ES59" s="27">
        <v>0</v>
      </c>
      <c r="ET59" s="27">
        <v>0</v>
      </c>
      <c r="EU59" s="354">
        <v>0</v>
      </c>
      <c r="EV59" s="66" t="s">
        <v>1082</v>
      </c>
      <c r="EW59" s="77" t="s">
        <v>1083</v>
      </c>
    </row>
    <row r="60" spans="1:153" ht="12.75">
      <c r="A60" s="93">
        <v>43891</v>
      </c>
      <c r="B60" s="366">
        <f t="shared" ref="B60:D60" si="56">SUM(F60,I60,L60,O60,R60,X60,AG60,AJ60,AN60,AQ60,AT60,AW60,AZ60,BC60,BF60,BI60,BL60,BO60,BR60,CA60,CG60,CJ60,CM60,CP60,CV60,CY60,DE60,DH60,DK60,DN60,DQ60,DT60,DZ60,EC60,EL60)</f>
        <v>85987</v>
      </c>
      <c r="C60" s="367">
        <f t="shared" si="56"/>
        <v>2999</v>
      </c>
      <c r="D60" s="368">
        <f t="shared" si="56"/>
        <v>42547</v>
      </c>
      <c r="E60" s="369">
        <f t="shared" si="1"/>
        <v>40441</v>
      </c>
      <c r="F60" s="15">
        <v>0</v>
      </c>
      <c r="G60" s="18">
        <v>0</v>
      </c>
      <c r="H60" s="317">
        <v>0</v>
      </c>
      <c r="I60" s="105">
        <v>1</v>
      </c>
      <c r="J60" s="18">
        <v>0</v>
      </c>
      <c r="K60" s="317">
        <v>0</v>
      </c>
      <c r="L60" s="105">
        <v>1</v>
      </c>
      <c r="M60" s="18">
        <v>0</v>
      </c>
      <c r="N60" s="317">
        <v>0</v>
      </c>
      <c r="O60" s="105">
        <v>3</v>
      </c>
      <c r="P60" s="18">
        <v>0</v>
      </c>
      <c r="Q60" s="317">
        <v>0</v>
      </c>
      <c r="R60" s="105">
        <v>41</v>
      </c>
      <c r="S60" s="139">
        <v>0</v>
      </c>
      <c r="T60" s="150">
        <v>0</v>
      </c>
      <c r="U60" s="15">
        <v>0</v>
      </c>
      <c r="V60" s="18">
        <v>0</v>
      </c>
      <c r="W60" s="317">
        <v>0</v>
      </c>
      <c r="X60" s="396">
        <v>0</v>
      </c>
      <c r="Y60" s="341">
        <v>0</v>
      </c>
      <c r="Z60" s="342">
        <v>0</v>
      </c>
      <c r="AA60" s="396">
        <v>0</v>
      </c>
      <c r="AB60" s="341">
        <v>0</v>
      </c>
      <c r="AC60" s="342">
        <v>0</v>
      </c>
      <c r="AD60" s="396">
        <v>0</v>
      </c>
      <c r="AE60" s="341">
        <v>0</v>
      </c>
      <c r="AF60" s="342">
        <v>0</v>
      </c>
      <c r="AG60" s="105">
        <v>1</v>
      </c>
      <c r="AH60" s="18">
        <v>0</v>
      </c>
      <c r="AI60" s="150">
        <v>1</v>
      </c>
      <c r="AJ60" s="105">
        <v>80036</v>
      </c>
      <c r="AK60" s="139">
        <v>2912</v>
      </c>
      <c r="AL60" s="397">
        <v>42109</v>
      </c>
      <c r="AM60" s="371">
        <f t="shared" si="2"/>
        <v>35015</v>
      </c>
      <c r="AN60" s="105">
        <v>4212</v>
      </c>
      <c r="AO60" s="139">
        <v>22</v>
      </c>
      <c r="AP60" s="150">
        <v>30</v>
      </c>
      <c r="AQ60" s="105">
        <v>21</v>
      </c>
      <c r="AR60" s="18">
        <v>0</v>
      </c>
      <c r="AS60" s="150">
        <v>5</v>
      </c>
      <c r="AT60" s="105">
        <v>3</v>
      </c>
      <c r="AU60" s="18">
        <v>0</v>
      </c>
      <c r="AV60" s="317">
        <v>0</v>
      </c>
      <c r="AW60" s="105">
        <v>98</v>
      </c>
      <c r="AX60" s="139">
        <v>2</v>
      </c>
      <c r="AY60" s="150">
        <v>36</v>
      </c>
      <c r="AZ60" s="105">
        <v>3</v>
      </c>
      <c r="BA60" s="18">
        <v>0</v>
      </c>
      <c r="BB60" s="150">
        <v>3</v>
      </c>
      <c r="BC60" s="18">
        <v>0</v>
      </c>
      <c r="BD60" s="18">
        <v>0</v>
      </c>
      <c r="BE60" s="17">
        <v>0</v>
      </c>
      <c r="BF60" s="105">
        <v>19</v>
      </c>
      <c r="BG60" s="18">
        <v>0</v>
      </c>
      <c r="BH60" s="317">
        <v>0</v>
      </c>
      <c r="BI60" s="105">
        <v>978</v>
      </c>
      <c r="BJ60" s="139">
        <v>54</v>
      </c>
      <c r="BK60" s="150">
        <v>175</v>
      </c>
      <c r="BL60" s="105">
        <v>7</v>
      </c>
      <c r="BM60" s="18">
        <v>0</v>
      </c>
      <c r="BN60" s="150">
        <v>1</v>
      </c>
      <c r="BO60" s="105">
        <v>254</v>
      </c>
      <c r="BP60" s="139">
        <v>6</v>
      </c>
      <c r="BQ60" s="150">
        <v>32</v>
      </c>
      <c r="BR60" s="15">
        <v>0</v>
      </c>
      <c r="BS60" s="15">
        <v>0</v>
      </c>
      <c r="BT60" s="17">
        <v>0</v>
      </c>
      <c r="BU60" s="15">
        <v>0</v>
      </c>
      <c r="BV60" s="15">
        <v>0</v>
      </c>
      <c r="BW60" s="17">
        <v>0</v>
      </c>
      <c r="BX60" s="15">
        <v>0</v>
      </c>
      <c r="BY60" s="15">
        <v>0</v>
      </c>
      <c r="BZ60" s="17">
        <v>0</v>
      </c>
      <c r="CA60" s="105">
        <v>45</v>
      </c>
      <c r="CB60" s="18">
        <v>0</v>
      </c>
      <c r="CC60" s="317">
        <v>0</v>
      </c>
      <c r="CD60" s="392">
        <v>0</v>
      </c>
      <c r="CE60" s="374">
        <v>0</v>
      </c>
      <c r="CF60" s="375">
        <v>0</v>
      </c>
      <c r="CG60" s="105">
        <v>10</v>
      </c>
      <c r="CH60" s="18">
        <v>0</v>
      </c>
      <c r="CI60" s="317">
        <v>0</v>
      </c>
      <c r="CJ60" s="105">
        <v>10</v>
      </c>
      <c r="CK60" s="18">
        <v>0</v>
      </c>
      <c r="CL60" s="150">
        <v>8</v>
      </c>
      <c r="CM60" s="105">
        <v>24</v>
      </c>
      <c r="CN60" s="18">
        <v>0</v>
      </c>
      <c r="CO60" s="150">
        <v>18</v>
      </c>
      <c r="CP60" s="396">
        <v>0</v>
      </c>
      <c r="CQ60" s="341">
        <v>0</v>
      </c>
      <c r="CR60" s="342">
        <v>0</v>
      </c>
      <c r="CS60" s="15">
        <v>0</v>
      </c>
      <c r="CT60" s="18">
        <v>0</v>
      </c>
      <c r="CU60" s="317">
        <v>0</v>
      </c>
      <c r="CV60" s="105">
        <v>1</v>
      </c>
      <c r="CW60" s="18">
        <v>0</v>
      </c>
      <c r="CX60" s="150">
        <v>1</v>
      </c>
      <c r="CY60" s="105">
        <v>6</v>
      </c>
      <c r="CZ60" s="18">
        <v>0</v>
      </c>
      <c r="DA60" s="150">
        <v>1</v>
      </c>
      <c r="DB60" s="396">
        <v>0</v>
      </c>
      <c r="DC60" s="341">
        <v>0</v>
      </c>
      <c r="DD60" s="342">
        <v>0</v>
      </c>
      <c r="DE60" s="105">
        <v>4</v>
      </c>
      <c r="DF60" s="18">
        <v>0</v>
      </c>
      <c r="DG60" s="317">
        <v>0</v>
      </c>
      <c r="DH60" s="15">
        <v>0</v>
      </c>
      <c r="DI60" s="18">
        <v>0</v>
      </c>
      <c r="DJ60" s="317">
        <v>0</v>
      </c>
      <c r="DK60" s="105">
        <v>3</v>
      </c>
      <c r="DL60" s="139">
        <v>1</v>
      </c>
      <c r="DM60" s="150">
        <v>1</v>
      </c>
      <c r="DN60" s="105">
        <v>1</v>
      </c>
      <c r="DO60" s="18">
        <v>0</v>
      </c>
      <c r="DP60" s="317">
        <v>0</v>
      </c>
      <c r="DQ60" s="105">
        <v>106</v>
      </c>
      <c r="DR60" s="18">
        <v>0</v>
      </c>
      <c r="DS60" s="150">
        <v>72</v>
      </c>
      <c r="DT60" s="105">
        <v>1</v>
      </c>
      <c r="DU60" s="18">
        <v>0</v>
      </c>
      <c r="DV60" s="150">
        <v>1</v>
      </c>
      <c r="DW60" s="396">
        <v>0</v>
      </c>
      <c r="DX60" s="341">
        <v>0</v>
      </c>
      <c r="DY60" s="342">
        <v>0</v>
      </c>
      <c r="DZ60" s="105">
        <v>40</v>
      </c>
      <c r="EA60" s="139">
        <v>1</v>
      </c>
      <c r="EB60" s="150">
        <v>9</v>
      </c>
      <c r="EC60" s="105">
        <v>42</v>
      </c>
      <c r="ED60" s="139">
        <v>1</v>
      </c>
      <c r="EE60" s="150">
        <v>28</v>
      </c>
      <c r="EF60" s="18">
        <v>0</v>
      </c>
      <c r="EG60" s="18">
        <v>0</v>
      </c>
      <c r="EH60" s="317">
        <v>0</v>
      </c>
      <c r="EI60" s="15">
        <v>0</v>
      </c>
      <c r="EJ60" s="18">
        <v>0</v>
      </c>
      <c r="EK60" s="317">
        <v>0</v>
      </c>
      <c r="EL60" s="105">
        <v>16</v>
      </c>
      <c r="EM60" s="18">
        <v>0</v>
      </c>
      <c r="EN60" s="150">
        <v>16</v>
      </c>
      <c r="EO60" s="18">
        <v>0</v>
      </c>
      <c r="EP60" s="18">
        <v>0</v>
      </c>
      <c r="EQ60" s="317">
        <v>0</v>
      </c>
      <c r="ER60" s="83"/>
      <c r="ES60" s="18">
        <v>0</v>
      </c>
      <c r="ET60" s="18">
        <v>0</v>
      </c>
      <c r="EU60" s="317">
        <v>0</v>
      </c>
      <c r="EV60" s="55" t="s">
        <v>1084</v>
      </c>
      <c r="EW60" s="64" t="s">
        <v>1085</v>
      </c>
    </row>
    <row r="61" spans="1:153" ht="12.75">
      <c r="A61" s="93">
        <v>43892</v>
      </c>
      <c r="B61" s="366">
        <f t="shared" ref="B61:D61" si="57">SUM(F61,I61,L61,O61,R61,X61,AG61,AJ61,AN61,AQ61,AT61,AW61,AZ61,BC61,BF61,BI61,BL61,BO61,BR61,CA61,CG61,CJ61,CM61,CP61,CV61,CY61,DE61,DH61,DK61,DN61,DQ61,DT61,DZ61,EC61,EL61)</f>
        <v>86689</v>
      </c>
      <c r="C61" s="367">
        <f t="shared" si="57"/>
        <v>3011</v>
      </c>
      <c r="D61" s="368">
        <f t="shared" si="57"/>
        <v>45355</v>
      </c>
      <c r="E61" s="369">
        <f t="shared" si="1"/>
        <v>38323</v>
      </c>
      <c r="F61" s="15">
        <v>0</v>
      </c>
      <c r="G61" s="18">
        <v>0</v>
      </c>
      <c r="H61" s="317">
        <v>0</v>
      </c>
      <c r="I61" s="105">
        <v>1</v>
      </c>
      <c r="J61" s="18">
        <v>0</v>
      </c>
      <c r="K61" s="317">
        <v>0</v>
      </c>
      <c r="L61" s="105">
        <v>1</v>
      </c>
      <c r="M61" s="18">
        <v>0</v>
      </c>
      <c r="N61" s="317">
        <v>0</v>
      </c>
      <c r="O61" s="105">
        <v>3</v>
      </c>
      <c r="P61" s="18">
        <v>0</v>
      </c>
      <c r="Q61" s="317">
        <v>0</v>
      </c>
      <c r="R61" s="105">
        <v>49</v>
      </c>
      <c r="S61" s="139">
        <v>0</v>
      </c>
      <c r="T61" s="150">
        <v>0</v>
      </c>
      <c r="U61" s="15">
        <v>0</v>
      </c>
      <c r="V61" s="18">
        <v>0</v>
      </c>
      <c r="W61" s="317">
        <v>0</v>
      </c>
      <c r="X61" s="396">
        <v>0</v>
      </c>
      <c r="Y61" s="341">
        <v>0</v>
      </c>
      <c r="Z61" s="342">
        <v>0</v>
      </c>
      <c r="AA61" s="396">
        <v>0</v>
      </c>
      <c r="AB61" s="341">
        <v>0</v>
      </c>
      <c r="AC61" s="342">
        <v>0</v>
      </c>
      <c r="AD61" s="396">
        <v>0</v>
      </c>
      <c r="AE61" s="341">
        <v>0</v>
      </c>
      <c r="AF61" s="342">
        <v>0</v>
      </c>
      <c r="AG61" s="105">
        <v>1</v>
      </c>
      <c r="AH61" s="18">
        <v>0</v>
      </c>
      <c r="AI61" s="150">
        <v>1</v>
      </c>
      <c r="AJ61" s="105">
        <v>80026</v>
      </c>
      <c r="AK61" s="139">
        <v>2912</v>
      </c>
      <c r="AL61" s="397">
        <v>44789</v>
      </c>
      <c r="AM61" s="371">
        <f t="shared" si="2"/>
        <v>32325</v>
      </c>
      <c r="AN61" s="105">
        <v>4335</v>
      </c>
      <c r="AO61" s="139">
        <v>22</v>
      </c>
      <c r="AP61" s="150">
        <v>30</v>
      </c>
      <c r="AQ61" s="105">
        <v>21</v>
      </c>
      <c r="AR61" s="18">
        <v>0</v>
      </c>
      <c r="AS61" s="150">
        <v>5</v>
      </c>
      <c r="AT61" s="105">
        <v>3</v>
      </c>
      <c r="AU61" s="18">
        <v>0</v>
      </c>
      <c r="AV61" s="317">
        <v>0</v>
      </c>
      <c r="AW61" s="105">
        <v>98</v>
      </c>
      <c r="AX61" s="139">
        <v>2</v>
      </c>
      <c r="AY61" s="150">
        <v>36</v>
      </c>
      <c r="AZ61" s="105">
        <v>3</v>
      </c>
      <c r="BA61" s="18">
        <v>0</v>
      </c>
      <c r="BB61" s="150">
        <v>3</v>
      </c>
      <c r="BC61" s="105">
        <v>2</v>
      </c>
      <c r="BD61" s="18">
        <v>0</v>
      </c>
      <c r="BE61" s="17">
        <v>0</v>
      </c>
      <c r="BF61" s="105">
        <v>26</v>
      </c>
      <c r="BG61" s="18">
        <v>0</v>
      </c>
      <c r="BH61" s="317">
        <v>0</v>
      </c>
      <c r="BI61" s="105">
        <v>1501</v>
      </c>
      <c r="BJ61" s="139">
        <v>66</v>
      </c>
      <c r="BK61" s="150">
        <v>291</v>
      </c>
      <c r="BL61" s="105">
        <v>10</v>
      </c>
      <c r="BM61" s="18">
        <v>0</v>
      </c>
      <c r="BN61" s="150">
        <v>1</v>
      </c>
      <c r="BO61" s="105">
        <v>274</v>
      </c>
      <c r="BP61" s="139">
        <v>6</v>
      </c>
      <c r="BQ61" s="150">
        <v>32</v>
      </c>
      <c r="BR61" s="105">
        <v>1</v>
      </c>
      <c r="BS61" s="15">
        <v>0</v>
      </c>
      <c r="BT61" s="17">
        <v>0</v>
      </c>
      <c r="BU61" s="15">
        <v>0</v>
      </c>
      <c r="BV61" s="15">
        <v>0</v>
      </c>
      <c r="BW61" s="17">
        <v>0</v>
      </c>
      <c r="BX61" s="15">
        <v>0</v>
      </c>
      <c r="BY61" s="15">
        <v>0</v>
      </c>
      <c r="BZ61" s="17">
        <v>0</v>
      </c>
      <c r="CA61" s="105">
        <v>56</v>
      </c>
      <c r="CB61" s="18">
        <v>0</v>
      </c>
      <c r="CC61" s="317">
        <v>0</v>
      </c>
      <c r="CD61" s="394">
        <v>0</v>
      </c>
      <c r="CE61" s="387">
        <v>0</v>
      </c>
      <c r="CF61" s="388">
        <v>0</v>
      </c>
      <c r="CG61" s="105">
        <v>13</v>
      </c>
      <c r="CH61" s="18">
        <v>0</v>
      </c>
      <c r="CI61" s="317">
        <v>0</v>
      </c>
      <c r="CJ61" s="105">
        <v>10</v>
      </c>
      <c r="CK61" s="18">
        <v>0</v>
      </c>
      <c r="CL61" s="150">
        <v>8</v>
      </c>
      <c r="CM61" s="105">
        <v>29</v>
      </c>
      <c r="CN61" s="18">
        <v>0</v>
      </c>
      <c r="CO61" s="150">
        <v>18</v>
      </c>
      <c r="CP61" s="396">
        <v>0</v>
      </c>
      <c r="CQ61" s="341">
        <v>0</v>
      </c>
      <c r="CR61" s="342">
        <v>0</v>
      </c>
      <c r="CS61" s="15">
        <v>0</v>
      </c>
      <c r="CT61" s="18">
        <v>0</v>
      </c>
      <c r="CU61" s="317">
        <v>0</v>
      </c>
      <c r="CV61" s="105">
        <v>1</v>
      </c>
      <c r="CW61" s="18">
        <v>0</v>
      </c>
      <c r="CX61" s="150">
        <v>1</v>
      </c>
      <c r="CY61" s="105">
        <v>6</v>
      </c>
      <c r="CZ61" s="18">
        <v>0</v>
      </c>
      <c r="DA61" s="150">
        <v>1</v>
      </c>
      <c r="DB61" s="396">
        <v>0</v>
      </c>
      <c r="DC61" s="341">
        <v>0</v>
      </c>
      <c r="DD61" s="342">
        <v>0</v>
      </c>
      <c r="DE61" s="105">
        <v>4</v>
      </c>
      <c r="DF61" s="18">
        <v>0</v>
      </c>
      <c r="DG61" s="317">
        <v>0</v>
      </c>
      <c r="DH61" s="18">
        <v>0</v>
      </c>
      <c r="DI61" s="18">
        <v>0</v>
      </c>
      <c r="DJ61" s="317">
        <v>0</v>
      </c>
      <c r="DK61" s="105">
        <v>3</v>
      </c>
      <c r="DL61" s="139">
        <v>1</v>
      </c>
      <c r="DM61" s="150">
        <v>1</v>
      </c>
      <c r="DN61" s="105">
        <v>3</v>
      </c>
      <c r="DO61" s="18">
        <v>0</v>
      </c>
      <c r="DP61" s="317">
        <v>0</v>
      </c>
      <c r="DQ61" s="105">
        <v>108</v>
      </c>
      <c r="DR61" s="18">
        <v>0</v>
      </c>
      <c r="DS61" s="150">
        <v>78</v>
      </c>
      <c r="DT61" s="105">
        <v>1</v>
      </c>
      <c r="DU61" s="18">
        <v>0</v>
      </c>
      <c r="DV61" s="150">
        <v>1</v>
      </c>
      <c r="DW61" s="396">
        <v>0</v>
      </c>
      <c r="DX61" s="341">
        <v>0</v>
      </c>
      <c r="DY61" s="342">
        <v>0</v>
      </c>
      <c r="DZ61" s="105">
        <v>41</v>
      </c>
      <c r="EA61" s="139">
        <v>1</v>
      </c>
      <c r="EB61" s="150">
        <v>12</v>
      </c>
      <c r="EC61" s="105">
        <v>43</v>
      </c>
      <c r="ED61" s="139">
        <v>1</v>
      </c>
      <c r="EE61" s="150">
        <v>31</v>
      </c>
      <c r="EF61" s="18">
        <v>0</v>
      </c>
      <c r="EG61" s="18">
        <v>0</v>
      </c>
      <c r="EH61" s="317">
        <v>0</v>
      </c>
      <c r="EI61" s="18">
        <v>0</v>
      </c>
      <c r="EJ61" s="18">
        <v>0</v>
      </c>
      <c r="EK61" s="317">
        <v>0</v>
      </c>
      <c r="EL61" s="105">
        <v>16</v>
      </c>
      <c r="EM61" s="18">
        <v>0</v>
      </c>
      <c r="EN61" s="150">
        <v>16</v>
      </c>
      <c r="EO61" s="18">
        <v>0</v>
      </c>
      <c r="EP61" s="18">
        <v>0</v>
      </c>
      <c r="EQ61" s="317">
        <v>0</v>
      </c>
      <c r="ER61" s="83"/>
      <c r="ES61" s="18">
        <v>0</v>
      </c>
      <c r="ET61" s="18">
        <v>0</v>
      </c>
      <c r="EU61" s="317">
        <v>0</v>
      </c>
      <c r="EV61" s="55" t="s">
        <v>1087</v>
      </c>
      <c r="EW61" s="57" t="s">
        <v>1088</v>
      </c>
    </row>
    <row r="62" spans="1:153" ht="12.75">
      <c r="A62" s="93">
        <v>43893</v>
      </c>
      <c r="B62" s="366">
        <f t="shared" ref="B62:D62" si="58">SUM(F62,I62,L62,O62,R62,X62,AG62,AJ62,AN62,AQ62,AT62,AW62,AZ62,BC62,BF62,BI62,BL62,BO62,BR62,CA62,CG62,CJ62,CM62,CP62,CV62,CY62,DE62,DH62,DK62,DN62,DQ62,DT62,DZ62,EC62,EL62)</f>
        <v>88553</v>
      </c>
      <c r="C62" s="367">
        <f t="shared" si="58"/>
        <v>3061</v>
      </c>
      <c r="D62" s="368">
        <f t="shared" si="58"/>
        <v>47959</v>
      </c>
      <c r="E62" s="369">
        <f t="shared" si="1"/>
        <v>37533</v>
      </c>
      <c r="F62" s="105">
        <v>1</v>
      </c>
      <c r="G62" s="18">
        <v>0</v>
      </c>
      <c r="H62" s="317">
        <v>0</v>
      </c>
      <c r="I62" s="105">
        <v>1</v>
      </c>
      <c r="J62" s="18">
        <v>0</v>
      </c>
      <c r="K62" s="317">
        <v>0</v>
      </c>
      <c r="L62" s="105">
        <v>1</v>
      </c>
      <c r="M62" s="18">
        <v>0</v>
      </c>
      <c r="N62" s="317">
        <v>0</v>
      </c>
      <c r="O62" s="105">
        <v>3</v>
      </c>
      <c r="P62" s="18">
        <v>0</v>
      </c>
      <c r="Q62" s="317">
        <v>0</v>
      </c>
      <c r="R62" s="105">
        <v>49</v>
      </c>
      <c r="S62" s="139">
        <v>0</v>
      </c>
      <c r="T62" s="150">
        <v>0</v>
      </c>
      <c r="U62" s="15">
        <v>0</v>
      </c>
      <c r="V62" s="18">
        <v>0</v>
      </c>
      <c r="W62" s="317">
        <v>0</v>
      </c>
      <c r="X62" s="396">
        <v>0</v>
      </c>
      <c r="Y62" s="341">
        <v>0</v>
      </c>
      <c r="Z62" s="342">
        <v>0</v>
      </c>
      <c r="AA62" s="396">
        <v>0</v>
      </c>
      <c r="AB62" s="341">
        <v>0</v>
      </c>
      <c r="AC62" s="342">
        <v>0</v>
      </c>
      <c r="AD62" s="396">
        <v>0</v>
      </c>
      <c r="AE62" s="341">
        <v>0</v>
      </c>
      <c r="AF62" s="342">
        <v>0</v>
      </c>
      <c r="AG62" s="105">
        <v>1</v>
      </c>
      <c r="AH62" s="18">
        <v>0</v>
      </c>
      <c r="AI62" s="150">
        <v>1</v>
      </c>
      <c r="AJ62" s="105">
        <v>80151</v>
      </c>
      <c r="AK62" s="139">
        <v>2945</v>
      </c>
      <c r="AL62" s="397">
        <v>47376</v>
      </c>
      <c r="AM62" s="371">
        <f t="shared" si="2"/>
        <v>29830</v>
      </c>
      <c r="AN62" s="105">
        <v>5186</v>
      </c>
      <c r="AO62" s="139">
        <v>28</v>
      </c>
      <c r="AP62" s="150">
        <v>30</v>
      </c>
      <c r="AQ62" s="105">
        <v>21</v>
      </c>
      <c r="AR62" s="18">
        <v>0</v>
      </c>
      <c r="AS62" s="150">
        <v>5</v>
      </c>
      <c r="AT62" s="105">
        <v>3</v>
      </c>
      <c r="AU62" s="18">
        <v>0</v>
      </c>
      <c r="AV62" s="317">
        <v>0</v>
      </c>
      <c r="AW62" s="105">
        <v>100</v>
      </c>
      <c r="AX62" s="139">
        <v>2</v>
      </c>
      <c r="AY62" s="150">
        <v>37</v>
      </c>
      <c r="AZ62" s="105">
        <v>5</v>
      </c>
      <c r="BA62" s="18">
        <v>0</v>
      </c>
      <c r="BB62" s="150">
        <v>3</v>
      </c>
      <c r="BC62" s="105">
        <v>2</v>
      </c>
      <c r="BD62" s="18">
        <v>0</v>
      </c>
      <c r="BE62" s="17">
        <v>0</v>
      </c>
      <c r="BF62" s="105">
        <v>32</v>
      </c>
      <c r="BG62" s="18">
        <v>0</v>
      </c>
      <c r="BH62" s="317">
        <v>0</v>
      </c>
      <c r="BI62" s="105">
        <v>2336</v>
      </c>
      <c r="BJ62" s="139">
        <v>77</v>
      </c>
      <c r="BK62" s="150">
        <v>291</v>
      </c>
      <c r="BL62" s="105">
        <v>12</v>
      </c>
      <c r="BM62" s="18">
        <v>0</v>
      </c>
      <c r="BN62" s="150">
        <v>1</v>
      </c>
      <c r="BO62" s="105">
        <v>293</v>
      </c>
      <c r="BP62" s="139">
        <v>6</v>
      </c>
      <c r="BQ62" s="150">
        <v>43</v>
      </c>
      <c r="BR62" s="105">
        <v>1</v>
      </c>
      <c r="BS62" s="18">
        <v>0</v>
      </c>
      <c r="BT62" s="317">
        <v>0</v>
      </c>
      <c r="BU62" s="15">
        <v>0</v>
      </c>
      <c r="BV62" s="18">
        <v>0</v>
      </c>
      <c r="BW62" s="317">
        <v>0</v>
      </c>
      <c r="BX62" s="15">
        <v>0</v>
      </c>
      <c r="BY62" s="18">
        <v>0</v>
      </c>
      <c r="BZ62" s="317">
        <v>0</v>
      </c>
      <c r="CA62" s="105">
        <v>56</v>
      </c>
      <c r="CB62" s="18">
        <v>0</v>
      </c>
      <c r="CC62" s="317">
        <v>0</v>
      </c>
      <c r="CD62" s="392">
        <v>0</v>
      </c>
      <c r="CE62" s="374">
        <v>0</v>
      </c>
      <c r="CF62" s="375">
        <v>0</v>
      </c>
      <c r="CG62" s="105">
        <v>13</v>
      </c>
      <c r="CH62" s="18">
        <v>0</v>
      </c>
      <c r="CI62" s="317">
        <v>0</v>
      </c>
      <c r="CJ62" s="105">
        <v>10</v>
      </c>
      <c r="CK62" s="18">
        <v>0</v>
      </c>
      <c r="CL62" s="150">
        <v>8</v>
      </c>
      <c r="CM62" s="105">
        <v>36</v>
      </c>
      <c r="CN62" s="18">
        <v>0</v>
      </c>
      <c r="CO62" s="150">
        <v>22</v>
      </c>
      <c r="CP62" s="396">
        <v>0</v>
      </c>
      <c r="CQ62" s="341">
        <v>0</v>
      </c>
      <c r="CR62" s="342">
        <v>0</v>
      </c>
      <c r="CS62" s="15">
        <v>0</v>
      </c>
      <c r="CT62" s="18">
        <v>0</v>
      </c>
      <c r="CU62" s="317">
        <v>0</v>
      </c>
      <c r="CV62" s="105">
        <v>1</v>
      </c>
      <c r="CW62" s="18">
        <v>0</v>
      </c>
      <c r="CX62" s="150">
        <v>1</v>
      </c>
      <c r="CY62" s="105">
        <v>12</v>
      </c>
      <c r="CZ62" s="18">
        <v>0</v>
      </c>
      <c r="DA62" s="150">
        <v>2</v>
      </c>
      <c r="DB62" s="396">
        <v>0</v>
      </c>
      <c r="DC62" s="341">
        <v>0</v>
      </c>
      <c r="DD62" s="342">
        <v>0</v>
      </c>
      <c r="DE62" s="105">
        <v>5</v>
      </c>
      <c r="DF62" s="18">
        <v>0</v>
      </c>
      <c r="DG62" s="317">
        <v>0</v>
      </c>
      <c r="DH62" s="15">
        <v>0</v>
      </c>
      <c r="DI62" s="18">
        <v>0</v>
      </c>
      <c r="DJ62" s="317">
        <v>0</v>
      </c>
      <c r="DK62" s="105">
        <v>3</v>
      </c>
      <c r="DL62" s="139">
        <v>1</v>
      </c>
      <c r="DM62" s="150">
        <v>1</v>
      </c>
      <c r="DN62" s="105">
        <v>7</v>
      </c>
      <c r="DO62" s="18">
        <v>0</v>
      </c>
      <c r="DP62" s="317">
        <v>0</v>
      </c>
      <c r="DQ62" s="105">
        <v>110</v>
      </c>
      <c r="DR62" s="18">
        <v>0</v>
      </c>
      <c r="DS62" s="150">
        <v>78</v>
      </c>
      <c r="DT62" s="105">
        <v>1</v>
      </c>
      <c r="DU62" s="18">
        <v>0</v>
      </c>
      <c r="DV62" s="150">
        <v>1</v>
      </c>
      <c r="DW62" s="396">
        <v>0</v>
      </c>
      <c r="DX62" s="341">
        <v>0</v>
      </c>
      <c r="DY62" s="342">
        <v>0</v>
      </c>
      <c r="DZ62" s="105">
        <v>42</v>
      </c>
      <c r="EA62" s="139">
        <v>1</v>
      </c>
      <c r="EB62" s="150">
        <v>12</v>
      </c>
      <c r="EC62" s="105">
        <v>43</v>
      </c>
      <c r="ED62" s="139">
        <v>1</v>
      </c>
      <c r="EE62" s="150">
        <v>31</v>
      </c>
      <c r="EF62" s="18">
        <v>0</v>
      </c>
      <c r="EG62" s="18">
        <v>0</v>
      </c>
      <c r="EH62" s="317">
        <v>0</v>
      </c>
      <c r="EI62" s="15">
        <v>0</v>
      </c>
      <c r="EJ62" s="18">
        <v>0</v>
      </c>
      <c r="EK62" s="317">
        <v>0</v>
      </c>
      <c r="EL62" s="105">
        <v>16</v>
      </c>
      <c r="EM62" s="18">
        <v>0</v>
      </c>
      <c r="EN62" s="150">
        <v>16</v>
      </c>
      <c r="EO62" s="18">
        <v>0</v>
      </c>
      <c r="EP62" s="18">
        <v>0</v>
      </c>
      <c r="EQ62" s="317">
        <v>0</v>
      </c>
      <c r="ER62" s="83"/>
      <c r="ES62" s="18">
        <v>0</v>
      </c>
      <c r="ET62" s="18">
        <v>0</v>
      </c>
      <c r="EU62" s="317">
        <v>0</v>
      </c>
      <c r="EV62" s="55" t="s">
        <v>1089</v>
      </c>
      <c r="EW62" s="64"/>
    </row>
    <row r="63" spans="1:153" ht="12.75">
      <c r="A63" s="93">
        <v>43894</v>
      </c>
      <c r="B63" s="366">
        <f t="shared" ref="B63:D63" si="59">SUM(F63,I63,L63,O63,R63,X63,AG63,AJ63,AN63,AQ63,AT63,AW63,AZ63,BC63,BF63,BI63,BL63,BO63,BR63,CA63,CG63,CJ63,CM63,CP63,CV63,CY63,DE63,DH63,DK63,DN63,DQ63,DT63,DZ63,EC63,EL63)</f>
        <v>89789</v>
      </c>
      <c r="C63" s="367">
        <f t="shared" si="59"/>
        <v>3121</v>
      </c>
      <c r="D63" s="368">
        <f t="shared" si="59"/>
        <v>50797</v>
      </c>
      <c r="E63" s="369">
        <f t="shared" si="1"/>
        <v>35871</v>
      </c>
      <c r="F63" s="105">
        <v>1</v>
      </c>
      <c r="G63" s="18">
        <v>0</v>
      </c>
      <c r="H63" s="317">
        <v>0</v>
      </c>
      <c r="I63" s="105">
        <v>1</v>
      </c>
      <c r="J63" s="18">
        <v>0</v>
      </c>
      <c r="K63" s="317">
        <v>0</v>
      </c>
      <c r="L63" s="105">
        <v>1</v>
      </c>
      <c r="M63" s="18">
        <v>0</v>
      </c>
      <c r="N63" s="317">
        <v>0</v>
      </c>
      <c r="O63" s="105">
        <v>3</v>
      </c>
      <c r="P63" s="18">
        <v>0</v>
      </c>
      <c r="Q63" s="317">
        <v>0</v>
      </c>
      <c r="R63" s="105">
        <v>52</v>
      </c>
      <c r="S63" s="139">
        <v>0</v>
      </c>
      <c r="T63" s="150">
        <v>0</v>
      </c>
      <c r="U63" s="15">
        <v>0</v>
      </c>
      <c r="V63" s="18">
        <v>0</v>
      </c>
      <c r="W63" s="317">
        <v>0</v>
      </c>
      <c r="X63" s="396">
        <v>0</v>
      </c>
      <c r="Y63" s="341">
        <v>0</v>
      </c>
      <c r="Z63" s="342">
        <v>0</v>
      </c>
      <c r="AA63" s="396">
        <v>0</v>
      </c>
      <c r="AB63" s="341">
        <v>0</v>
      </c>
      <c r="AC63" s="342">
        <v>0</v>
      </c>
      <c r="AD63" s="396">
        <v>0</v>
      </c>
      <c r="AE63" s="341">
        <v>0</v>
      </c>
      <c r="AF63" s="342">
        <v>0</v>
      </c>
      <c r="AG63" s="105">
        <v>1</v>
      </c>
      <c r="AH63" s="18">
        <v>0</v>
      </c>
      <c r="AI63" s="150">
        <v>1</v>
      </c>
      <c r="AJ63" s="105">
        <v>80270</v>
      </c>
      <c r="AK63" s="139">
        <v>2981</v>
      </c>
      <c r="AL63" s="397">
        <v>49940</v>
      </c>
      <c r="AM63" s="371">
        <f t="shared" si="2"/>
        <v>27349</v>
      </c>
      <c r="AN63" s="105">
        <v>5621</v>
      </c>
      <c r="AO63" s="139">
        <v>35</v>
      </c>
      <c r="AP63" s="150">
        <v>41</v>
      </c>
      <c r="AQ63" s="105">
        <v>27</v>
      </c>
      <c r="AR63" s="18">
        <v>0</v>
      </c>
      <c r="AS63" s="150">
        <v>5</v>
      </c>
      <c r="AT63" s="105">
        <v>3</v>
      </c>
      <c r="AU63" s="18">
        <v>0</v>
      </c>
      <c r="AV63" s="317">
        <v>0</v>
      </c>
      <c r="AW63" s="105">
        <v>102</v>
      </c>
      <c r="AX63" s="139">
        <v>2</v>
      </c>
      <c r="AY63" s="150">
        <v>37</v>
      </c>
      <c r="AZ63" s="105">
        <v>28</v>
      </c>
      <c r="BA63" s="18">
        <v>0</v>
      </c>
      <c r="BB63" s="150">
        <v>3</v>
      </c>
      <c r="BC63" s="105">
        <v>2</v>
      </c>
      <c r="BD63" s="18">
        <v>0</v>
      </c>
      <c r="BE63" s="17">
        <v>0</v>
      </c>
      <c r="BF63" s="105">
        <v>35</v>
      </c>
      <c r="BG63" s="139">
        <v>2</v>
      </c>
      <c r="BH63" s="317">
        <v>0</v>
      </c>
      <c r="BI63" s="105">
        <v>2922</v>
      </c>
      <c r="BJ63" s="139">
        <v>92</v>
      </c>
      <c r="BK63" s="150">
        <v>552</v>
      </c>
      <c r="BL63" s="105">
        <v>15</v>
      </c>
      <c r="BM63" s="18">
        <v>0</v>
      </c>
      <c r="BN63" s="150">
        <v>1</v>
      </c>
      <c r="BO63" s="105">
        <v>331</v>
      </c>
      <c r="BP63" s="139">
        <v>6</v>
      </c>
      <c r="BQ63" s="150">
        <v>43</v>
      </c>
      <c r="BR63" s="105">
        <v>1</v>
      </c>
      <c r="BS63" s="18">
        <v>0</v>
      </c>
      <c r="BT63" s="317">
        <v>0</v>
      </c>
      <c r="BU63" s="15">
        <v>0</v>
      </c>
      <c r="BV63" s="18">
        <v>0</v>
      </c>
      <c r="BW63" s="317">
        <v>0</v>
      </c>
      <c r="BX63" s="15">
        <v>0</v>
      </c>
      <c r="BY63" s="18">
        <v>0</v>
      </c>
      <c r="BZ63" s="317">
        <v>0</v>
      </c>
      <c r="CA63" s="105">
        <v>56</v>
      </c>
      <c r="CB63" s="18">
        <v>0</v>
      </c>
      <c r="CC63" s="317">
        <v>0</v>
      </c>
      <c r="CD63" s="392">
        <v>0</v>
      </c>
      <c r="CE63" s="387">
        <v>0</v>
      </c>
      <c r="CF63" s="388">
        <v>0</v>
      </c>
      <c r="CG63" s="105">
        <v>13</v>
      </c>
      <c r="CH63" s="18">
        <v>0</v>
      </c>
      <c r="CI63" s="150">
        <v>1</v>
      </c>
      <c r="CJ63" s="105">
        <v>10</v>
      </c>
      <c r="CK63" s="18">
        <v>0</v>
      </c>
      <c r="CL63" s="150">
        <v>9</v>
      </c>
      <c r="CM63" s="105">
        <v>50</v>
      </c>
      <c r="CN63" s="18">
        <v>0</v>
      </c>
      <c r="CO63" s="150">
        <v>22</v>
      </c>
      <c r="CP63" s="396">
        <v>0</v>
      </c>
      <c r="CQ63" s="341">
        <v>0</v>
      </c>
      <c r="CR63" s="342">
        <v>0</v>
      </c>
      <c r="CS63" s="15">
        <v>0</v>
      </c>
      <c r="CT63" s="18">
        <v>0</v>
      </c>
      <c r="CU63" s="317">
        <v>0</v>
      </c>
      <c r="CV63" s="105">
        <v>1</v>
      </c>
      <c r="CW63" s="18">
        <v>0</v>
      </c>
      <c r="CX63" s="150">
        <v>1</v>
      </c>
      <c r="CY63" s="105">
        <v>15</v>
      </c>
      <c r="CZ63" s="18">
        <v>0</v>
      </c>
      <c r="DA63" s="150">
        <v>2</v>
      </c>
      <c r="DB63" s="396">
        <v>0</v>
      </c>
      <c r="DC63" s="341">
        <v>0</v>
      </c>
      <c r="DD63" s="342">
        <v>0</v>
      </c>
      <c r="DE63" s="105">
        <v>5</v>
      </c>
      <c r="DF63" s="18">
        <v>0</v>
      </c>
      <c r="DG63" s="317">
        <v>0</v>
      </c>
      <c r="DH63" s="18">
        <v>0</v>
      </c>
      <c r="DI63" s="18">
        <v>0</v>
      </c>
      <c r="DJ63" s="317">
        <v>0</v>
      </c>
      <c r="DK63" s="105">
        <v>3</v>
      </c>
      <c r="DL63" s="139">
        <v>1</v>
      </c>
      <c r="DM63" s="150">
        <v>1</v>
      </c>
      <c r="DN63" s="105">
        <v>8</v>
      </c>
      <c r="DO63" s="18">
        <v>0</v>
      </c>
      <c r="DP63" s="317">
        <v>0</v>
      </c>
      <c r="DQ63" s="105">
        <v>110</v>
      </c>
      <c r="DR63" s="18">
        <v>0</v>
      </c>
      <c r="DS63" s="150">
        <v>78</v>
      </c>
      <c r="DT63" s="105">
        <v>1</v>
      </c>
      <c r="DU63" s="18">
        <v>0</v>
      </c>
      <c r="DV63" s="150">
        <v>1</v>
      </c>
      <c r="DW63" s="396">
        <v>0</v>
      </c>
      <c r="DX63" s="341">
        <v>0</v>
      </c>
      <c r="DY63" s="342">
        <v>0</v>
      </c>
      <c r="DZ63" s="105">
        <v>42</v>
      </c>
      <c r="EA63" s="139">
        <v>1</v>
      </c>
      <c r="EB63" s="150">
        <v>12</v>
      </c>
      <c r="EC63" s="105">
        <v>43</v>
      </c>
      <c r="ED63" s="139">
        <v>1</v>
      </c>
      <c r="EE63" s="150">
        <v>31</v>
      </c>
      <c r="EF63" s="18">
        <v>0</v>
      </c>
      <c r="EG63" s="18">
        <v>0</v>
      </c>
      <c r="EH63" s="317">
        <v>0</v>
      </c>
      <c r="EI63" s="18">
        <v>0</v>
      </c>
      <c r="EJ63" s="18">
        <v>0</v>
      </c>
      <c r="EK63" s="317">
        <v>0</v>
      </c>
      <c r="EL63" s="105">
        <v>16</v>
      </c>
      <c r="EM63" s="18">
        <v>0</v>
      </c>
      <c r="EN63" s="150">
        <v>16</v>
      </c>
      <c r="EO63" s="18">
        <v>0</v>
      </c>
      <c r="EP63" s="18">
        <v>0</v>
      </c>
      <c r="EQ63" s="317">
        <v>0</v>
      </c>
      <c r="ER63" s="83"/>
      <c r="ES63" s="18">
        <v>0</v>
      </c>
      <c r="ET63" s="18">
        <v>0</v>
      </c>
      <c r="EU63" s="317">
        <v>0</v>
      </c>
      <c r="EV63" s="55"/>
      <c r="EW63" s="64"/>
    </row>
    <row r="64" spans="1:153" ht="12.75">
      <c r="A64" s="93">
        <v>43895</v>
      </c>
      <c r="B64" s="366">
        <f t="shared" ref="B64:D64" si="60">SUM(F64,I64,L64,O64,R64,X64,AG64,AJ64,AN64,AQ64,AT64,AW64,AZ64,BC64,BF64,BI64,BL64,BO64,BR64,CA64,CG64,CJ64,CM64,CP64,CV64,CY64,DE64,DH64,DK64,DN64,DQ64,DT64,DZ64,EC64,EL64)</f>
        <v>91069</v>
      </c>
      <c r="C64" s="367">
        <f t="shared" si="60"/>
        <v>3168</v>
      </c>
      <c r="D64" s="368">
        <f t="shared" si="60"/>
        <v>53289</v>
      </c>
      <c r="E64" s="369">
        <f t="shared" si="1"/>
        <v>34612</v>
      </c>
      <c r="F64" s="105">
        <v>5</v>
      </c>
      <c r="G64" s="18">
        <v>0</v>
      </c>
      <c r="H64" s="317">
        <v>0</v>
      </c>
      <c r="I64" s="105">
        <v>1</v>
      </c>
      <c r="J64" s="18">
        <v>0</v>
      </c>
      <c r="K64" s="317">
        <v>0</v>
      </c>
      <c r="L64" s="105">
        <v>1</v>
      </c>
      <c r="M64" s="18">
        <v>0</v>
      </c>
      <c r="N64" s="317">
        <v>0</v>
      </c>
      <c r="O64" s="105">
        <v>6</v>
      </c>
      <c r="P64" s="18">
        <v>0</v>
      </c>
      <c r="Q64" s="317">
        <v>0</v>
      </c>
      <c r="R64" s="105">
        <v>55</v>
      </c>
      <c r="S64" s="139">
        <v>0</v>
      </c>
      <c r="T64" s="150">
        <v>0</v>
      </c>
      <c r="U64" s="15">
        <v>0</v>
      </c>
      <c r="V64" s="18">
        <v>0</v>
      </c>
      <c r="W64" s="317">
        <v>0</v>
      </c>
      <c r="X64" s="396">
        <v>0</v>
      </c>
      <c r="Y64" s="341">
        <v>0</v>
      </c>
      <c r="Z64" s="342">
        <v>0</v>
      </c>
      <c r="AA64" s="396">
        <v>0</v>
      </c>
      <c r="AB64" s="341">
        <v>0</v>
      </c>
      <c r="AC64" s="342">
        <v>0</v>
      </c>
      <c r="AD64" s="396">
        <v>0</v>
      </c>
      <c r="AE64" s="341">
        <v>0</v>
      </c>
      <c r="AF64" s="342">
        <v>0</v>
      </c>
      <c r="AG64" s="105">
        <v>1</v>
      </c>
      <c r="AH64" s="18">
        <v>0</v>
      </c>
      <c r="AI64" s="150">
        <v>1</v>
      </c>
      <c r="AJ64" s="105">
        <v>80422</v>
      </c>
      <c r="AK64" s="139">
        <v>3013</v>
      </c>
      <c r="AL64" s="397">
        <v>52239</v>
      </c>
      <c r="AM64" s="371">
        <f t="shared" si="2"/>
        <v>25170</v>
      </c>
      <c r="AN64" s="105">
        <v>6088</v>
      </c>
      <c r="AO64" s="139">
        <v>35</v>
      </c>
      <c r="AP64" s="150">
        <v>41</v>
      </c>
      <c r="AQ64" s="105">
        <v>28</v>
      </c>
      <c r="AR64" s="18">
        <v>0</v>
      </c>
      <c r="AS64" s="150">
        <v>5</v>
      </c>
      <c r="AT64" s="105">
        <v>4</v>
      </c>
      <c r="AU64" s="18">
        <v>0</v>
      </c>
      <c r="AV64" s="317">
        <v>0</v>
      </c>
      <c r="AW64" s="105">
        <v>105</v>
      </c>
      <c r="AX64" s="139">
        <v>2</v>
      </c>
      <c r="AY64" s="150">
        <v>43</v>
      </c>
      <c r="AZ64" s="105">
        <v>30</v>
      </c>
      <c r="BA64" s="18">
        <v>0</v>
      </c>
      <c r="BB64" s="150">
        <v>3</v>
      </c>
      <c r="BC64" s="105">
        <v>2</v>
      </c>
      <c r="BD64" s="18">
        <v>0</v>
      </c>
      <c r="BE64" s="17">
        <v>0</v>
      </c>
      <c r="BF64" s="105">
        <v>35</v>
      </c>
      <c r="BG64" s="139">
        <v>2</v>
      </c>
      <c r="BH64" s="317">
        <v>0</v>
      </c>
      <c r="BI64" s="105">
        <v>3513</v>
      </c>
      <c r="BJ64" s="139">
        <v>107</v>
      </c>
      <c r="BK64" s="150">
        <v>739</v>
      </c>
      <c r="BL64" s="105">
        <v>16</v>
      </c>
      <c r="BM64" s="18">
        <v>0</v>
      </c>
      <c r="BN64" s="150">
        <v>1</v>
      </c>
      <c r="BO64" s="105">
        <v>360</v>
      </c>
      <c r="BP64" s="139">
        <v>6</v>
      </c>
      <c r="BQ64" s="150">
        <v>43</v>
      </c>
      <c r="BR64" s="105">
        <v>1</v>
      </c>
      <c r="BS64" s="18">
        <v>0</v>
      </c>
      <c r="BT64" s="317">
        <v>0</v>
      </c>
      <c r="BU64" s="15">
        <v>0</v>
      </c>
      <c r="BV64" s="18">
        <v>0</v>
      </c>
      <c r="BW64" s="317">
        <v>0</v>
      </c>
      <c r="BX64" s="15">
        <v>0</v>
      </c>
      <c r="BY64" s="18">
        <v>0</v>
      </c>
      <c r="BZ64" s="317">
        <v>0</v>
      </c>
      <c r="CA64" s="105">
        <v>58</v>
      </c>
      <c r="CB64" s="18">
        <v>0</v>
      </c>
      <c r="CC64" s="317">
        <v>0</v>
      </c>
      <c r="CD64" s="392">
        <v>0</v>
      </c>
      <c r="CE64" s="374">
        <v>0</v>
      </c>
      <c r="CF64" s="375">
        <v>0</v>
      </c>
      <c r="CG64" s="105">
        <v>16</v>
      </c>
      <c r="CH64" s="18">
        <v>0</v>
      </c>
      <c r="CI64" s="150">
        <v>1</v>
      </c>
      <c r="CJ64" s="105">
        <v>10</v>
      </c>
      <c r="CK64" s="18">
        <v>0</v>
      </c>
      <c r="CL64" s="150">
        <v>9</v>
      </c>
      <c r="CM64" s="105">
        <v>50</v>
      </c>
      <c r="CN64" s="18">
        <v>0</v>
      </c>
      <c r="CO64" s="150">
        <v>22</v>
      </c>
      <c r="CP64" s="396">
        <v>0</v>
      </c>
      <c r="CQ64" s="341">
        <v>0</v>
      </c>
      <c r="CR64" s="342">
        <v>0</v>
      </c>
      <c r="CS64" s="15">
        <v>0</v>
      </c>
      <c r="CT64" s="18">
        <v>0</v>
      </c>
      <c r="CU64" s="317">
        <v>0</v>
      </c>
      <c r="CV64" s="105">
        <v>1</v>
      </c>
      <c r="CW64" s="18">
        <v>0</v>
      </c>
      <c r="CX64" s="150">
        <v>1</v>
      </c>
      <c r="CY64" s="105">
        <v>16</v>
      </c>
      <c r="CZ64" s="18">
        <v>0</v>
      </c>
      <c r="DA64" s="150">
        <v>2</v>
      </c>
      <c r="DB64" s="396">
        <v>0</v>
      </c>
      <c r="DC64" s="341">
        <v>0</v>
      </c>
      <c r="DD64" s="342">
        <v>0</v>
      </c>
      <c r="DE64" s="105">
        <v>5</v>
      </c>
      <c r="DF64" s="18">
        <v>0</v>
      </c>
      <c r="DG64" s="317">
        <v>0</v>
      </c>
      <c r="DH64" s="87">
        <v>4</v>
      </c>
      <c r="DI64" s="18">
        <v>0</v>
      </c>
      <c r="DJ64" s="317">
        <v>0</v>
      </c>
      <c r="DK64" s="105">
        <v>3</v>
      </c>
      <c r="DL64" s="139">
        <v>1</v>
      </c>
      <c r="DM64" s="150">
        <v>1</v>
      </c>
      <c r="DN64" s="105">
        <v>8</v>
      </c>
      <c r="DO64" s="18">
        <v>0</v>
      </c>
      <c r="DP64" s="317">
        <v>0</v>
      </c>
      <c r="DQ64" s="105">
        <v>117</v>
      </c>
      <c r="DR64" s="18">
        <v>0</v>
      </c>
      <c r="DS64" s="150">
        <v>78</v>
      </c>
      <c r="DT64" s="105">
        <v>1</v>
      </c>
      <c r="DU64" s="18">
        <v>0</v>
      </c>
      <c r="DV64" s="150">
        <v>1</v>
      </c>
      <c r="DW64" s="396">
        <v>0</v>
      </c>
      <c r="DX64" s="341">
        <v>0</v>
      </c>
      <c r="DY64" s="342">
        <v>0</v>
      </c>
      <c r="DZ64" s="105">
        <v>44</v>
      </c>
      <c r="EA64" s="139">
        <v>1</v>
      </c>
      <c r="EB64" s="150">
        <v>12</v>
      </c>
      <c r="EC64" s="105">
        <v>47</v>
      </c>
      <c r="ED64" s="139">
        <v>1</v>
      </c>
      <c r="EE64" s="150">
        <v>31</v>
      </c>
      <c r="EF64" s="18">
        <v>0</v>
      </c>
      <c r="EG64" s="18">
        <v>0</v>
      </c>
      <c r="EH64" s="317">
        <v>0</v>
      </c>
      <c r="EI64" s="18">
        <v>0</v>
      </c>
      <c r="EJ64" s="18">
        <v>0</v>
      </c>
      <c r="EK64" s="317">
        <v>0</v>
      </c>
      <c r="EL64" s="105">
        <v>16</v>
      </c>
      <c r="EM64" s="18">
        <v>0</v>
      </c>
      <c r="EN64" s="150">
        <v>16</v>
      </c>
      <c r="EO64" s="18">
        <v>0</v>
      </c>
      <c r="EP64" s="18">
        <v>0</v>
      </c>
      <c r="EQ64" s="317">
        <v>0</v>
      </c>
      <c r="ER64" s="83"/>
      <c r="ES64" s="18">
        <v>0</v>
      </c>
      <c r="ET64" s="18">
        <v>0</v>
      </c>
      <c r="EU64" s="317">
        <v>0</v>
      </c>
      <c r="EV64" s="55" t="s">
        <v>1091</v>
      </c>
      <c r="EW64" s="64"/>
    </row>
    <row r="65" spans="1:153" ht="12.75">
      <c r="A65" s="93">
        <v>43896</v>
      </c>
      <c r="B65" s="366">
        <f t="shared" ref="B65:D65" si="61">SUM(F65,I65,L65,O65,R65,X65,AG65,AJ65,AN65,AQ65,AT65,AW65,AZ65,BC65,BF65,BI65,BL65,BO65,BR65,CA65,CG65,CJ65,CM65,CP65,CV65,CY65,DE65,DH65,DK65,DN65,DQ65,DT65,DZ65,EC65,EL65)</f>
        <v>93110</v>
      </c>
      <c r="C65" s="367">
        <f t="shared" si="61"/>
        <v>3222</v>
      </c>
      <c r="D65" s="368">
        <f t="shared" si="61"/>
        <v>55198</v>
      </c>
      <c r="E65" s="369">
        <f t="shared" si="1"/>
        <v>34690</v>
      </c>
      <c r="F65" s="105">
        <v>5</v>
      </c>
      <c r="G65" s="18">
        <v>0</v>
      </c>
      <c r="H65" s="317">
        <v>0</v>
      </c>
      <c r="I65" s="105">
        <v>1</v>
      </c>
      <c r="J65" s="18">
        <v>0</v>
      </c>
      <c r="K65" s="317">
        <v>0</v>
      </c>
      <c r="L65" s="105">
        <v>1</v>
      </c>
      <c r="M65" s="18">
        <v>0</v>
      </c>
      <c r="N65" s="317">
        <v>0</v>
      </c>
      <c r="O65" s="105">
        <v>6</v>
      </c>
      <c r="P65" s="18">
        <v>0</v>
      </c>
      <c r="Q65" s="317">
        <v>0</v>
      </c>
      <c r="R65" s="105">
        <v>60</v>
      </c>
      <c r="S65" s="139">
        <v>0</v>
      </c>
      <c r="T65" s="150">
        <v>4</v>
      </c>
      <c r="U65" s="15">
        <v>0</v>
      </c>
      <c r="V65" s="18">
        <v>0</v>
      </c>
      <c r="W65" s="317">
        <v>0</v>
      </c>
      <c r="X65" s="439">
        <v>1</v>
      </c>
      <c r="Y65" s="341">
        <v>0</v>
      </c>
      <c r="Z65" s="342">
        <v>0</v>
      </c>
      <c r="AA65" s="396">
        <v>0</v>
      </c>
      <c r="AB65" s="341">
        <v>0</v>
      </c>
      <c r="AC65" s="342">
        <v>0</v>
      </c>
      <c r="AD65" s="396">
        <v>0</v>
      </c>
      <c r="AE65" s="341">
        <v>0</v>
      </c>
      <c r="AF65" s="342">
        <v>0</v>
      </c>
      <c r="AG65" s="105">
        <v>1</v>
      </c>
      <c r="AH65" s="18">
        <v>0</v>
      </c>
      <c r="AI65" s="150">
        <v>1</v>
      </c>
      <c r="AJ65" s="105">
        <v>80573</v>
      </c>
      <c r="AK65" s="139">
        <v>3042</v>
      </c>
      <c r="AL65" s="397">
        <v>53888</v>
      </c>
      <c r="AM65" s="371">
        <f t="shared" si="2"/>
        <v>23643</v>
      </c>
      <c r="AN65" s="105">
        <v>6593</v>
      </c>
      <c r="AO65" s="139">
        <v>42</v>
      </c>
      <c r="AP65" s="150">
        <v>118</v>
      </c>
      <c r="AQ65" s="105">
        <v>29</v>
      </c>
      <c r="AR65" s="18">
        <v>0</v>
      </c>
      <c r="AS65" s="150">
        <v>5</v>
      </c>
      <c r="AT65" s="105">
        <v>4</v>
      </c>
      <c r="AU65" s="18">
        <v>0</v>
      </c>
      <c r="AV65" s="317">
        <v>0</v>
      </c>
      <c r="AW65" s="105">
        <v>107</v>
      </c>
      <c r="AX65" s="139">
        <v>2</v>
      </c>
      <c r="AY65" s="150">
        <v>46</v>
      </c>
      <c r="AZ65" s="105">
        <v>31</v>
      </c>
      <c r="BA65" s="18">
        <v>0</v>
      </c>
      <c r="BB65" s="150">
        <v>3</v>
      </c>
      <c r="BC65" s="105">
        <v>4</v>
      </c>
      <c r="BD65" s="18">
        <v>0</v>
      </c>
      <c r="BE65" s="17">
        <v>0</v>
      </c>
      <c r="BF65" s="105">
        <v>40</v>
      </c>
      <c r="BG65" s="139">
        <v>3</v>
      </c>
      <c r="BH65" s="317">
        <v>0</v>
      </c>
      <c r="BI65" s="105">
        <v>4747</v>
      </c>
      <c r="BJ65" s="139">
        <v>124</v>
      </c>
      <c r="BK65" s="150">
        <v>913</v>
      </c>
      <c r="BL65" s="105">
        <v>21</v>
      </c>
      <c r="BM65" s="18">
        <v>0</v>
      </c>
      <c r="BN65" s="150">
        <v>2</v>
      </c>
      <c r="BO65" s="105">
        <v>420</v>
      </c>
      <c r="BP65" s="139">
        <v>6</v>
      </c>
      <c r="BQ65" s="150">
        <v>43</v>
      </c>
      <c r="BR65" s="105">
        <v>1</v>
      </c>
      <c r="BS65" s="18">
        <v>0</v>
      </c>
      <c r="BT65" s="317">
        <v>0</v>
      </c>
      <c r="BU65" s="15">
        <v>0</v>
      </c>
      <c r="BV65" s="18">
        <v>0</v>
      </c>
      <c r="BW65" s="317">
        <v>0</v>
      </c>
      <c r="BX65" s="15">
        <v>0</v>
      </c>
      <c r="BY65" s="18">
        <v>0</v>
      </c>
      <c r="BZ65" s="317">
        <v>0</v>
      </c>
      <c r="CA65" s="105">
        <v>58</v>
      </c>
      <c r="CB65" s="18">
        <v>0</v>
      </c>
      <c r="CC65" s="317">
        <v>0</v>
      </c>
      <c r="CD65" s="392">
        <v>0</v>
      </c>
      <c r="CE65" s="387">
        <v>0</v>
      </c>
      <c r="CF65" s="388">
        <v>0</v>
      </c>
      <c r="CG65" s="105">
        <v>22</v>
      </c>
      <c r="CH65" s="18">
        <v>0</v>
      </c>
      <c r="CI65" s="150">
        <v>1</v>
      </c>
      <c r="CJ65" s="105">
        <v>10</v>
      </c>
      <c r="CK65" s="18">
        <v>0</v>
      </c>
      <c r="CL65" s="150">
        <v>10</v>
      </c>
      <c r="CM65" s="105">
        <v>83</v>
      </c>
      <c r="CN65" s="18">
        <v>0</v>
      </c>
      <c r="CO65" s="150">
        <v>22</v>
      </c>
      <c r="CP65" s="396">
        <v>0</v>
      </c>
      <c r="CQ65" s="341">
        <v>0</v>
      </c>
      <c r="CR65" s="342">
        <v>0</v>
      </c>
      <c r="CS65" s="15">
        <v>0</v>
      </c>
      <c r="CT65" s="18">
        <v>0</v>
      </c>
      <c r="CU65" s="317">
        <v>0</v>
      </c>
      <c r="CV65" s="105">
        <v>1</v>
      </c>
      <c r="CW65" s="18">
        <v>0</v>
      </c>
      <c r="CX65" s="150">
        <v>1</v>
      </c>
      <c r="CY65" s="105">
        <v>16</v>
      </c>
      <c r="CZ65" s="18">
        <v>0</v>
      </c>
      <c r="DA65" s="150">
        <v>2</v>
      </c>
      <c r="DB65" s="396">
        <v>0</v>
      </c>
      <c r="DC65" s="341">
        <v>0</v>
      </c>
      <c r="DD65" s="342">
        <v>0</v>
      </c>
      <c r="DE65" s="105">
        <v>6</v>
      </c>
      <c r="DF65" s="18">
        <v>0</v>
      </c>
      <c r="DG65" s="317">
        <v>0</v>
      </c>
      <c r="DH65" s="87">
        <v>16</v>
      </c>
      <c r="DI65" s="18">
        <v>0</v>
      </c>
      <c r="DJ65" s="317">
        <v>0</v>
      </c>
      <c r="DK65" s="105">
        <v>5</v>
      </c>
      <c r="DL65" s="139">
        <v>1</v>
      </c>
      <c r="DM65" s="150">
        <v>1</v>
      </c>
      <c r="DN65" s="105">
        <v>8</v>
      </c>
      <c r="DO65" s="18">
        <v>0</v>
      </c>
      <c r="DP65" s="317">
        <v>0</v>
      </c>
      <c r="DQ65" s="105">
        <v>130</v>
      </c>
      <c r="DR65" s="18">
        <v>0</v>
      </c>
      <c r="DS65" s="150">
        <v>78</v>
      </c>
      <c r="DT65" s="105">
        <v>1</v>
      </c>
      <c r="DU65" s="18">
        <v>0</v>
      </c>
      <c r="DV65" s="150">
        <v>1</v>
      </c>
      <c r="DW65" s="396">
        <v>0</v>
      </c>
      <c r="DX65" s="341">
        <v>0</v>
      </c>
      <c r="DY65" s="342">
        <v>0</v>
      </c>
      <c r="DZ65" s="105">
        <v>45</v>
      </c>
      <c r="EA65" s="139">
        <v>1</v>
      </c>
      <c r="EB65" s="150">
        <v>12</v>
      </c>
      <c r="EC65" s="105">
        <v>48</v>
      </c>
      <c r="ED65" s="139">
        <v>1</v>
      </c>
      <c r="EE65" s="150">
        <v>31</v>
      </c>
      <c r="EF65" s="18">
        <v>0</v>
      </c>
      <c r="EG65" s="18">
        <v>0</v>
      </c>
      <c r="EH65" s="317">
        <v>0</v>
      </c>
      <c r="EI65" s="18">
        <v>0</v>
      </c>
      <c r="EJ65" s="18">
        <v>0</v>
      </c>
      <c r="EK65" s="317">
        <v>0</v>
      </c>
      <c r="EL65" s="105">
        <v>16</v>
      </c>
      <c r="EM65" s="18">
        <v>0</v>
      </c>
      <c r="EN65" s="150">
        <v>16</v>
      </c>
      <c r="EO65" s="18">
        <v>0</v>
      </c>
      <c r="EP65" s="18">
        <v>0</v>
      </c>
      <c r="EQ65" s="317">
        <v>0</v>
      </c>
      <c r="ER65" s="83"/>
      <c r="ES65" s="18">
        <v>0</v>
      </c>
      <c r="ET65" s="18">
        <v>0</v>
      </c>
      <c r="EU65" s="317">
        <v>0</v>
      </c>
      <c r="EV65" s="55" t="s">
        <v>1093</v>
      </c>
      <c r="EW65" s="57" t="s">
        <v>240</v>
      </c>
    </row>
    <row r="66" spans="1:153" ht="12.75">
      <c r="A66" s="93">
        <v>43897</v>
      </c>
      <c r="B66" s="440">
        <f t="shared" ref="B66:D66" si="62">SUM(F66,I66,L66,O66,R66,X66,AG66,AJ66,AN66,AQ66,AT66,AW66,AZ66,BC66,BF66,BI66,BL66,BO66,BR66,CA66,CG66,CJ66,CM66,CP66,CV66,CY66,DE66,DH66,DK66,DN66,DQ66,DT66,DZ66,EC66,EL66)</f>
        <v>94848</v>
      </c>
      <c r="C66" s="441">
        <f t="shared" si="62"/>
        <v>3274</v>
      </c>
      <c r="D66" s="442">
        <f t="shared" si="62"/>
        <v>57585</v>
      </c>
      <c r="E66" s="443">
        <f t="shared" si="1"/>
        <v>33989</v>
      </c>
      <c r="F66" s="105">
        <v>5</v>
      </c>
      <c r="G66" s="18">
        <v>0</v>
      </c>
      <c r="H66" s="317">
        <v>0</v>
      </c>
      <c r="I66" s="105">
        <v>1</v>
      </c>
      <c r="J66" s="18">
        <v>0</v>
      </c>
      <c r="K66" s="317">
        <v>0</v>
      </c>
      <c r="L66" s="105">
        <v>1</v>
      </c>
      <c r="M66" s="18">
        <v>0</v>
      </c>
      <c r="N66" s="317">
        <v>0</v>
      </c>
      <c r="O66" s="105">
        <v>9</v>
      </c>
      <c r="P66" s="18">
        <v>0</v>
      </c>
      <c r="Q66" s="317">
        <v>0</v>
      </c>
      <c r="R66" s="105">
        <v>85</v>
      </c>
      <c r="S66" s="139">
        <v>0</v>
      </c>
      <c r="T66" s="150">
        <v>4</v>
      </c>
      <c r="U66" s="15">
        <v>0</v>
      </c>
      <c r="V66" s="18">
        <v>0</v>
      </c>
      <c r="W66" s="317">
        <v>0</v>
      </c>
      <c r="X66" s="439">
        <v>1</v>
      </c>
      <c r="Y66" s="341">
        <v>0</v>
      </c>
      <c r="Z66" s="342">
        <v>0</v>
      </c>
      <c r="AA66" s="396">
        <v>0</v>
      </c>
      <c r="AB66" s="341">
        <v>0</v>
      </c>
      <c r="AC66" s="342">
        <v>0</v>
      </c>
      <c r="AD66" s="396">
        <v>0</v>
      </c>
      <c r="AE66" s="341">
        <v>0</v>
      </c>
      <c r="AF66" s="342">
        <v>0</v>
      </c>
      <c r="AG66" s="105">
        <v>1</v>
      </c>
      <c r="AH66" s="18">
        <v>0</v>
      </c>
      <c r="AI66" s="150">
        <v>1</v>
      </c>
      <c r="AJ66" s="105">
        <v>80652</v>
      </c>
      <c r="AK66" s="139">
        <v>3070</v>
      </c>
      <c r="AL66" s="397">
        <v>55478</v>
      </c>
      <c r="AM66" s="371">
        <f t="shared" si="2"/>
        <v>22104</v>
      </c>
      <c r="AN66" s="105">
        <v>7041</v>
      </c>
      <c r="AO66" s="139">
        <v>44</v>
      </c>
      <c r="AP66" s="150">
        <v>118</v>
      </c>
      <c r="AQ66" s="105">
        <v>45</v>
      </c>
      <c r="AR66" s="18">
        <v>0</v>
      </c>
      <c r="AS66" s="150">
        <v>7</v>
      </c>
      <c r="AT66" s="105">
        <v>4</v>
      </c>
      <c r="AU66" s="18">
        <v>0</v>
      </c>
      <c r="AV66" s="317">
        <v>0</v>
      </c>
      <c r="AW66" s="105">
        <v>108</v>
      </c>
      <c r="AX66" s="139">
        <v>2</v>
      </c>
      <c r="AY66" s="150">
        <v>51</v>
      </c>
      <c r="AZ66" s="105">
        <v>34</v>
      </c>
      <c r="BA66" s="18">
        <v>0</v>
      </c>
      <c r="BB66" s="150">
        <v>3</v>
      </c>
      <c r="BC66" s="105">
        <v>4</v>
      </c>
      <c r="BD66" s="18">
        <v>0</v>
      </c>
      <c r="BE66" s="17">
        <v>0</v>
      </c>
      <c r="BF66" s="105">
        <v>54</v>
      </c>
      <c r="BG66" s="139">
        <v>4</v>
      </c>
      <c r="BH66" s="317">
        <v>0</v>
      </c>
      <c r="BI66" s="105">
        <v>5823</v>
      </c>
      <c r="BJ66" s="139">
        <v>145</v>
      </c>
      <c r="BK66" s="150">
        <v>1669</v>
      </c>
      <c r="BL66" s="105">
        <v>21</v>
      </c>
      <c r="BM66" s="18">
        <v>0</v>
      </c>
      <c r="BN66" s="150">
        <v>2</v>
      </c>
      <c r="BO66" s="105">
        <v>461</v>
      </c>
      <c r="BP66" s="139">
        <v>6</v>
      </c>
      <c r="BQ66" s="150">
        <v>76</v>
      </c>
      <c r="BR66" s="105">
        <v>1</v>
      </c>
      <c r="BS66" s="18">
        <v>0</v>
      </c>
      <c r="BT66" s="317">
        <v>0</v>
      </c>
      <c r="BU66" s="15">
        <v>0</v>
      </c>
      <c r="BV66" s="18">
        <v>0</v>
      </c>
      <c r="BW66" s="317">
        <v>0</v>
      </c>
      <c r="BX66" s="15">
        <v>0</v>
      </c>
      <c r="BY66" s="18">
        <v>0</v>
      </c>
      <c r="BZ66" s="317">
        <v>0</v>
      </c>
      <c r="CA66" s="105">
        <v>61</v>
      </c>
      <c r="CB66" s="18">
        <v>0</v>
      </c>
      <c r="CC66" s="317">
        <v>0</v>
      </c>
      <c r="CD66" s="392">
        <v>0</v>
      </c>
      <c r="CE66" s="374">
        <v>0</v>
      </c>
      <c r="CF66" s="375">
        <v>0</v>
      </c>
      <c r="CG66" s="105">
        <v>22</v>
      </c>
      <c r="CH66" s="18">
        <v>0</v>
      </c>
      <c r="CI66" s="150">
        <v>1</v>
      </c>
      <c r="CJ66" s="105">
        <v>10</v>
      </c>
      <c r="CK66" s="18">
        <v>0</v>
      </c>
      <c r="CL66" s="150">
        <v>10</v>
      </c>
      <c r="CM66" s="105">
        <v>93</v>
      </c>
      <c r="CN66" s="18">
        <v>0</v>
      </c>
      <c r="CO66" s="150">
        <v>23</v>
      </c>
      <c r="CP66" s="396">
        <v>0</v>
      </c>
      <c r="CQ66" s="341">
        <v>0</v>
      </c>
      <c r="CR66" s="342">
        <v>0</v>
      </c>
      <c r="CS66" s="15">
        <v>0</v>
      </c>
      <c r="CT66" s="18">
        <v>0</v>
      </c>
      <c r="CU66" s="317">
        <v>0</v>
      </c>
      <c r="CV66" s="105">
        <v>1</v>
      </c>
      <c r="CW66" s="18">
        <v>0</v>
      </c>
      <c r="CX66" s="150">
        <v>1</v>
      </c>
      <c r="CY66" s="105">
        <v>16</v>
      </c>
      <c r="CZ66" s="18">
        <v>0</v>
      </c>
      <c r="DA66" s="150">
        <v>2</v>
      </c>
      <c r="DB66" s="396">
        <v>0</v>
      </c>
      <c r="DC66" s="341">
        <v>0</v>
      </c>
      <c r="DD66" s="342">
        <v>0</v>
      </c>
      <c r="DE66" s="105">
        <v>6</v>
      </c>
      <c r="DF66" s="18">
        <v>0</v>
      </c>
      <c r="DG66" s="317">
        <v>0</v>
      </c>
      <c r="DH66" s="87">
        <v>22</v>
      </c>
      <c r="DI66" s="18">
        <v>0</v>
      </c>
      <c r="DJ66" s="317">
        <v>0</v>
      </c>
      <c r="DK66" s="105">
        <v>6</v>
      </c>
      <c r="DL66" s="139">
        <v>1</v>
      </c>
      <c r="DM66" s="150">
        <v>1</v>
      </c>
      <c r="DN66" s="105">
        <v>8</v>
      </c>
      <c r="DO66" s="18">
        <v>0</v>
      </c>
      <c r="DP66" s="317">
        <v>0</v>
      </c>
      <c r="DQ66" s="105">
        <v>138</v>
      </c>
      <c r="DR66" s="18">
        <v>0</v>
      </c>
      <c r="DS66" s="150">
        <v>78</v>
      </c>
      <c r="DT66" s="105">
        <v>1</v>
      </c>
      <c r="DU66" s="18">
        <v>0</v>
      </c>
      <c r="DV66" s="150">
        <v>1</v>
      </c>
      <c r="DW66" s="396">
        <v>0</v>
      </c>
      <c r="DX66" s="341">
        <v>0</v>
      </c>
      <c r="DY66" s="342">
        <v>0</v>
      </c>
      <c r="DZ66" s="105">
        <v>45</v>
      </c>
      <c r="EA66" s="139">
        <v>1</v>
      </c>
      <c r="EB66" s="150">
        <v>12</v>
      </c>
      <c r="EC66" s="105">
        <v>50</v>
      </c>
      <c r="ED66" s="139">
        <v>1</v>
      </c>
      <c r="EE66" s="150">
        <v>31</v>
      </c>
      <c r="EF66" s="18">
        <v>0</v>
      </c>
      <c r="EG66" s="18">
        <v>0</v>
      </c>
      <c r="EH66" s="317">
        <v>0</v>
      </c>
      <c r="EI66" s="18">
        <v>0</v>
      </c>
      <c r="EJ66" s="18">
        <v>0</v>
      </c>
      <c r="EK66" s="317">
        <v>0</v>
      </c>
      <c r="EL66" s="105">
        <v>18</v>
      </c>
      <c r="EM66" s="18">
        <v>0</v>
      </c>
      <c r="EN66" s="150">
        <v>16</v>
      </c>
      <c r="EO66" s="18">
        <v>0</v>
      </c>
      <c r="EP66" s="18">
        <v>0</v>
      </c>
      <c r="EQ66" s="317">
        <v>0</v>
      </c>
      <c r="ER66" s="83"/>
      <c r="ES66" s="18">
        <v>0</v>
      </c>
      <c r="ET66" s="18">
        <v>0</v>
      </c>
      <c r="EU66" s="317">
        <v>0</v>
      </c>
      <c r="EV66" s="55"/>
      <c r="EW66" s="64"/>
    </row>
    <row r="67" spans="1:153" ht="12.75">
      <c r="A67" s="93">
        <v>43898</v>
      </c>
      <c r="B67" s="440">
        <f t="shared" ref="B67:D67" si="63">SUM(F67,I67,L67,O67,R67,U67,X67,AG67,AJ67,AN67,AQ67,AT67,AW67,AZ67,BC67,BF67,BI67,BL67,BO67,BR67,CA67,CG67,CJ67,CM67,CP67,CV67,CY67,DE67,DH67,DK67,DN67,DQ67,DT67,DZ67,EC67,EL67)</f>
        <v>96069</v>
      </c>
      <c r="C67" s="441">
        <f t="shared" si="63"/>
        <v>3359</v>
      </c>
      <c r="D67" s="442">
        <f t="shared" si="63"/>
        <v>59902</v>
      </c>
      <c r="E67" s="443">
        <f t="shared" si="1"/>
        <v>32808</v>
      </c>
      <c r="F67" s="105">
        <v>11</v>
      </c>
      <c r="G67" s="18">
        <v>0</v>
      </c>
      <c r="H67" s="317">
        <v>0</v>
      </c>
      <c r="I67" s="105">
        <v>1</v>
      </c>
      <c r="J67" s="18">
        <v>0</v>
      </c>
      <c r="K67" s="317">
        <v>0</v>
      </c>
      <c r="L67" s="105">
        <v>4</v>
      </c>
      <c r="M67" s="18">
        <v>0</v>
      </c>
      <c r="N67" s="317">
        <v>0</v>
      </c>
      <c r="O67" s="105">
        <v>9</v>
      </c>
      <c r="P67" s="18">
        <v>0</v>
      </c>
      <c r="Q67" s="317">
        <v>0</v>
      </c>
      <c r="R67" s="105">
        <v>85</v>
      </c>
      <c r="S67" s="139">
        <v>0</v>
      </c>
      <c r="T67" s="150">
        <v>4</v>
      </c>
      <c r="U67" s="105">
        <v>3</v>
      </c>
      <c r="V67" s="18">
        <v>0</v>
      </c>
      <c r="W67" s="317">
        <v>0</v>
      </c>
      <c r="X67" s="439">
        <v>1</v>
      </c>
      <c r="Y67" s="341">
        <v>0</v>
      </c>
      <c r="Z67" s="342">
        <v>0</v>
      </c>
      <c r="AA67" s="396">
        <v>0</v>
      </c>
      <c r="AB67" s="341">
        <v>0</v>
      </c>
      <c r="AC67" s="342">
        <v>0</v>
      </c>
      <c r="AD67" s="396">
        <v>0</v>
      </c>
      <c r="AE67" s="341">
        <v>0</v>
      </c>
      <c r="AF67" s="342">
        <v>0</v>
      </c>
      <c r="AG67" s="105">
        <v>2</v>
      </c>
      <c r="AH67" s="18">
        <v>0</v>
      </c>
      <c r="AI67" s="150">
        <v>1</v>
      </c>
      <c r="AJ67" s="105">
        <v>80699</v>
      </c>
      <c r="AK67" s="139">
        <v>3097</v>
      </c>
      <c r="AL67" s="397">
        <v>57319</v>
      </c>
      <c r="AM67" s="371">
        <f t="shared" si="2"/>
        <v>20283</v>
      </c>
      <c r="AN67" s="105">
        <v>7314</v>
      </c>
      <c r="AO67" s="139">
        <v>50</v>
      </c>
      <c r="AP67" s="150">
        <v>118</v>
      </c>
      <c r="AQ67" s="105">
        <v>45</v>
      </c>
      <c r="AR67" s="18">
        <v>0</v>
      </c>
      <c r="AS67" s="150">
        <v>7</v>
      </c>
      <c r="AT67" s="105">
        <v>13</v>
      </c>
      <c r="AU67" s="18">
        <v>0</v>
      </c>
      <c r="AV67" s="317">
        <v>0</v>
      </c>
      <c r="AW67" s="105">
        <v>114</v>
      </c>
      <c r="AX67" s="139">
        <v>3</v>
      </c>
      <c r="AY67" s="150">
        <v>58</v>
      </c>
      <c r="AZ67" s="105">
        <v>39</v>
      </c>
      <c r="BA67" s="18">
        <v>0</v>
      </c>
      <c r="BB67" s="150">
        <v>3</v>
      </c>
      <c r="BC67" s="105">
        <v>6</v>
      </c>
      <c r="BD67" s="18">
        <v>0</v>
      </c>
      <c r="BE67" s="17">
        <v>0</v>
      </c>
      <c r="BF67" s="105">
        <v>60</v>
      </c>
      <c r="BG67" s="139">
        <v>6</v>
      </c>
      <c r="BH67" s="317">
        <v>0</v>
      </c>
      <c r="BI67" s="105">
        <v>6566</v>
      </c>
      <c r="BJ67" s="139">
        <v>194</v>
      </c>
      <c r="BK67" s="150">
        <v>2134</v>
      </c>
      <c r="BL67" s="105">
        <v>39</v>
      </c>
      <c r="BM67" s="18">
        <v>0</v>
      </c>
      <c r="BN67" s="150">
        <v>2</v>
      </c>
      <c r="BO67" s="105">
        <v>502</v>
      </c>
      <c r="BP67" s="139">
        <v>6</v>
      </c>
      <c r="BQ67" s="150">
        <v>76</v>
      </c>
      <c r="BR67" s="105">
        <v>1</v>
      </c>
      <c r="BS67" s="18">
        <v>0</v>
      </c>
      <c r="BT67" s="317">
        <v>0</v>
      </c>
      <c r="BU67" s="15">
        <v>0</v>
      </c>
      <c r="BV67" s="18">
        <v>0</v>
      </c>
      <c r="BW67" s="317">
        <v>0</v>
      </c>
      <c r="BX67" s="15">
        <v>0</v>
      </c>
      <c r="BY67" s="18">
        <v>0</v>
      </c>
      <c r="BZ67" s="317">
        <v>0</v>
      </c>
      <c r="CA67" s="105">
        <v>64</v>
      </c>
      <c r="CB67" s="18">
        <v>0</v>
      </c>
      <c r="CC67" s="150">
        <v>1</v>
      </c>
      <c r="CD67" s="392">
        <v>0</v>
      </c>
      <c r="CE67" s="387">
        <v>0</v>
      </c>
      <c r="CF67" s="388">
        <v>0</v>
      </c>
      <c r="CG67" s="105">
        <v>32</v>
      </c>
      <c r="CH67" s="18">
        <v>0</v>
      </c>
      <c r="CI67" s="150">
        <v>1</v>
      </c>
      <c r="CJ67" s="105">
        <v>10</v>
      </c>
      <c r="CK67" s="18">
        <v>0</v>
      </c>
      <c r="CL67" s="150">
        <v>10</v>
      </c>
      <c r="CM67" s="105">
        <v>99</v>
      </c>
      <c r="CN67" s="18">
        <v>0</v>
      </c>
      <c r="CO67" s="150">
        <v>24</v>
      </c>
      <c r="CP67" s="444">
        <v>4</v>
      </c>
      <c r="CQ67" s="374">
        <v>0</v>
      </c>
      <c r="CR67" s="375">
        <v>0</v>
      </c>
      <c r="CS67" s="15">
        <v>0</v>
      </c>
      <c r="CT67" s="18">
        <v>0</v>
      </c>
      <c r="CU67" s="317">
        <v>0</v>
      </c>
      <c r="CV67" s="105">
        <v>1</v>
      </c>
      <c r="CW67" s="18">
        <v>0</v>
      </c>
      <c r="CX67" s="150">
        <v>1</v>
      </c>
      <c r="CY67" s="105">
        <v>16</v>
      </c>
      <c r="CZ67" s="18">
        <v>0</v>
      </c>
      <c r="DA67" s="150">
        <v>2</v>
      </c>
      <c r="DB67" s="396">
        <v>0</v>
      </c>
      <c r="DC67" s="341">
        <v>0</v>
      </c>
      <c r="DD67" s="342">
        <v>0</v>
      </c>
      <c r="DE67" s="105">
        <v>6</v>
      </c>
      <c r="DF67" s="18">
        <v>0</v>
      </c>
      <c r="DG67" s="150">
        <v>1</v>
      </c>
      <c r="DH67" s="87">
        <v>22</v>
      </c>
      <c r="DI67" s="18">
        <v>0</v>
      </c>
      <c r="DJ67" s="317">
        <v>0</v>
      </c>
      <c r="DK67" s="105">
        <v>10</v>
      </c>
      <c r="DL67" s="139">
        <v>1</v>
      </c>
      <c r="DM67" s="150">
        <v>1</v>
      </c>
      <c r="DN67" s="105">
        <v>15</v>
      </c>
      <c r="DO67" s="18">
        <v>0</v>
      </c>
      <c r="DP67" s="317">
        <v>0</v>
      </c>
      <c r="DQ67" s="105">
        <v>150</v>
      </c>
      <c r="DR67" s="18">
        <v>0</v>
      </c>
      <c r="DS67" s="150">
        <v>78</v>
      </c>
      <c r="DT67" s="105">
        <v>1</v>
      </c>
      <c r="DU67" s="18">
        <v>0</v>
      </c>
      <c r="DV67" s="150">
        <v>1</v>
      </c>
      <c r="DW67" s="396">
        <v>0</v>
      </c>
      <c r="DX67" s="341">
        <v>0</v>
      </c>
      <c r="DY67" s="342">
        <v>0</v>
      </c>
      <c r="DZ67" s="105">
        <v>45</v>
      </c>
      <c r="EA67" s="139">
        <v>1</v>
      </c>
      <c r="EB67" s="150">
        <v>13</v>
      </c>
      <c r="EC67" s="105">
        <v>50</v>
      </c>
      <c r="ED67" s="139">
        <v>1</v>
      </c>
      <c r="EE67" s="150">
        <v>31</v>
      </c>
      <c r="EF67" s="18">
        <v>0</v>
      </c>
      <c r="EG67" s="18">
        <v>0</v>
      </c>
      <c r="EH67" s="317">
        <v>0</v>
      </c>
      <c r="EI67" s="18">
        <v>0</v>
      </c>
      <c r="EJ67" s="18">
        <v>0</v>
      </c>
      <c r="EK67" s="317">
        <v>0</v>
      </c>
      <c r="EL67" s="105">
        <v>30</v>
      </c>
      <c r="EM67" s="18">
        <v>0</v>
      </c>
      <c r="EN67" s="150">
        <v>16</v>
      </c>
      <c r="EO67" s="18">
        <v>0</v>
      </c>
      <c r="EP67" s="18">
        <v>0</v>
      </c>
      <c r="EQ67" s="317">
        <v>0</v>
      </c>
      <c r="ER67" s="83"/>
      <c r="ES67" s="18">
        <v>0</v>
      </c>
      <c r="ET67" s="18">
        <v>0</v>
      </c>
      <c r="EU67" s="317">
        <v>0</v>
      </c>
      <c r="EV67" s="55" t="s">
        <v>1107</v>
      </c>
      <c r="EW67" s="64"/>
    </row>
    <row r="68" spans="1:153" ht="12.75">
      <c r="A68" s="93">
        <v>43899</v>
      </c>
      <c r="B68" s="440">
        <f t="shared" ref="B68:D68" si="64">SUM(F68,I68,L68,O68,R68,U68,X68,AG68,AJ68,AN68,AQ68,AT68,AW68,AZ68,BC68,BF68,BI68,BL68,BO68,BR68,CA68,CG68,CJ68,CM68,CP68,CV68,CY68,DE68,DH68,DK68,DN68,DQ68,DT68,DZ68,EC68,EL68)</f>
        <v>96938</v>
      </c>
      <c r="C68" s="441">
        <f t="shared" si="64"/>
        <v>3431</v>
      </c>
      <c r="D68" s="442">
        <f t="shared" si="64"/>
        <v>61584</v>
      </c>
      <c r="E68" s="443">
        <f t="shared" si="1"/>
        <v>31923</v>
      </c>
      <c r="F68" s="105">
        <v>15</v>
      </c>
      <c r="G68" s="18">
        <v>0</v>
      </c>
      <c r="H68" s="317">
        <v>0</v>
      </c>
      <c r="I68" s="105">
        <v>1</v>
      </c>
      <c r="J68" s="18">
        <v>0</v>
      </c>
      <c r="K68" s="317">
        <v>0</v>
      </c>
      <c r="L68" s="105">
        <v>4</v>
      </c>
      <c r="M68" s="18">
        <v>0</v>
      </c>
      <c r="N68" s="317">
        <v>0</v>
      </c>
      <c r="O68" s="105">
        <v>9</v>
      </c>
      <c r="P68" s="18">
        <v>0</v>
      </c>
      <c r="Q68" s="317">
        <v>0</v>
      </c>
      <c r="R68" s="105">
        <v>95</v>
      </c>
      <c r="S68" s="139">
        <v>0</v>
      </c>
      <c r="T68" s="150">
        <v>14</v>
      </c>
      <c r="U68" s="105">
        <v>3</v>
      </c>
      <c r="V68" s="18">
        <v>0</v>
      </c>
      <c r="W68" s="317">
        <v>0</v>
      </c>
      <c r="X68" s="439">
        <v>1</v>
      </c>
      <c r="Y68" s="341">
        <v>0</v>
      </c>
      <c r="Z68" s="342">
        <v>0</v>
      </c>
      <c r="AA68" s="396">
        <v>0</v>
      </c>
      <c r="AB68" s="341">
        <v>0</v>
      </c>
      <c r="AC68" s="342">
        <v>0</v>
      </c>
      <c r="AD68" s="396">
        <v>0</v>
      </c>
      <c r="AE68" s="341">
        <v>0</v>
      </c>
      <c r="AF68" s="342">
        <v>0</v>
      </c>
      <c r="AG68" s="105">
        <v>2</v>
      </c>
      <c r="AH68" s="18">
        <v>0</v>
      </c>
      <c r="AI68" s="150">
        <v>1</v>
      </c>
      <c r="AJ68" s="105">
        <v>80735</v>
      </c>
      <c r="AK68" s="139">
        <v>3120</v>
      </c>
      <c r="AL68" s="397">
        <v>58728</v>
      </c>
      <c r="AM68" s="371">
        <f t="shared" si="2"/>
        <v>18887</v>
      </c>
      <c r="AN68" s="105">
        <v>7478</v>
      </c>
      <c r="AO68" s="139">
        <v>53</v>
      </c>
      <c r="AP68" s="150">
        <v>118</v>
      </c>
      <c r="AQ68" s="105">
        <v>45</v>
      </c>
      <c r="AR68" s="18">
        <v>0</v>
      </c>
      <c r="AS68" s="150">
        <v>7</v>
      </c>
      <c r="AT68" s="105">
        <v>15</v>
      </c>
      <c r="AU68" s="18">
        <v>0</v>
      </c>
      <c r="AV68" s="317">
        <v>0</v>
      </c>
      <c r="AW68" s="105">
        <v>115</v>
      </c>
      <c r="AX68" s="139">
        <v>3</v>
      </c>
      <c r="AY68" s="150">
        <v>59</v>
      </c>
      <c r="AZ68" s="105">
        <v>43</v>
      </c>
      <c r="BA68" s="18">
        <v>0</v>
      </c>
      <c r="BB68" s="150">
        <v>3</v>
      </c>
      <c r="BC68" s="105">
        <v>19</v>
      </c>
      <c r="BD68" s="18">
        <v>0</v>
      </c>
      <c r="BE68" s="17">
        <v>0</v>
      </c>
      <c r="BF68" s="105">
        <v>60</v>
      </c>
      <c r="BG68" s="139">
        <v>6</v>
      </c>
      <c r="BH68" s="317">
        <v>0</v>
      </c>
      <c r="BI68" s="105">
        <v>7161</v>
      </c>
      <c r="BJ68" s="139">
        <v>237</v>
      </c>
      <c r="BK68" s="150">
        <v>2394</v>
      </c>
      <c r="BL68" s="105">
        <v>39</v>
      </c>
      <c r="BM68" s="18">
        <v>0</v>
      </c>
      <c r="BN68" s="150">
        <v>2</v>
      </c>
      <c r="BO68" s="105">
        <v>511</v>
      </c>
      <c r="BP68" s="139">
        <v>9</v>
      </c>
      <c r="BQ68" s="150">
        <v>76</v>
      </c>
      <c r="BR68" s="105">
        <v>1</v>
      </c>
      <c r="BS68" s="18">
        <v>0</v>
      </c>
      <c r="BT68" s="317">
        <v>0</v>
      </c>
      <c r="BU68" s="15">
        <v>0</v>
      </c>
      <c r="BV68" s="18">
        <v>0</v>
      </c>
      <c r="BW68" s="317">
        <v>0</v>
      </c>
      <c r="BX68" s="15">
        <v>0</v>
      </c>
      <c r="BY68" s="18">
        <v>0</v>
      </c>
      <c r="BZ68" s="317">
        <v>0</v>
      </c>
      <c r="CA68" s="105">
        <v>64</v>
      </c>
      <c r="CB68" s="18">
        <v>0</v>
      </c>
      <c r="CC68" s="150">
        <v>1</v>
      </c>
      <c r="CD68" s="392">
        <v>0</v>
      </c>
      <c r="CE68" s="374">
        <v>0</v>
      </c>
      <c r="CF68" s="375">
        <v>0</v>
      </c>
      <c r="CG68" s="105">
        <v>32</v>
      </c>
      <c r="CH68" s="18">
        <v>0</v>
      </c>
      <c r="CI68" s="150">
        <v>1</v>
      </c>
      <c r="CJ68" s="105">
        <v>10</v>
      </c>
      <c r="CK68" s="18">
        <v>0</v>
      </c>
      <c r="CL68" s="150">
        <v>10</v>
      </c>
      <c r="CM68" s="105">
        <v>117</v>
      </c>
      <c r="CN68" s="18">
        <v>0</v>
      </c>
      <c r="CO68" s="150">
        <v>24</v>
      </c>
      <c r="CP68" s="444">
        <v>4</v>
      </c>
      <c r="CQ68" s="374">
        <v>0</v>
      </c>
      <c r="CR68" s="375">
        <v>0</v>
      </c>
      <c r="CS68" s="15">
        <v>0</v>
      </c>
      <c r="CT68" s="18">
        <v>0</v>
      </c>
      <c r="CU68" s="317">
        <v>0</v>
      </c>
      <c r="CV68" s="105">
        <v>1</v>
      </c>
      <c r="CW68" s="18">
        <v>0</v>
      </c>
      <c r="CX68" s="150">
        <v>1</v>
      </c>
      <c r="CY68" s="105">
        <v>16</v>
      </c>
      <c r="CZ68" s="18">
        <v>0</v>
      </c>
      <c r="DA68" s="150">
        <v>2</v>
      </c>
      <c r="DB68" s="396">
        <v>0</v>
      </c>
      <c r="DC68" s="341">
        <v>0</v>
      </c>
      <c r="DD68" s="342">
        <v>0</v>
      </c>
      <c r="DE68" s="105">
        <v>6</v>
      </c>
      <c r="DF68" s="18">
        <v>0</v>
      </c>
      <c r="DG68" s="150">
        <v>1</v>
      </c>
      <c r="DH68" s="87">
        <v>22</v>
      </c>
      <c r="DI68" s="18">
        <v>0</v>
      </c>
      <c r="DJ68" s="317">
        <v>0</v>
      </c>
      <c r="DK68" s="105">
        <v>20</v>
      </c>
      <c r="DL68" s="139">
        <v>1</v>
      </c>
      <c r="DM68" s="150">
        <v>1</v>
      </c>
      <c r="DN68" s="105">
        <v>18</v>
      </c>
      <c r="DO68" s="18">
        <v>0</v>
      </c>
      <c r="DP68" s="317">
        <v>0</v>
      </c>
      <c r="DQ68" s="105">
        <v>150</v>
      </c>
      <c r="DR68" s="18">
        <v>0</v>
      </c>
      <c r="DS68" s="150">
        <v>78</v>
      </c>
      <c r="DT68" s="105">
        <v>1</v>
      </c>
      <c r="DU68" s="18">
        <v>0</v>
      </c>
      <c r="DV68" s="150">
        <v>1</v>
      </c>
      <c r="DW68" s="396">
        <v>0</v>
      </c>
      <c r="DX68" s="341">
        <v>0</v>
      </c>
      <c r="DY68" s="342">
        <v>0</v>
      </c>
      <c r="DZ68" s="105">
        <v>45</v>
      </c>
      <c r="EA68" s="139">
        <v>1</v>
      </c>
      <c r="EB68" s="150">
        <v>15</v>
      </c>
      <c r="EC68" s="105">
        <v>50</v>
      </c>
      <c r="ED68" s="139">
        <v>1</v>
      </c>
      <c r="EE68" s="150">
        <v>31</v>
      </c>
      <c r="EF68" s="18">
        <v>0</v>
      </c>
      <c r="EG68" s="18">
        <v>0</v>
      </c>
      <c r="EH68" s="317">
        <v>0</v>
      </c>
      <c r="EI68" s="18">
        <v>0</v>
      </c>
      <c r="EJ68" s="18">
        <v>0</v>
      </c>
      <c r="EK68" s="317">
        <v>0</v>
      </c>
      <c r="EL68" s="105">
        <v>30</v>
      </c>
      <c r="EM68" s="18">
        <v>0</v>
      </c>
      <c r="EN68" s="150">
        <v>16</v>
      </c>
      <c r="EO68" s="18">
        <v>0</v>
      </c>
      <c r="EP68" s="18">
        <v>0</v>
      </c>
      <c r="EQ68" s="317">
        <v>0</v>
      </c>
      <c r="ER68" s="83"/>
      <c r="ES68" s="18">
        <v>0</v>
      </c>
      <c r="ET68" s="18">
        <v>0</v>
      </c>
      <c r="EU68" s="317">
        <v>0</v>
      </c>
      <c r="EV68" s="55"/>
      <c r="EW68" s="64"/>
    </row>
    <row r="69" spans="1:153" ht="12.75">
      <c r="A69" s="93">
        <v>43900</v>
      </c>
      <c r="B69" s="440">
        <f t="shared" ref="B69:D69" si="65">SUM(F69,I69,L69,O69,R69,U69,X69,AD69,AG69,AJ69,AN69,AQ69,AT69,AW69,AZ69,BC69,BF69,BI69,BL69,BO69,BR69,CA69,CG69,CJ69,CM69,CP69,CS69,CV69,CY69,DE69,DH69,DK69,DN69,DQ69,DT69,DZ69,EC69,EL69)</f>
        <v>98131</v>
      </c>
      <c r="C69" s="441">
        <f t="shared" si="65"/>
        <v>3505</v>
      </c>
      <c r="D69" s="442">
        <f t="shared" si="65"/>
        <v>63479</v>
      </c>
      <c r="E69" s="443">
        <f t="shared" si="1"/>
        <v>31147</v>
      </c>
      <c r="F69" s="105">
        <v>20</v>
      </c>
      <c r="G69" s="18">
        <v>0</v>
      </c>
      <c r="H69" s="150">
        <v>1</v>
      </c>
      <c r="I69" s="105">
        <v>1</v>
      </c>
      <c r="J69" s="18">
        <v>0</v>
      </c>
      <c r="K69" s="317">
        <v>0</v>
      </c>
      <c r="L69" s="105">
        <v>4</v>
      </c>
      <c r="M69" s="18">
        <v>0</v>
      </c>
      <c r="N69" s="317">
        <v>0</v>
      </c>
      <c r="O69" s="105">
        <v>11</v>
      </c>
      <c r="P69" s="18">
        <v>0</v>
      </c>
      <c r="Q69" s="317">
        <v>0</v>
      </c>
      <c r="R69" s="105">
        <v>110</v>
      </c>
      <c r="S69" s="139">
        <v>0</v>
      </c>
      <c r="T69" s="150">
        <v>22</v>
      </c>
      <c r="U69" s="105">
        <v>3</v>
      </c>
      <c r="V69" s="18">
        <v>0</v>
      </c>
      <c r="W69" s="317">
        <v>0</v>
      </c>
      <c r="X69" s="439">
        <v>1</v>
      </c>
      <c r="Y69" s="341">
        <v>0</v>
      </c>
      <c r="Z69" s="342">
        <v>0</v>
      </c>
      <c r="AA69" s="396">
        <v>0</v>
      </c>
      <c r="AB69" s="341">
        <v>0</v>
      </c>
      <c r="AC69" s="342">
        <v>0</v>
      </c>
      <c r="AD69" s="439">
        <v>1</v>
      </c>
      <c r="AE69" s="341">
        <v>0</v>
      </c>
      <c r="AF69" s="342">
        <v>0</v>
      </c>
      <c r="AG69" s="105">
        <v>2</v>
      </c>
      <c r="AH69" s="18">
        <v>0</v>
      </c>
      <c r="AI69" s="150">
        <v>1</v>
      </c>
      <c r="AJ69" s="105">
        <v>80757</v>
      </c>
      <c r="AK69" s="139">
        <v>3136</v>
      </c>
      <c r="AL69" s="397">
        <v>60098</v>
      </c>
      <c r="AM69" s="371">
        <f t="shared" si="2"/>
        <v>17523</v>
      </c>
      <c r="AN69" s="105">
        <v>7513</v>
      </c>
      <c r="AO69" s="139">
        <v>54</v>
      </c>
      <c r="AP69" s="150">
        <v>247</v>
      </c>
      <c r="AQ69" s="105">
        <v>74</v>
      </c>
      <c r="AR69" s="18">
        <v>0</v>
      </c>
      <c r="AS69" s="150">
        <v>12</v>
      </c>
      <c r="AT69" s="105">
        <v>15</v>
      </c>
      <c r="AU69" s="18">
        <v>0</v>
      </c>
      <c r="AV69" s="317">
        <v>0</v>
      </c>
      <c r="AW69" s="105">
        <v>118</v>
      </c>
      <c r="AX69" s="139">
        <v>3</v>
      </c>
      <c r="AY69" s="150">
        <v>60</v>
      </c>
      <c r="AZ69" s="105">
        <v>56</v>
      </c>
      <c r="BA69" s="18">
        <v>0</v>
      </c>
      <c r="BB69" s="150">
        <v>4</v>
      </c>
      <c r="BC69" s="105">
        <v>27</v>
      </c>
      <c r="BD69" s="18">
        <v>0</v>
      </c>
      <c r="BE69" s="138">
        <v>2</v>
      </c>
      <c r="BF69" s="105">
        <v>71</v>
      </c>
      <c r="BG69" s="139">
        <v>7</v>
      </c>
      <c r="BH69" s="150">
        <v>3</v>
      </c>
      <c r="BI69" s="105">
        <v>8042</v>
      </c>
      <c r="BJ69" s="139">
        <v>291</v>
      </c>
      <c r="BK69" s="150">
        <v>2731</v>
      </c>
      <c r="BL69" s="105">
        <v>58</v>
      </c>
      <c r="BM69" s="18">
        <v>0</v>
      </c>
      <c r="BN69" s="150">
        <v>3</v>
      </c>
      <c r="BO69" s="105">
        <v>581</v>
      </c>
      <c r="BP69" s="139">
        <v>10</v>
      </c>
      <c r="BQ69" s="150">
        <v>101</v>
      </c>
      <c r="BR69" s="105">
        <v>1</v>
      </c>
      <c r="BS69" s="18">
        <v>0</v>
      </c>
      <c r="BT69" s="317">
        <v>0</v>
      </c>
      <c r="BU69" s="15">
        <v>0</v>
      </c>
      <c r="BV69" s="18">
        <v>0</v>
      </c>
      <c r="BW69" s="317">
        <v>0</v>
      </c>
      <c r="BX69" s="15">
        <v>0</v>
      </c>
      <c r="BY69" s="18">
        <v>0</v>
      </c>
      <c r="BZ69" s="317">
        <v>0</v>
      </c>
      <c r="CA69" s="105">
        <v>69</v>
      </c>
      <c r="CB69" s="18">
        <v>0</v>
      </c>
      <c r="CC69" s="150">
        <v>1</v>
      </c>
      <c r="CD69" s="392">
        <v>0</v>
      </c>
      <c r="CE69" s="387">
        <v>0</v>
      </c>
      <c r="CF69" s="388">
        <v>0</v>
      </c>
      <c r="CG69" s="105">
        <v>41</v>
      </c>
      <c r="CH69" s="139">
        <v>1</v>
      </c>
      <c r="CI69" s="150">
        <v>1</v>
      </c>
      <c r="CJ69" s="105">
        <v>10</v>
      </c>
      <c r="CK69" s="18">
        <v>0</v>
      </c>
      <c r="CL69" s="150">
        <v>10</v>
      </c>
      <c r="CM69" s="105">
        <v>129</v>
      </c>
      <c r="CN69" s="18">
        <v>0</v>
      </c>
      <c r="CO69" s="150">
        <v>24</v>
      </c>
      <c r="CP69" s="444">
        <v>6</v>
      </c>
      <c r="CQ69" s="374">
        <v>0</v>
      </c>
      <c r="CR69" s="375">
        <v>0</v>
      </c>
      <c r="CS69" s="105">
        <v>1</v>
      </c>
      <c r="CT69" s="18">
        <v>0</v>
      </c>
      <c r="CU69" s="317">
        <v>0</v>
      </c>
      <c r="CV69" s="105">
        <v>1</v>
      </c>
      <c r="CW69" s="18">
        <v>0</v>
      </c>
      <c r="CX69" s="150">
        <v>1</v>
      </c>
      <c r="CY69" s="105">
        <v>18</v>
      </c>
      <c r="CZ69" s="18">
        <v>0</v>
      </c>
      <c r="DA69" s="150">
        <v>9</v>
      </c>
      <c r="DB69" s="396">
        <v>0</v>
      </c>
      <c r="DC69" s="341">
        <v>0</v>
      </c>
      <c r="DD69" s="342">
        <v>0</v>
      </c>
      <c r="DE69" s="105">
        <v>16</v>
      </c>
      <c r="DF69" s="18">
        <v>0</v>
      </c>
      <c r="DG69" s="150">
        <v>1</v>
      </c>
      <c r="DH69" s="87">
        <v>25</v>
      </c>
      <c r="DI69" s="18">
        <v>0</v>
      </c>
      <c r="DJ69" s="317">
        <v>0</v>
      </c>
      <c r="DK69" s="105">
        <v>33</v>
      </c>
      <c r="DL69" s="139">
        <v>1</v>
      </c>
      <c r="DM69" s="150">
        <v>2</v>
      </c>
      <c r="DN69" s="105">
        <v>24</v>
      </c>
      <c r="DO69" s="18">
        <v>0</v>
      </c>
      <c r="DP69" s="317">
        <v>0</v>
      </c>
      <c r="DQ69" s="105">
        <v>160</v>
      </c>
      <c r="DR69" s="18">
        <v>0</v>
      </c>
      <c r="DS69" s="150">
        <v>78</v>
      </c>
      <c r="DT69" s="105">
        <v>1</v>
      </c>
      <c r="DU69" s="18">
        <v>0</v>
      </c>
      <c r="DV69" s="150">
        <v>1</v>
      </c>
      <c r="DW69" s="396">
        <v>0</v>
      </c>
      <c r="DX69" s="341">
        <v>0</v>
      </c>
      <c r="DY69" s="342">
        <v>0</v>
      </c>
      <c r="DZ69" s="105">
        <v>47</v>
      </c>
      <c r="EA69" s="139">
        <v>1</v>
      </c>
      <c r="EB69" s="150">
        <v>17</v>
      </c>
      <c r="EC69" s="105">
        <v>53</v>
      </c>
      <c r="ED69" s="139">
        <v>1</v>
      </c>
      <c r="EE69" s="150">
        <v>33</v>
      </c>
      <c r="EF69" s="18">
        <v>0</v>
      </c>
      <c r="EG69" s="18">
        <v>0</v>
      </c>
      <c r="EH69" s="317">
        <v>0</v>
      </c>
      <c r="EI69" s="18">
        <v>0</v>
      </c>
      <c r="EJ69" s="18">
        <v>0</v>
      </c>
      <c r="EK69" s="317">
        <v>0</v>
      </c>
      <c r="EL69" s="105">
        <v>31</v>
      </c>
      <c r="EM69" s="18">
        <v>0</v>
      </c>
      <c r="EN69" s="150">
        <v>16</v>
      </c>
      <c r="EO69" s="18">
        <v>0</v>
      </c>
      <c r="EP69" s="18">
        <v>0</v>
      </c>
      <c r="EQ69" s="317">
        <v>0</v>
      </c>
      <c r="ER69" s="83"/>
      <c r="ES69" s="18">
        <v>0</v>
      </c>
      <c r="ET69" s="18">
        <v>0</v>
      </c>
      <c r="EU69" s="317">
        <v>0</v>
      </c>
      <c r="EV69" s="55" t="s">
        <v>1109</v>
      </c>
      <c r="EW69" s="64"/>
    </row>
    <row r="70" spans="1:153" ht="12.75">
      <c r="A70" s="93">
        <v>43901</v>
      </c>
      <c r="B70" s="440">
        <f t="shared" ref="B70:D70" si="66">SUM(F70,I70,L70,O70,R70,U70,X70,AD70,AG70,AJ70,AN70,AQ70,AT70,AW70,AZ70,BC70,BF70,BI70,BL70,BO70,BR70,CA70,CG70,CJ70,CM70,CP70,CS70,CV70,CY70,DE70,DH70,DK70,DN70,DQ70,DT70,DZ70,EC70,EI70,EL70)</f>
        <v>100046</v>
      </c>
      <c r="C70" s="441">
        <f t="shared" si="66"/>
        <v>3608</v>
      </c>
      <c r="D70" s="442">
        <f t="shared" si="66"/>
        <v>65344</v>
      </c>
      <c r="E70" s="443">
        <f t="shared" si="1"/>
        <v>31094</v>
      </c>
      <c r="F70" s="105">
        <v>21</v>
      </c>
      <c r="G70" s="18">
        <v>0</v>
      </c>
      <c r="H70" s="150">
        <v>1</v>
      </c>
      <c r="I70" s="105">
        <v>1</v>
      </c>
      <c r="J70" s="18">
        <v>0</v>
      </c>
      <c r="K70" s="317">
        <v>0</v>
      </c>
      <c r="L70" s="105">
        <v>7</v>
      </c>
      <c r="M70" s="18">
        <v>0</v>
      </c>
      <c r="N70" s="317">
        <v>0</v>
      </c>
      <c r="O70" s="105">
        <v>11</v>
      </c>
      <c r="P70" s="18">
        <v>0</v>
      </c>
      <c r="Q70" s="150">
        <v>3</v>
      </c>
      <c r="R70" s="105">
        <v>189</v>
      </c>
      <c r="S70" s="139">
        <v>0</v>
      </c>
      <c r="T70" s="150">
        <v>30</v>
      </c>
      <c r="U70" s="105">
        <v>3</v>
      </c>
      <c r="V70" s="18">
        <v>0</v>
      </c>
      <c r="W70" s="317">
        <v>0</v>
      </c>
      <c r="X70" s="439">
        <v>1</v>
      </c>
      <c r="Y70" s="341">
        <v>0</v>
      </c>
      <c r="Z70" s="342">
        <v>0</v>
      </c>
      <c r="AA70" s="396">
        <v>0</v>
      </c>
      <c r="AB70" s="341">
        <v>0</v>
      </c>
      <c r="AC70" s="342">
        <v>0</v>
      </c>
      <c r="AD70" s="445">
        <v>6</v>
      </c>
      <c r="AE70" s="341">
        <v>0</v>
      </c>
      <c r="AF70" s="342">
        <v>0</v>
      </c>
      <c r="AG70" s="105">
        <v>3</v>
      </c>
      <c r="AH70" s="18">
        <v>0</v>
      </c>
      <c r="AI70" s="150">
        <v>1</v>
      </c>
      <c r="AJ70" s="105">
        <v>80921</v>
      </c>
      <c r="AK70" s="139">
        <v>3161</v>
      </c>
      <c r="AL70" s="397">
        <v>61644</v>
      </c>
      <c r="AM70" s="371">
        <f t="shared" si="2"/>
        <v>16116</v>
      </c>
      <c r="AN70" s="105">
        <v>7755</v>
      </c>
      <c r="AO70" s="139">
        <v>60</v>
      </c>
      <c r="AP70" s="150">
        <v>288</v>
      </c>
      <c r="AQ70" s="105">
        <v>74</v>
      </c>
      <c r="AR70" s="18">
        <v>0</v>
      </c>
      <c r="AS70" s="150">
        <v>12</v>
      </c>
      <c r="AT70" s="105">
        <v>23</v>
      </c>
      <c r="AU70" s="18">
        <v>0</v>
      </c>
      <c r="AV70" s="317">
        <v>0</v>
      </c>
      <c r="AW70" s="105">
        <v>118</v>
      </c>
      <c r="AX70" s="139">
        <v>3</v>
      </c>
      <c r="AY70" s="150">
        <v>60</v>
      </c>
      <c r="AZ70" s="105">
        <v>60</v>
      </c>
      <c r="BA70" s="139">
        <v>1</v>
      </c>
      <c r="BB70" s="150">
        <v>4</v>
      </c>
      <c r="BC70" s="105">
        <v>34</v>
      </c>
      <c r="BD70" s="139">
        <v>1</v>
      </c>
      <c r="BE70" s="138">
        <v>2</v>
      </c>
      <c r="BF70" s="105">
        <v>71</v>
      </c>
      <c r="BG70" s="139">
        <v>7</v>
      </c>
      <c r="BH70" s="150">
        <v>3</v>
      </c>
      <c r="BI70" s="105">
        <v>9000</v>
      </c>
      <c r="BJ70" s="139">
        <v>354</v>
      </c>
      <c r="BK70" s="150">
        <v>2959</v>
      </c>
      <c r="BL70" s="105">
        <v>109</v>
      </c>
      <c r="BM70" s="18">
        <v>0</v>
      </c>
      <c r="BN70" s="150">
        <v>3</v>
      </c>
      <c r="BO70" s="105">
        <v>639</v>
      </c>
      <c r="BP70" s="139">
        <v>15</v>
      </c>
      <c r="BQ70" s="150">
        <v>118</v>
      </c>
      <c r="BR70" s="105">
        <v>1</v>
      </c>
      <c r="BS70" s="18">
        <v>0</v>
      </c>
      <c r="BT70" s="317">
        <v>0</v>
      </c>
      <c r="BU70" s="15">
        <v>0</v>
      </c>
      <c r="BV70" s="18">
        <v>0</v>
      </c>
      <c r="BW70" s="317">
        <v>0</v>
      </c>
      <c r="BX70" s="15">
        <v>0</v>
      </c>
      <c r="BY70" s="18">
        <v>0</v>
      </c>
      <c r="BZ70" s="317">
        <v>0</v>
      </c>
      <c r="CA70" s="105">
        <v>72</v>
      </c>
      <c r="CB70" s="18">
        <v>0</v>
      </c>
      <c r="CC70" s="150">
        <v>2</v>
      </c>
      <c r="CD70" s="392">
        <v>0</v>
      </c>
      <c r="CE70" s="374">
        <v>0</v>
      </c>
      <c r="CF70" s="375">
        <v>0</v>
      </c>
      <c r="CG70" s="105">
        <v>61</v>
      </c>
      <c r="CH70" s="139">
        <v>3</v>
      </c>
      <c r="CI70" s="150">
        <v>1</v>
      </c>
      <c r="CJ70" s="105">
        <v>10</v>
      </c>
      <c r="CK70" s="18">
        <v>0</v>
      </c>
      <c r="CL70" s="150">
        <v>10</v>
      </c>
      <c r="CM70" s="105">
        <v>149</v>
      </c>
      <c r="CN70" s="18">
        <v>0</v>
      </c>
      <c r="CO70" s="150">
        <v>26</v>
      </c>
      <c r="CP70" s="444">
        <v>8</v>
      </c>
      <c r="CQ70" s="374">
        <v>0</v>
      </c>
      <c r="CR70" s="375">
        <v>0</v>
      </c>
      <c r="CS70" s="105">
        <v>1</v>
      </c>
      <c r="CT70" s="18">
        <v>0</v>
      </c>
      <c r="CU70" s="317">
        <v>0</v>
      </c>
      <c r="CV70" s="105">
        <v>1</v>
      </c>
      <c r="CW70" s="18">
        <v>0</v>
      </c>
      <c r="CX70" s="150">
        <v>1</v>
      </c>
      <c r="CY70" s="105">
        <v>18</v>
      </c>
      <c r="CZ70" s="18">
        <v>0</v>
      </c>
      <c r="DA70" s="150">
        <v>9</v>
      </c>
      <c r="DB70" s="396">
        <v>0</v>
      </c>
      <c r="DC70" s="341">
        <v>0</v>
      </c>
      <c r="DD70" s="342">
        <v>0</v>
      </c>
      <c r="DE70" s="105">
        <v>19</v>
      </c>
      <c r="DF70" s="18">
        <v>0</v>
      </c>
      <c r="DG70" s="150">
        <v>1</v>
      </c>
      <c r="DH70" s="87">
        <v>26</v>
      </c>
      <c r="DI70" s="18">
        <v>0</v>
      </c>
      <c r="DJ70" s="317">
        <v>0</v>
      </c>
      <c r="DK70" s="105">
        <v>49</v>
      </c>
      <c r="DL70" s="139">
        <v>1</v>
      </c>
      <c r="DM70" s="150">
        <v>2</v>
      </c>
      <c r="DN70" s="105">
        <v>262</v>
      </c>
      <c r="DO70" s="18">
        <v>0</v>
      </c>
      <c r="DP70" s="317">
        <v>0</v>
      </c>
      <c r="DQ70" s="105">
        <v>178</v>
      </c>
      <c r="DR70" s="18">
        <v>0</v>
      </c>
      <c r="DS70" s="150">
        <v>96</v>
      </c>
      <c r="DT70" s="105">
        <v>2</v>
      </c>
      <c r="DU70" s="18">
        <v>0</v>
      </c>
      <c r="DV70" s="150">
        <v>1</v>
      </c>
      <c r="DW70" s="396">
        <v>0</v>
      </c>
      <c r="DX70" s="341">
        <v>0</v>
      </c>
      <c r="DY70" s="342">
        <v>0</v>
      </c>
      <c r="DZ70" s="105">
        <v>48</v>
      </c>
      <c r="EA70" s="139">
        <v>1</v>
      </c>
      <c r="EB70" s="150">
        <v>17</v>
      </c>
      <c r="EC70" s="105">
        <v>59</v>
      </c>
      <c r="ED70" s="139">
        <v>1</v>
      </c>
      <c r="EE70" s="150">
        <v>34</v>
      </c>
      <c r="EF70" s="18">
        <v>0</v>
      </c>
      <c r="EG70" s="18">
        <v>0</v>
      </c>
      <c r="EH70" s="317">
        <v>0</v>
      </c>
      <c r="EI70" s="87">
        <v>1</v>
      </c>
      <c r="EJ70" s="18">
        <v>0</v>
      </c>
      <c r="EK70" s="317">
        <v>0</v>
      </c>
      <c r="EL70" s="105">
        <v>35</v>
      </c>
      <c r="EM70" s="18">
        <v>0</v>
      </c>
      <c r="EN70" s="150">
        <v>16</v>
      </c>
      <c r="EO70" s="18">
        <v>0</v>
      </c>
      <c r="EP70" s="18">
        <v>0</v>
      </c>
      <c r="EQ70" s="317">
        <v>0</v>
      </c>
      <c r="ER70" s="83"/>
      <c r="ES70" s="18">
        <v>0</v>
      </c>
      <c r="ET70" s="18">
        <v>0</v>
      </c>
      <c r="EU70" s="317">
        <v>0</v>
      </c>
      <c r="EV70" s="55" t="s">
        <v>1112</v>
      </c>
      <c r="EW70" s="64"/>
    </row>
    <row r="71" spans="1:153" ht="12.75">
      <c r="A71" s="93">
        <v>43902</v>
      </c>
      <c r="B71" s="440">
        <f t="shared" ref="B71:D71" si="67">SUM(F71,I71,L71,O71,R71,U71,X71,AD71,AG71,AJ71,AN71,AQ71,AT71,AW71,AZ71,BC71,BF71,BI71,BL71,BO71,BR71,CA71,CG71,CJ71,CM71,CP71,CS71,CV71,CY71,DE71,DH71,DK71,DN71,DQ71,DT71,DZ71,EC71,EI71,EL71)</f>
        <v>101352</v>
      </c>
      <c r="C71" s="441">
        <f t="shared" si="67"/>
        <v>3703</v>
      </c>
      <c r="D71" s="442">
        <f t="shared" si="67"/>
        <v>66676</v>
      </c>
      <c r="E71" s="443">
        <f t="shared" si="1"/>
        <v>30973</v>
      </c>
      <c r="F71" s="105">
        <v>45</v>
      </c>
      <c r="G71" s="18">
        <v>0</v>
      </c>
      <c r="H71" s="150">
        <v>1</v>
      </c>
      <c r="I71" s="105">
        <v>4</v>
      </c>
      <c r="J71" s="18">
        <v>0</v>
      </c>
      <c r="K71" s="317">
        <v>0</v>
      </c>
      <c r="L71" s="105">
        <v>7</v>
      </c>
      <c r="M71" s="18">
        <v>0</v>
      </c>
      <c r="N71" s="317">
        <v>0</v>
      </c>
      <c r="O71" s="105">
        <v>11</v>
      </c>
      <c r="P71" s="18">
        <v>0</v>
      </c>
      <c r="Q71" s="150">
        <v>3</v>
      </c>
      <c r="R71" s="105">
        <v>189</v>
      </c>
      <c r="S71" s="139">
        <v>0</v>
      </c>
      <c r="T71" s="150">
        <v>35</v>
      </c>
      <c r="U71" s="105">
        <v>3</v>
      </c>
      <c r="V71" s="18">
        <v>0</v>
      </c>
      <c r="W71" s="317">
        <v>0</v>
      </c>
      <c r="X71" s="439">
        <v>1</v>
      </c>
      <c r="Y71" s="341">
        <v>0</v>
      </c>
      <c r="Z71" s="342">
        <v>0</v>
      </c>
      <c r="AA71" s="396">
        <v>0</v>
      </c>
      <c r="AB71" s="341">
        <v>0</v>
      </c>
      <c r="AC71" s="342">
        <v>0</v>
      </c>
      <c r="AD71" s="445">
        <v>11</v>
      </c>
      <c r="AE71" s="341">
        <v>0</v>
      </c>
      <c r="AF71" s="342">
        <v>0</v>
      </c>
      <c r="AG71" s="105">
        <v>3</v>
      </c>
      <c r="AH71" s="18">
        <v>0</v>
      </c>
      <c r="AI71" s="150">
        <v>1</v>
      </c>
      <c r="AJ71" s="105">
        <v>80932</v>
      </c>
      <c r="AK71" s="139">
        <v>3172</v>
      </c>
      <c r="AL71" s="397">
        <v>62901</v>
      </c>
      <c r="AM71" s="371">
        <f t="shared" si="2"/>
        <v>14859</v>
      </c>
      <c r="AN71" s="105">
        <v>7869</v>
      </c>
      <c r="AO71" s="139">
        <v>66</v>
      </c>
      <c r="AP71" s="150">
        <v>333</v>
      </c>
      <c r="AQ71" s="105">
        <v>85</v>
      </c>
      <c r="AR71" s="18">
        <v>0</v>
      </c>
      <c r="AS71" s="150">
        <v>17</v>
      </c>
      <c r="AT71" s="105">
        <v>24</v>
      </c>
      <c r="AU71" s="18">
        <v>0</v>
      </c>
      <c r="AV71" s="317">
        <v>0</v>
      </c>
      <c r="AW71" s="105">
        <v>118</v>
      </c>
      <c r="AX71" s="139">
        <v>3</v>
      </c>
      <c r="AY71" s="150">
        <v>60</v>
      </c>
      <c r="AZ71" s="105">
        <v>73</v>
      </c>
      <c r="BA71" s="139">
        <v>1</v>
      </c>
      <c r="BB71" s="150">
        <v>4</v>
      </c>
      <c r="BC71" s="105">
        <v>34</v>
      </c>
      <c r="BD71" s="139">
        <v>1</v>
      </c>
      <c r="BE71" s="138">
        <v>2</v>
      </c>
      <c r="BF71" s="105">
        <v>71</v>
      </c>
      <c r="BG71" s="139">
        <v>8</v>
      </c>
      <c r="BH71" s="150">
        <v>15</v>
      </c>
      <c r="BI71" s="105">
        <v>10075</v>
      </c>
      <c r="BJ71" s="139">
        <v>429</v>
      </c>
      <c r="BK71" s="150">
        <v>2959</v>
      </c>
      <c r="BL71" s="105">
        <v>131</v>
      </c>
      <c r="BM71" s="18">
        <v>0</v>
      </c>
      <c r="BN71" s="150">
        <v>4</v>
      </c>
      <c r="BO71" s="105">
        <v>639</v>
      </c>
      <c r="BP71" s="139">
        <v>16</v>
      </c>
      <c r="BQ71" s="150">
        <v>118</v>
      </c>
      <c r="BR71" s="105">
        <v>1</v>
      </c>
      <c r="BS71" s="18">
        <v>0</v>
      </c>
      <c r="BT71" s="317">
        <v>0</v>
      </c>
      <c r="BU71" s="15">
        <v>0</v>
      </c>
      <c r="BV71" s="18">
        <v>0</v>
      </c>
      <c r="BW71" s="317">
        <v>0</v>
      </c>
      <c r="BX71" s="15">
        <v>0</v>
      </c>
      <c r="BY71" s="18">
        <v>0</v>
      </c>
      <c r="BZ71" s="317">
        <v>0</v>
      </c>
      <c r="CA71" s="105">
        <v>80</v>
      </c>
      <c r="CB71" s="18">
        <v>0</v>
      </c>
      <c r="CC71" s="150">
        <v>5</v>
      </c>
      <c r="CD71" s="392">
        <v>0</v>
      </c>
      <c r="CE71" s="387">
        <v>0</v>
      </c>
      <c r="CF71" s="388">
        <v>0</v>
      </c>
      <c r="CG71" s="105">
        <v>61</v>
      </c>
      <c r="CH71" s="139">
        <v>3</v>
      </c>
      <c r="CI71" s="150">
        <v>1</v>
      </c>
      <c r="CJ71" s="105">
        <v>10</v>
      </c>
      <c r="CK71" s="18">
        <v>0</v>
      </c>
      <c r="CL71" s="150">
        <v>10</v>
      </c>
      <c r="CM71" s="105">
        <v>149</v>
      </c>
      <c r="CN71" s="18">
        <v>0</v>
      </c>
      <c r="CO71" s="150">
        <v>26</v>
      </c>
      <c r="CP71" s="444">
        <v>8</v>
      </c>
      <c r="CQ71" s="374">
        <v>0</v>
      </c>
      <c r="CR71" s="375">
        <v>0</v>
      </c>
      <c r="CS71" s="105">
        <v>1</v>
      </c>
      <c r="CT71" s="18">
        <v>0</v>
      </c>
      <c r="CU71" s="317">
        <v>0</v>
      </c>
      <c r="CV71" s="105">
        <v>1</v>
      </c>
      <c r="CW71" s="18">
        <v>0</v>
      </c>
      <c r="CX71" s="150">
        <v>1</v>
      </c>
      <c r="CY71" s="105">
        <v>18</v>
      </c>
      <c r="CZ71" s="18">
        <v>0</v>
      </c>
      <c r="DA71" s="150">
        <v>9</v>
      </c>
      <c r="DB71" s="396">
        <v>0</v>
      </c>
      <c r="DC71" s="341">
        <v>0</v>
      </c>
      <c r="DD71" s="342">
        <v>0</v>
      </c>
      <c r="DE71" s="105">
        <v>20</v>
      </c>
      <c r="DF71" s="18">
        <v>0</v>
      </c>
      <c r="DG71" s="150">
        <v>2</v>
      </c>
      <c r="DH71" s="87">
        <v>26</v>
      </c>
      <c r="DI71" s="18">
        <v>0</v>
      </c>
      <c r="DJ71" s="317">
        <v>0</v>
      </c>
      <c r="DK71" s="105">
        <v>52</v>
      </c>
      <c r="DL71" s="139">
        <v>2</v>
      </c>
      <c r="DM71" s="150">
        <v>2</v>
      </c>
      <c r="DN71" s="105">
        <v>262</v>
      </c>
      <c r="DO71" s="18">
        <v>0</v>
      </c>
      <c r="DP71" s="317">
        <v>0</v>
      </c>
      <c r="DQ71" s="105">
        <v>178</v>
      </c>
      <c r="DR71" s="18">
        <v>0</v>
      </c>
      <c r="DS71" s="150">
        <v>96</v>
      </c>
      <c r="DT71" s="105">
        <v>2</v>
      </c>
      <c r="DU71" s="18">
        <v>0</v>
      </c>
      <c r="DV71" s="150">
        <v>1</v>
      </c>
      <c r="DW71" s="396">
        <v>0</v>
      </c>
      <c r="DX71" s="341">
        <v>0</v>
      </c>
      <c r="DY71" s="342">
        <v>0</v>
      </c>
      <c r="DZ71" s="105">
        <v>49</v>
      </c>
      <c r="EA71" s="139">
        <v>1</v>
      </c>
      <c r="EB71" s="150">
        <v>20</v>
      </c>
      <c r="EC71" s="105">
        <v>70</v>
      </c>
      <c r="ED71" s="139">
        <v>1</v>
      </c>
      <c r="EE71" s="150">
        <v>34</v>
      </c>
      <c r="EF71" s="18">
        <v>0</v>
      </c>
      <c r="EG71" s="18">
        <v>0</v>
      </c>
      <c r="EH71" s="317">
        <v>0</v>
      </c>
      <c r="EI71" s="87">
        <v>1</v>
      </c>
      <c r="EJ71" s="18">
        <v>0</v>
      </c>
      <c r="EK71" s="317">
        <v>0</v>
      </c>
      <c r="EL71" s="105">
        <v>38</v>
      </c>
      <c r="EM71" s="18">
        <v>0</v>
      </c>
      <c r="EN71" s="150">
        <v>16</v>
      </c>
      <c r="EO71" s="18">
        <v>0</v>
      </c>
      <c r="EP71" s="18">
        <v>0</v>
      </c>
      <c r="EQ71" s="317">
        <v>0</v>
      </c>
      <c r="ER71" s="83"/>
      <c r="ES71" s="18">
        <v>0</v>
      </c>
      <c r="ET71" s="18">
        <v>0</v>
      </c>
      <c r="EU71" s="317">
        <v>0</v>
      </c>
      <c r="EV71" s="55"/>
      <c r="EW71" s="64"/>
    </row>
    <row r="72" spans="1:153" ht="12.75">
      <c r="A72" s="93">
        <v>43903</v>
      </c>
      <c r="B72" s="440">
        <f t="shared" ref="B72:D72" si="68">SUM(F72,I72,L72,O72,R72,U72,X72,AD72,AG72,AJ72,AN72,AQ72,AT72,AW72,AZ72,BC72,BF72,BI72,BL72,BO72,BR72,BU72,CA72,CG72,CJ72,CM72,CP72,CS72,CV72,CY72,DE72,DH72,DK72,DN72,DQ72,DT72,DZ72,EC72,EI72,EL72)</f>
        <v>102964</v>
      </c>
      <c r="C72" s="441">
        <f t="shared" si="68"/>
        <v>3804</v>
      </c>
      <c r="D72" s="442">
        <f t="shared" si="68"/>
        <v>68146</v>
      </c>
      <c r="E72" s="443">
        <f t="shared" si="1"/>
        <v>31014</v>
      </c>
      <c r="F72" s="105">
        <v>62</v>
      </c>
      <c r="G72" s="18">
        <v>0</v>
      </c>
      <c r="H72" s="150">
        <v>1</v>
      </c>
      <c r="I72" s="105">
        <v>8</v>
      </c>
      <c r="J72" s="18">
        <v>0</v>
      </c>
      <c r="K72" s="317">
        <v>0</v>
      </c>
      <c r="L72" s="105">
        <v>7</v>
      </c>
      <c r="M72" s="18">
        <v>0</v>
      </c>
      <c r="N72" s="317">
        <v>0</v>
      </c>
      <c r="O72" s="105">
        <v>15</v>
      </c>
      <c r="P72" s="139">
        <v>1</v>
      </c>
      <c r="Q72" s="150">
        <v>3</v>
      </c>
      <c r="R72" s="105">
        <v>189</v>
      </c>
      <c r="S72" s="139">
        <v>0</v>
      </c>
      <c r="T72" s="150">
        <v>35</v>
      </c>
      <c r="U72" s="105">
        <v>3</v>
      </c>
      <c r="V72" s="18">
        <v>0</v>
      </c>
      <c r="W72" s="317">
        <v>0</v>
      </c>
      <c r="X72" s="446">
        <v>1</v>
      </c>
      <c r="Y72" s="374">
        <v>0</v>
      </c>
      <c r="Z72" s="375">
        <v>0</v>
      </c>
      <c r="AA72" s="396">
        <v>0</v>
      </c>
      <c r="AB72" s="374">
        <v>0</v>
      </c>
      <c r="AC72" s="375">
        <v>0</v>
      </c>
      <c r="AD72" s="444">
        <v>11</v>
      </c>
      <c r="AE72" s="374">
        <v>0</v>
      </c>
      <c r="AF72" s="375">
        <v>0</v>
      </c>
      <c r="AG72" s="105">
        <v>5</v>
      </c>
      <c r="AH72" s="18">
        <v>0</v>
      </c>
      <c r="AI72" s="150">
        <v>1</v>
      </c>
      <c r="AJ72" s="105">
        <v>80945</v>
      </c>
      <c r="AK72" s="139">
        <v>3180</v>
      </c>
      <c r="AL72" s="397">
        <v>64194</v>
      </c>
      <c r="AM72" s="371">
        <f t="shared" si="2"/>
        <v>13571</v>
      </c>
      <c r="AN72" s="105">
        <v>7979</v>
      </c>
      <c r="AO72" s="139">
        <v>66</v>
      </c>
      <c r="AP72" s="150">
        <v>510</v>
      </c>
      <c r="AQ72" s="105">
        <v>85</v>
      </c>
      <c r="AR72" s="18">
        <v>0</v>
      </c>
      <c r="AS72" s="150">
        <v>17</v>
      </c>
      <c r="AT72" s="105">
        <v>24</v>
      </c>
      <c r="AU72" s="18">
        <v>0</v>
      </c>
      <c r="AV72" s="317">
        <v>0</v>
      </c>
      <c r="AW72" s="105">
        <v>118</v>
      </c>
      <c r="AX72" s="139">
        <v>3</v>
      </c>
      <c r="AY72" s="150">
        <v>60</v>
      </c>
      <c r="AZ72" s="105">
        <v>82</v>
      </c>
      <c r="BA72" s="139">
        <v>2</v>
      </c>
      <c r="BB72" s="150">
        <v>4</v>
      </c>
      <c r="BC72" s="105">
        <v>69</v>
      </c>
      <c r="BD72" s="139">
        <v>4</v>
      </c>
      <c r="BE72" s="138">
        <v>2</v>
      </c>
      <c r="BF72" s="105">
        <v>79</v>
      </c>
      <c r="BG72" s="139">
        <v>8</v>
      </c>
      <c r="BH72" s="150">
        <v>15</v>
      </c>
      <c r="BI72" s="105">
        <v>11364</v>
      </c>
      <c r="BJ72" s="139">
        <v>514</v>
      </c>
      <c r="BK72" s="150">
        <v>2959</v>
      </c>
      <c r="BL72" s="105">
        <v>157</v>
      </c>
      <c r="BM72" s="18">
        <v>0</v>
      </c>
      <c r="BN72" s="150">
        <v>4</v>
      </c>
      <c r="BO72" s="105">
        <v>639</v>
      </c>
      <c r="BP72" s="139">
        <v>16</v>
      </c>
      <c r="BQ72" s="150">
        <v>118</v>
      </c>
      <c r="BR72" s="105">
        <v>1</v>
      </c>
      <c r="BS72" s="18">
        <v>0</v>
      </c>
      <c r="BT72" s="317">
        <v>0</v>
      </c>
      <c r="BU72" s="105">
        <v>3</v>
      </c>
      <c r="BV72" s="18">
        <v>0</v>
      </c>
      <c r="BW72" s="317">
        <v>0</v>
      </c>
      <c r="BX72" s="15">
        <v>0</v>
      </c>
      <c r="BY72" s="18">
        <v>0</v>
      </c>
      <c r="BZ72" s="317">
        <v>0</v>
      </c>
      <c r="CA72" s="105">
        <v>80</v>
      </c>
      <c r="CB72" s="18">
        <v>0</v>
      </c>
      <c r="CC72" s="150">
        <v>5</v>
      </c>
      <c r="CD72" s="392">
        <v>0</v>
      </c>
      <c r="CE72" s="374">
        <v>0</v>
      </c>
      <c r="CF72" s="375">
        <v>0</v>
      </c>
      <c r="CG72" s="105">
        <v>77</v>
      </c>
      <c r="CH72" s="139">
        <v>3</v>
      </c>
      <c r="CI72" s="150">
        <v>1</v>
      </c>
      <c r="CJ72" s="105">
        <v>10</v>
      </c>
      <c r="CK72" s="18">
        <v>0</v>
      </c>
      <c r="CL72" s="150">
        <v>10</v>
      </c>
      <c r="CM72" s="105">
        <v>197</v>
      </c>
      <c r="CN72" s="18">
        <v>0</v>
      </c>
      <c r="CO72" s="150">
        <v>26</v>
      </c>
      <c r="CP72" s="444">
        <v>8</v>
      </c>
      <c r="CQ72" s="374">
        <v>0</v>
      </c>
      <c r="CR72" s="375">
        <v>0</v>
      </c>
      <c r="CS72" s="105">
        <v>1</v>
      </c>
      <c r="CT72" s="18">
        <v>0</v>
      </c>
      <c r="CU72" s="317">
        <v>0</v>
      </c>
      <c r="CV72" s="105">
        <v>1</v>
      </c>
      <c r="CW72" s="18">
        <v>0</v>
      </c>
      <c r="CX72" s="150">
        <v>1</v>
      </c>
      <c r="CY72" s="105">
        <v>18</v>
      </c>
      <c r="CZ72" s="18">
        <v>0</v>
      </c>
      <c r="DA72" s="150">
        <v>9</v>
      </c>
      <c r="DB72" s="396">
        <v>0</v>
      </c>
      <c r="DC72" s="374">
        <v>0</v>
      </c>
      <c r="DD72" s="375">
        <v>0</v>
      </c>
      <c r="DE72" s="105">
        <v>21</v>
      </c>
      <c r="DF72" s="18">
        <v>0</v>
      </c>
      <c r="DG72" s="150">
        <v>2</v>
      </c>
      <c r="DH72" s="87">
        <v>26</v>
      </c>
      <c r="DI72" s="18">
        <v>0</v>
      </c>
      <c r="DJ72" s="317">
        <v>0</v>
      </c>
      <c r="DK72" s="105">
        <v>52</v>
      </c>
      <c r="DL72" s="139">
        <v>5</v>
      </c>
      <c r="DM72" s="150">
        <v>2</v>
      </c>
      <c r="DN72" s="105">
        <v>262</v>
      </c>
      <c r="DO72" s="18">
        <v>0</v>
      </c>
      <c r="DP72" s="317">
        <v>0</v>
      </c>
      <c r="DQ72" s="105">
        <v>187</v>
      </c>
      <c r="DR72" s="18">
        <v>0</v>
      </c>
      <c r="DS72" s="150">
        <v>96</v>
      </c>
      <c r="DT72" s="105">
        <v>5</v>
      </c>
      <c r="DU72" s="18">
        <v>0</v>
      </c>
      <c r="DV72" s="150">
        <v>1</v>
      </c>
      <c r="DW72" s="396">
        <v>0</v>
      </c>
      <c r="DX72" s="374">
        <v>0</v>
      </c>
      <c r="DY72" s="375">
        <v>0</v>
      </c>
      <c r="DZ72" s="105">
        <v>50</v>
      </c>
      <c r="EA72" s="139">
        <v>1</v>
      </c>
      <c r="EB72" s="150">
        <v>20</v>
      </c>
      <c r="EC72" s="105">
        <v>75</v>
      </c>
      <c r="ED72" s="139">
        <v>1</v>
      </c>
      <c r="EE72" s="150">
        <v>34</v>
      </c>
      <c r="EF72" s="18">
        <v>0</v>
      </c>
      <c r="EG72" s="18">
        <v>0</v>
      </c>
      <c r="EH72" s="317">
        <v>0</v>
      </c>
      <c r="EI72" s="87">
        <v>1</v>
      </c>
      <c r="EJ72" s="18">
        <v>0</v>
      </c>
      <c r="EK72" s="317">
        <v>0</v>
      </c>
      <c r="EL72" s="105">
        <v>47</v>
      </c>
      <c r="EM72" s="18">
        <v>0</v>
      </c>
      <c r="EN72" s="150">
        <v>16</v>
      </c>
      <c r="EO72" s="18">
        <v>0</v>
      </c>
      <c r="EP72" s="18">
        <v>0</v>
      </c>
      <c r="EQ72" s="317">
        <v>0</v>
      </c>
      <c r="ER72" s="83"/>
      <c r="ES72" s="18">
        <v>0</v>
      </c>
      <c r="ET72" s="18">
        <v>0</v>
      </c>
      <c r="EU72" s="317">
        <v>0</v>
      </c>
      <c r="EV72" s="55" t="s">
        <v>1113</v>
      </c>
      <c r="EW72" s="57" t="s">
        <v>1114</v>
      </c>
    </row>
    <row r="73" spans="1:153" ht="12.75">
      <c r="A73" s="93">
        <v>43904</v>
      </c>
      <c r="B73" s="440">
        <f t="shared" ref="B73:D73" si="69">SUM(F73,I73,L73,O73,R73,U73,X73,AD73,AG73,AJ73,AN73,AQ73,AT73,AW73,AZ73,BC73,BF73,BI73,BL73,BO73,BR73,BU73,CA73,CG73,CJ73,CM73,CP73,CS73,CV73,CY73,DE73,DH73,DK73,DN73,DQ73,DT73,DZ73,EC73,EI73,EL73)</f>
        <v>105061</v>
      </c>
      <c r="C73" s="441">
        <f t="shared" si="69"/>
        <v>3931</v>
      </c>
      <c r="D73" s="442">
        <f t="shared" si="69"/>
        <v>69644</v>
      </c>
      <c r="E73" s="443">
        <f t="shared" si="1"/>
        <v>31486</v>
      </c>
      <c r="F73" s="105">
        <v>103</v>
      </c>
      <c r="G73" s="18">
        <v>0</v>
      </c>
      <c r="H73" s="150">
        <v>1</v>
      </c>
      <c r="I73" s="105">
        <v>18</v>
      </c>
      <c r="J73" s="18">
        <v>0</v>
      </c>
      <c r="K73" s="317">
        <v>0</v>
      </c>
      <c r="L73" s="105">
        <v>11</v>
      </c>
      <c r="M73" s="18">
        <v>0</v>
      </c>
      <c r="N73" s="317">
        <v>0</v>
      </c>
      <c r="O73" s="105">
        <v>15</v>
      </c>
      <c r="P73" s="139">
        <v>1</v>
      </c>
      <c r="Q73" s="150">
        <v>3</v>
      </c>
      <c r="R73" s="105">
        <v>210</v>
      </c>
      <c r="S73" s="139">
        <v>0</v>
      </c>
      <c r="T73" s="150">
        <v>44</v>
      </c>
      <c r="U73" s="105">
        <v>3</v>
      </c>
      <c r="V73" s="18">
        <v>0</v>
      </c>
      <c r="W73" s="317">
        <v>0</v>
      </c>
      <c r="X73" s="439">
        <v>1</v>
      </c>
      <c r="Y73" s="341">
        <v>0</v>
      </c>
      <c r="Z73" s="342">
        <v>0</v>
      </c>
      <c r="AA73" s="396">
        <v>0</v>
      </c>
      <c r="AB73" s="341">
        <v>0</v>
      </c>
      <c r="AC73" s="342">
        <v>0</v>
      </c>
      <c r="AD73" s="445">
        <v>40</v>
      </c>
      <c r="AE73" s="341">
        <v>0</v>
      </c>
      <c r="AF73" s="342">
        <v>0</v>
      </c>
      <c r="AG73" s="105">
        <v>7</v>
      </c>
      <c r="AH73" s="18">
        <v>0</v>
      </c>
      <c r="AI73" s="150">
        <v>1</v>
      </c>
      <c r="AJ73" s="105">
        <v>80976</v>
      </c>
      <c r="AK73" s="139">
        <v>3193</v>
      </c>
      <c r="AL73" s="397">
        <v>65655</v>
      </c>
      <c r="AM73" s="371">
        <f t="shared" si="2"/>
        <v>12128</v>
      </c>
      <c r="AN73" s="105">
        <v>8086</v>
      </c>
      <c r="AO73" s="139">
        <v>72</v>
      </c>
      <c r="AP73" s="150">
        <v>510</v>
      </c>
      <c r="AQ73" s="105">
        <v>85</v>
      </c>
      <c r="AR73" s="18">
        <v>0</v>
      </c>
      <c r="AS73" s="150">
        <v>17</v>
      </c>
      <c r="AT73" s="105">
        <v>30</v>
      </c>
      <c r="AU73" s="18">
        <v>0</v>
      </c>
      <c r="AV73" s="317">
        <v>0</v>
      </c>
      <c r="AW73" s="105">
        <v>118</v>
      </c>
      <c r="AX73" s="139">
        <v>3</v>
      </c>
      <c r="AY73" s="150">
        <v>60</v>
      </c>
      <c r="AZ73" s="105">
        <v>102</v>
      </c>
      <c r="BA73" s="139">
        <v>2</v>
      </c>
      <c r="BB73" s="150">
        <v>4</v>
      </c>
      <c r="BC73" s="105">
        <v>96</v>
      </c>
      <c r="BD73" s="139">
        <v>5</v>
      </c>
      <c r="BE73" s="138">
        <v>2</v>
      </c>
      <c r="BF73" s="105">
        <v>110</v>
      </c>
      <c r="BG73" s="139">
        <v>10</v>
      </c>
      <c r="BH73" s="150">
        <v>24</v>
      </c>
      <c r="BI73" s="105">
        <v>12729</v>
      </c>
      <c r="BJ73" s="139">
        <v>611</v>
      </c>
      <c r="BK73" s="150">
        <v>2959</v>
      </c>
      <c r="BL73" s="105">
        <v>193</v>
      </c>
      <c r="BM73" s="18">
        <v>0</v>
      </c>
      <c r="BN73" s="150">
        <v>4</v>
      </c>
      <c r="BO73" s="105">
        <v>725</v>
      </c>
      <c r="BP73" s="139">
        <v>21</v>
      </c>
      <c r="BQ73" s="150">
        <v>118</v>
      </c>
      <c r="BR73" s="105">
        <v>1</v>
      </c>
      <c r="BS73" s="18">
        <v>0</v>
      </c>
      <c r="BT73" s="317">
        <v>0</v>
      </c>
      <c r="BU73" s="105">
        <v>6</v>
      </c>
      <c r="BV73" s="18">
        <v>0</v>
      </c>
      <c r="BW73" s="317">
        <v>0</v>
      </c>
      <c r="BX73" s="15">
        <v>0</v>
      </c>
      <c r="BY73" s="18">
        <v>0</v>
      </c>
      <c r="BZ73" s="317">
        <v>0</v>
      </c>
      <c r="CA73" s="105">
        <v>104</v>
      </c>
      <c r="CB73" s="18">
        <v>0</v>
      </c>
      <c r="CC73" s="150">
        <v>5</v>
      </c>
      <c r="CD73" s="392">
        <v>0</v>
      </c>
      <c r="CE73" s="387">
        <v>0</v>
      </c>
      <c r="CF73" s="388">
        <v>0</v>
      </c>
      <c r="CG73" s="105">
        <v>93</v>
      </c>
      <c r="CH73" s="139">
        <v>3</v>
      </c>
      <c r="CI73" s="150">
        <v>1</v>
      </c>
      <c r="CJ73" s="105">
        <v>10</v>
      </c>
      <c r="CK73" s="18">
        <v>0</v>
      </c>
      <c r="CL73" s="150">
        <v>10</v>
      </c>
      <c r="CM73" s="105">
        <v>238</v>
      </c>
      <c r="CN73" s="18">
        <v>0</v>
      </c>
      <c r="CO73" s="150">
        <v>35</v>
      </c>
      <c r="CP73" s="444">
        <v>10</v>
      </c>
      <c r="CQ73" s="374">
        <v>0</v>
      </c>
      <c r="CR73" s="375">
        <v>0</v>
      </c>
      <c r="CS73" s="105">
        <v>1</v>
      </c>
      <c r="CT73" s="18">
        <v>0</v>
      </c>
      <c r="CU73" s="317">
        <v>0</v>
      </c>
      <c r="CV73" s="105">
        <v>1</v>
      </c>
      <c r="CW73" s="18">
        <v>0</v>
      </c>
      <c r="CX73" s="150">
        <v>1</v>
      </c>
      <c r="CY73" s="105">
        <v>19</v>
      </c>
      <c r="CZ73" s="18">
        <v>0</v>
      </c>
      <c r="DA73" s="150">
        <v>9</v>
      </c>
      <c r="DB73" s="396">
        <v>0</v>
      </c>
      <c r="DC73" s="341">
        <v>0</v>
      </c>
      <c r="DD73" s="342">
        <v>0</v>
      </c>
      <c r="DE73" s="105">
        <v>31</v>
      </c>
      <c r="DF73" s="18">
        <v>0</v>
      </c>
      <c r="DG73" s="150">
        <v>2</v>
      </c>
      <c r="DH73" s="87">
        <v>26</v>
      </c>
      <c r="DI73" s="18">
        <v>0</v>
      </c>
      <c r="DJ73" s="317">
        <v>0</v>
      </c>
      <c r="DK73" s="105">
        <v>111</v>
      </c>
      <c r="DL73" s="139">
        <v>8</v>
      </c>
      <c r="DM73" s="150">
        <v>2</v>
      </c>
      <c r="DN73" s="105">
        <v>337</v>
      </c>
      <c r="DO73" s="18">
        <v>0</v>
      </c>
      <c r="DP73" s="317">
        <v>0</v>
      </c>
      <c r="DQ73" s="105">
        <v>212</v>
      </c>
      <c r="DR73" s="18">
        <v>0</v>
      </c>
      <c r="DS73" s="150">
        <v>105</v>
      </c>
      <c r="DT73" s="105">
        <v>10</v>
      </c>
      <c r="DU73" s="18">
        <v>0</v>
      </c>
      <c r="DV73" s="150">
        <v>1</v>
      </c>
      <c r="DW73" s="396">
        <v>0</v>
      </c>
      <c r="DX73" s="341">
        <v>0</v>
      </c>
      <c r="DY73" s="342">
        <v>0</v>
      </c>
      <c r="DZ73" s="105">
        <v>53</v>
      </c>
      <c r="EA73" s="139">
        <v>1</v>
      </c>
      <c r="EB73" s="150">
        <v>20</v>
      </c>
      <c r="EC73" s="105">
        <v>82</v>
      </c>
      <c r="ED73" s="139">
        <v>1</v>
      </c>
      <c r="EE73" s="150">
        <v>35</v>
      </c>
      <c r="EF73" s="18">
        <v>0</v>
      </c>
      <c r="EG73" s="18">
        <v>0</v>
      </c>
      <c r="EH73" s="317">
        <v>0</v>
      </c>
      <c r="EI73" s="87">
        <v>5</v>
      </c>
      <c r="EJ73" s="18">
        <v>0</v>
      </c>
      <c r="EK73" s="317">
        <v>0</v>
      </c>
      <c r="EL73" s="105">
        <v>53</v>
      </c>
      <c r="EM73" s="18">
        <v>0</v>
      </c>
      <c r="EN73" s="150">
        <v>16</v>
      </c>
      <c r="EO73" s="18">
        <v>0</v>
      </c>
      <c r="EP73" s="18">
        <v>0</v>
      </c>
      <c r="EQ73" s="317">
        <v>0</v>
      </c>
      <c r="ER73" s="83"/>
      <c r="ES73" s="18">
        <v>0</v>
      </c>
      <c r="ET73" s="18">
        <v>0</v>
      </c>
      <c r="EU73" s="317">
        <v>0</v>
      </c>
      <c r="EV73" s="55"/>
      <c r="EW73" s="64"/>
    </row>
    <row r="74" spans="1:153" ht="12.75">
      <c r="A74" s="93">
        <v>43905</v>
      </c>
      <c r="B74" s="440">
        <f t="shared" ref="B74:D74" si="70">SUM(F74,I74,L74,O74,R74,U74,X74,AD74,AG74,AJ74,AN74,AQ74,AT74,AW74,AZ74,BC74,BF74,BI74,BL74,BO74,BR74,BU74,CA74,CG74,CJ74,CM74,CP74,CS74,CV74,CY74,DB74,DE74,DH74,DK74,DN74,DQ74,DT74,DZ74,EC74,EI74,EL74)</f>
        <v>106808</v>
      </c>
      <c r="C74" s="441">
        <f t="shared" si="70"/>
        <v>4061</v>
      </c>
      <c r="D74" s="442">
        <f t="shared" si="70"/>
        <v>72976</v>
      </c>
      <c r="E74" s="443">
        <f t="shared" si="1"/>
        <v>29771</v>
      </c>
      <c r="F74" s="105">
        <v>103</v>
      </c>
      <c r="G74" s="18">
        <v>0</v>
      </c>
      <c r="H74" s="150">
        <v>1</v>
      </c>
      <c r="I74" s="105">
        <v>23</v>
      </c>
      <c r="J74" s="18">
        <v>0</v>
      </c>
      <c r="K74" s="317">
        <v>0</v>
      </c>
      <c r="L74" s="105">
        <v>16</v>
      </c>
      <c r="M74" s="18">
        <v>0</v>
      </c>
      <c r="N74" s="317">
        <v>0</v>
      </c>
      <c r="O74" s="105">
        <v>15</v>
      </c>
      <c r="P74" s="139">
        <v>1</v>
      </c>
      <c r="Q74" s="150">
        <v>3</v>
      </c>
      <c r="R74" s="105">
        <v>210</v>
      </c>
      <c r="S74" s="139">
        <v>0</v>
      </c>
      <c r="T74" s="150">
        <v>44</v>
      </c>
      <c r="U74" s="105">
        <v>5</v>
      </c>
      <c r="V74" s="18">
        <v>0</v>
      </c>
      <c r="W74" s="317">
        <v>0</v>
      </c>
      <c r="X74" s="439">
        <v>1</v>
      </c>
      <c r="Y74" s="341">
        <v>0</v>
      </c>
      <c r="Z74" s="342">
        <v>0</v>
      </c>
      <c r="AA74" s="396">
        <v>0</v>
      </c>
      <c r="AB74" s="341">
        <v>0</v>
      </c>
      <c r="AC74" s="342">
        <v>0</v>
      </c>
      <c r="AD74" s="445">
        <v>50</v>
      </c>
      <c r="AE74" s="341">
        <v>0</v>
      </c>
      <c r="AF74" s="342">
        <v>0</v>
      </c>
      <c r="AG74" s="105">
        <v>7</v>
      </c>
      <c r="AH74" s="18">
        <v>0</v>
      </c>
      <c r="AI74" s="150">
        <v>1</v>
      </c>
      <c r="AJ74" s="105">
        <v>81003</v>
      </c>
      <c r="AK74" s="139">
        <v>3203</v>
      </c>
      <c r="AL74" s="397">
        <v>67017</v>
      </c>
      <c r="AM74" s="371">
        <f t="shared" si="2"/>
        <v>10783</v>
      </c>
      <c r="AN74" s="105">
        <v>8162</v>
      </c>
      <c r="AO74" s="139">
        <v>75</v>
      </c>
      <c r="AP74" s="150">
        <v>834</v>
      </c>
      <c r="AQ74" s="105">
        <v>86</v>
      </c>
      <c r="AR74" s="18">
        <v>0</v>
      </c>
      <c r="AS74" s="150">
        <v>23</v>
      </c>
      <c r="AT74" s="105">
        <v>30</v>
      </c>
      <c r="AU74" s="18">
        <v>0</v>
      </c>
      <c r="AV74" s="317">
        <v>0</v>
      </c>
      <c r="AW74" s="105">
        <v>118</v>
      </c>
      <c r="AX74" s="139">
        <v>3</v>
      </c>
      <c r="AY74" s="150">
        <v>60</v>
      </c>
      <c r="AZ74" s="105">
        <v>113</v>
      </c>
      <c r="BA74" s="139">
        <v>2</v>
      </c>
      <c r="BB74" s="150">
        <v>4</v>
      </c>
      <c r="BC74" s="105">
        <v>117</v>
      </c>
      <c r="BD74" s="139">
        <v>5</v>
      </c>
      <c r="BE74" s="138">
        <v>8</v>
      </c>
      <c r="BF74" s="105">
        <v>110</v>
      </c>
      <c r="BG74" s="139">
        <v>10</v>
      </c>
      <c r="BH74" s="150">
        <v>26</v>
      </c>
      <c r="BI74" s="105">
        <v>13938</v>
      </c>
      <c r="BJ74" s="139">
        <v>724</v>
      </c>
      <c r="BK74" s="150">
        <v>4590</v>
      </c>
      <c r="BL74" s="105">
        <v>200</v>
      </c>
      <c r="BM74" s="18">
        <v>0</v>
      </c>
      <c r="BN74" s="150">
        <v>4</v>
      </c>
      <c r="BO74" s="105">
        <v>773</v>
      </c>
      <c r="BP74" s="139">
        <v>22</v>
      </c>
      <c r="BQ74" s="150">
        <v>118</v>
      </c>
      <c r="BR74" s="105">
        <v>7</v>
      </c>
      <c r="BS74" s="18">
        <v>0</v>
      </c>
      <c r="BT74" s="150">
        <v>1</v>
      </c>
      <c r="BU74" s="105">
        <v>8</v>
      </c>
      <c r="BV74" s="18">
        <v>0</v>
      </c>
      <c r="BW74" s="317">
        <v>0</v>
      </c>
      <c r="BX74" s="15">
        <v>0</v>
      </c>
      <c r="BY74" s="18">
        <v>0</v>
      </c>
      <c r="BZ74" s="317">
        <v>0</v>
      </c>
      <c r="CA74" s="105">
        <v>112</v>
      </c>
      <c r="CB74" s="18">
        <v>0</v>
      </c>
      <c r="CC74" s="150">
        <v>5</v>
      </c>
      <c r="CD74" s="392">
        <v>0</v>
      </c>
      <c r="CE74" s="374">
        <v>0</v>
      </c>
      <c r="CF74" s="375">
        <v>0</v>
      </c>
      <c r="CG74" s="105">
        <v>99</v>
      </c>
      <c r="CH74" s="139">
        <v>3</v>
      </c>
      <c r="CI74" s="150">
        <v>1</v>
      </c>
      <c r="CJ74" s="105">
        <v>10</v>
      </c>
      <c r="CK74" s="18">
        <v>0</v>
      </c>
      <c r="CL74" s="150">
        <v>10</v>
      </c>
      <c r="CM74" s="105">
        <v>428</v>
      </c>
      <c r="CN74" s="18">
        <v>0</v>
      </c>
      <c r="CO74" s="150">
        <v>35</v>
      </c>
      <c r="CP74" s="444">
        <v>13</v>
      </c>
      <c r="CQ74" s="374">
        <v>0</v>
      </c>
      <c r="CR74" s="375">
        <v>0</v>
      </c>
      <c r="CS74" s="105">
        <v>1</v>
      </c>
      <c r="CT74" s="18">
        <v>0</v>
      </c>
      <c r="CU74" s="317">
        <v>0</v>
      </c>
      <c r="CV74" s="105">
        <v>1</v>
      </c>
      <c r="CW74" s="18">
        <v>0</v>
      </c>
      <c r="CX74" s="150">
        <v>1</v>
      </c>
      <c r="CY74" s="105">
        <v>20</v>
      </c>
      <c r="CZ74" s="18">
        <v>0</v>
      </c>
      <c r="DA74" s="150">
        <v>9</v>
      </c>
      <c r="DB74" s="445">
        <v>1</v>
      </c>
      <c r="DC74" s="341">
        <v>0</v>
      </c>
      <c r="DD74" s="342">
        <v>0</v>
      </c>
      <c r="DE74" s="105">
        <v>53</v>
      </c>
      <c r="DF74" s="18">
        <v>0</v>
      </c>
      <c r="DG74" s="150">
        <v>2</v>
      </c>
      <c r="DH74" s="87">
        <v>26</v>
      </c>
      <c r="DI74" s="18">
        <v>0</v>
      </c>
      <c r="DJ74" s="317">
        <v>0</v>
      </c>
      <c r="DK74" s="105">
        <v>140</v>
      </c>
      <c r="DL74" s="139">
        <v>11</v>
      </c>
      <c r="DM74" s="150">
        <v>2</v>
      </c>
      <c r="DN74" s="105">
        <v>337</v>
      </c>
      <c r="DO74" s="18">
        <v>0</v>
      </c>
      <c r="DP74" s="317">
        <v>0</v>
      </c>
      <c r="DQ74" s="105">
        <v>226</v>
      </c>
      <c r="DR74" s="18">
        <v>0</v>
      </c>
      <c r="DS74" s="150">
        <v>105</v>
      </c>
      <c r="DT74" s="105">
        <v>11</v>
      </c>
      <c r="DU74" s="18">
        <v>0</v>
      </c>
      <c r="DV74" s="150">
        <v>1</v>
      </c>
      <c r="DW74" s="396">
        <v>0</v>
      </c>
      <c r="DX74" s="341">
        <v>0</v>
      </c>
      <c r="DY74" s="342">
        <v>0</v>
      </c>
      <c r="DZ74" s="105">
        <v>59</v>
      </c>
      <c r="EA74" s="139">
        <v>1</v>
      </c>
      <c r="EB74" s="150">
        <v>20</v>
      </c>
      <c r="EC74" s="105">
        <v>114</v>
      </c>
      <c r="ED74" s="139">
        <v>1</v>
      </c>
      <c r="EE74" s="150">
        <v>35</v>
      </c>
      <c r="EF74" s="18">
        <v>0</v>
      </c>
      <c r="EG74" s="18">
        <v>0</v>
      </c>
      <c r="EH74" s="317">
        <v>0</v>
      </c>
      <c r="EI74" s="87">
        <v>6</v>
      </c>
      <c r="EJ74" s="18">
        <v>0</v>
      </c>
      <c r="EK74" s="317">
        <v>0</v>
      </c>
      <c r="EL74" s="105">
        <v>56</v>
      </c>
      <c r="EM74" s="18">
        <v>0</v>
      </c>
      <c r="EN74" s="150">
        <v>16</v>
      </c>
      <c r="EO74" s="18">
        <v>0</v>
      </c>
      <c r="EP74" s="18">
        <v>0</v>
      </c>
      <c r="EQ74" s="317">
        <v>0</v>
      </c>
      <c r="ER74" s="83"/>
      <c r="ES74" s="18">
        <v>0</v>
      </c>
      <c r="ET74" s="18">
        <v>0</v>
      </c>
      <c r="EU74" s="317">
        <v>0</v>
      </c>
      <c r="EV74" s="55" t="s">
        <v>1115</v>
      </c>
      <c r="EW74" s="64"/>
    </row>
    <row r="75" spans="1:153" ht="12.75">
      <c r="A75" s="93">
        <v>43906</v>
      </c>
      <c r="B75" s="440">
        <f t="shared" ref="B75:D75" si="71">SUM(F75,I75,L75,O75,R75,U75,X75,AD75,AG75,AJ75,AN75,AQ75,AT75,AW75,AZ75,BC75,BF75,BI75,BL75,BO75,BR75,BU75,CA75,CG75,CJ75,CM75,CP75,CS75,CV75,CY75,DB75,DE75,DH75,DK75,DN75,DQ75,DT75,DZ75,EC75,EI75,EL75)</f>
        <v>108579</v>
      </c>
      <c r="C75" s="441">
        <f t="shared" si="71"/>
        <v>4210</v>
      </c>
      <c r="D75" s="442">
        <f t="shared" si="71"/>
        <v>74666</v>
      </c>
      <c r="E75" s="443">
        <f t="shared" si="1"/>
        <v>29703</v>
      </c>
      <c r="F75" s="105">
        <v>118</v>
      </c>
      <c r="G75" s="18">
        <v>0</v>
      </c>
      <c r="H75" s="150">
        <v>2</v>
      </c>
      <c r="I75" s="105">
        <v>26</v>
      </c>
      <c r="J75" s="18">
        <v>0</v>
      </c>
      <c r="K75" s="317">
        <v>0</v>
      </c>
      <c r="L75" s="105">
        <v>16</v>
      </c>
      <c r="M75" s="18">
        <v>0</v>
      </c>
      <c r="N75" s="150">
        <v>1</v>
      </c>
      <c r="O75" s="105">
        <v>23</v>
      </c>
      <c r="P75" s="139">
        <v>1</v>
      </c>
      <c r="Q75" s="150">
        <v>6</v>
      </c>
      <c r="R75" s="105">
        <v>214</v>
      </c>
      <c r="S75" s="139">
        <v>0</v>
      </c>
      <c r="T75" s="150">
        <v>77</v>
      </c>
      <c r="U75" s="105">
        <v>5</v>
      </c>
      <c r="V75" s="18">
        <v>0</v>
      </c>
      <c r="W75" s="317">
        <v>0</v>
      </c>
      <c r="X75" s="439">
        <v>1</v>
      </c>
      <c r="Y75" s="341">
        <v>0</v>
      </c>
      <c r="Z75" s="342">
        <v>0</v>
      </c>
      <c r="AA75" s="396">
        <v>0</v>
      </c>
      <c r="AB75" s="341">
        <v>0</v>
      </c>
      <c r="AC75" s="342">
        <v>0</v>
      </c>
      <c r="AD75" s="445">
        <v>50</v>
      </c>
      <c r="AE75" s="341">
        <v>0</v>
      </c>
      <c r="AF75" s="342">
        <v>0</v>
      </c>
      <c r="AG75" s="105">
        <v>7</v>
      </c>
      <c r="AH75" s="18">
        <v>0</v>
      </c>
      <c r="AI75" s="150">
        <v>1</v>
      </c>
      <c r="AJ75" s="105">
        <v>81032</v>
      </c>
      <c r="AK75" s="139">
        <v>3217</v>
      </c>
      <c r="AL75" s="397">
        <v>67910</v>
      </c>
      <c r="AM75" s="371">
        <f t="shared" si="2"/>
        <v>9905</v>
      </c>
      <c r="AN75" s="105">
        <v>8236</v>
      </c>
      <c r="AO75" s="139">
        <v>75</v>
      </c>
      <c r="AP75" s="150">
        <v>1137</v>
      </c>
      <c r="AQ75" s="105">
        <v>98</v>
      </c>
      <c r="AR75" s="18">
        <v>0</v>
      </c>
      <c r="AS75" s="150">
        <v>23</v>
      </c>
      <c r="AT75" s="105">
        <v>33</v>
      </c>
      <c r="AU75" s="18">
        <v>0</v>
      </c>
      <c r="AV75" s="150">
        <v>1</v>
      </c>
      <c r="AW75" s="105">
        <v>118</v>
      </c>
      <c r="AX75" s="139">
        <v>3</v>
      </c>
      <c r="AY75" s="150">
        <v>60</v>
      </c>
      <c r="AZ75" s="105">
        <v>119</v>
      </c>
      <c r="BA75" s="139">
        <v>2</v>
      </c>
      <c r="BB75" s="150">
        <v>13</v>
      </c>
      <c r="BC75" s="105">
        <v>134</v>
      </c>
      <c r="BD75" s="139">
        <v>5</v>
      </c>
      <c r="BE75" s="138">
        <v>8</v>
      </c>
      <c r="BF75" s="105">
        <v>124</v>
      </c>
      <c r="BG75" s="139">
        <v>10</v>
      </c>
      <c r="BH75" s="150">
        <v>26</v>
      </c>
      <c r="BI75" s="105">
        <v>14991</v>
      </c>
      <c r="BJ75" s="139">
        <v>853</v>
      </c>
      <c r="BK75" s="150">
        <v>4996</v>
      </c>
      <c r="BL75" s="105">
        <v>255</v>
      </c>
      <c r="BM75" s="18">
        <v>0</v>
      </c>
      <c r="BN75" s="150">
        <v>4</v>
      </c>
      <c r="BO75" s="105">
        <v>825</v>
      </c>
      <c r="BP75" s="139">
        <v>27</v>
      </c>
      <c r="BQ75" s="150">
        <v>139</v>
      </c>
      <c r="BR75" s="105">
        <v>12</v>
      </c>
      <c r="BS75" s="18">
        <v>0</v>
      </c>
      <c r="BT75" s="150">
        <v>1</v>
      </c>
      <c r="BU75" s="105">
        <v>9</v>
      </c>
      <c r="BV75" s="18">
        <v>0</v>
      </c>
      <c r="BW75" s="317">
        <v>0</v>
      </c>
      <c r="BX75" s="15">
        <v>0</v>
      </c>
      <c r="BY75" s="18">
        <v>0</v>
      </c>
      <c r="BZ75" s="317">
        <v>0</v>
      </c>
      <c r="CA75" s="105">
        <v>123</v>
      </c>
      <c r="CB75" s="18">
        <v>0</v>
      </c>
      <c r="CC75" s="150">
        <v>9</v>
      </c>
      <c r="CD75" s="392">
        <v>0</v>
      </c>
      <c r="CE75" s="387">
        <v>0</v>
      </c>
      <c r="CF75" s="388">
        <v>0</v>
      </c>
      <c r="CG75" s="105">
        <v>99</v>
      </c>
      <c r="CH75" s="139">
        <v>3</v>
      </c>
      <c r="CI75" s="150">
        <v>1</v>
      </c>
      <c r="CJ75" s="105">
        <v>10</v>
      </c>
      <c r="CK75" s="18">
        <v>0</v>
      </c>
      <c r="CL75" s="150">
        <v>10</v>
      </c>
      <c r="CM75" s="105">
        <v>566</v>
      </c>
      <c r="CN75" s="18">
        <v>0</v>
      </c>
      <c r="CO75" s="150">
        <v>42</v>
      </c>
      <c r="CP75" s="444">
        <v>13</v>
      </c>
      <c r="CQ75" s="374">
        <v>0</v>
      </c>
      <c r="CR75" s="375">
        <v>0</v>
      </c>
      <c r="CS75" s="105">
        <v>1</v>
      </c>
      <c r="CT75" s="18">
        <v>0</v>
      </c>
      <c r="CU75" s="317">
        <v>0</v>
      </c>
      <c r="CV75" s="105">
        <v>1</v>
      </c>
      <c r="CW75" s="18">
        <v>0</v>
      </c>
      <c r="CX75" s="150">
        <v>1</v>
      </c>
      <c r="CY75" s="105">
        <v>22</v>
      </c>
      <c r="CZ75" s="18">
        <v>0</v>
      </c>
      <c r="DA75" s="150">
        <v>9</v>
      </c>
      <c r="DB75" s="445">
        <v>1</v>
      </c>
      <c r="DC75" s="341">
        <v>0</v>
      </c>
      <c r="DD75" s="342">
        <v>0</v>
      </c>
      <c r="DE75" s="105">
        <v>136</v>
      </c>
      <c r="DF75" s="18">
        <v>0</v>
      </c>
      <c r="DG75" s="150">
        <v>2</v>
      </c>
      <c r="DH75" s="87">
        <v>26</v>
      </c>
      <c r="DI75" s="18">
        <v>0</v>
      </c>
      <c r="DJ75" s="317">
        <v>0</v>
      </c>
      <c r="DK75" s="105">
        <v>142</v>
      </c>
      <c r="DL75" s="139">
        <v>12</v>
      </c>
      <c r="DM75" s="150">
        <v>2</v>
      </c>
      <c r="DN75" s="105">
        <v>439</v>
      </c>
      <c r="DO75" s="18">
        <v>0</v>
      </c>
      <c r="DP75" s="150">
        <v>4</v>
      </c>
      <c r="DQ75" s="105">
        <v>243</v>
      </c>
      <c r="DR75" s="18">
        <v>0</v>
      </c>
      <c r="DS75" s="150">
        <v>109</v>
      </c>
      <c r="DT75" s="105">
        <v>18</v>
      </c>
      <c r="DU75" s="18">
        <v>0</v>
      </c>
      <c r="DV75" s="150">
        <v>1</v>
      </c>
      <c r="DW75" s="396">
        <v>0</v>
      </c>
      <c r="DX75" s="341">
        <v>0</v>
      </c>
      <c r="DY75" s="342">
        <v>0</v>
      </c>
      <c r="DZ75" s="105">
        <v>67</v>
      </c>
      <c r="EA75" s="139">
        <v>1</v>
      </c>
      <c r="EB75" s="150">
        <v>20</v>
      </c>
      <c r="EC75" s="105">
        <v>147</v>
      </c>
      <c r="ED75" s="139">
        <v>1</v>
      </c>
      <c r="EE75" s="150">
        <v>35</v>
      </c>
      <c r="EF75" s="18">
        <v>0</v>
      </c>
      <c r="EG75" s="18">
        <v>0</v>
      </c>
      <c r="EH75" s="317">
        <v>0</v>
      </c>
      <c r="EI75" s="87">
        <v>18</v>
      </c>
      <c r="EJ75" s="18">
        <v>0</v>
      </c>
      <c r="EK75" s="317">
        <v>0</v>
      </c>
      <c r="EL75" s="105">
        <v>61</v>
      </c>
      <c r="EM75" s="18">
        <v>0</v>
      </c>
      <c r="EN75" s="150">
        <v>16</v>
      </c>
      <c r="EO75" s="18">
        <v>0</v>
      </c>
      <c r="EP75" s="18">
        <v>0</v>
      </c>
      <c r="EQ75" s="317">
        <v>0</v>
      </c>
      <c r="ER75" s="83"/>
      <c r="ES75" s="18">
        <v>0</v>
      </c>
      <c r="ET75" s="18">
        <v>0</v>
      </c>
      <c r="EU75" s="317">
        <v>0</v>
      </c>
      <c r="EV75" s="55"/>
      <c r="EW75" s="64"/>
    </row>
    <row r="76" spans="1:153" ht="12.75">
      <c r="A76" s="93">
        <v>43907</v>
      </c>
      <c r="B76" s="440">
        <f t="shared" ref="B76:D76" si="72">SUM(F76,I76,L76,O76,R76,U76,X76,AD76,AG76,AJ76,AN76,AQ76,AT76,AW76,AZ76,BC76,BF76,BI76,BL76,BO76,BR76,BU76,CA76,CG76,CJ76,CM76,CP76,CS76,CV76,CY76,DB76,DE76,DH76,DK76,DN76,DQ76,DT76,DZ76,EC76,EI76,EL76)</f>
        <v>110728</v>
      </c>
      <c r="C76" s="441">
        <f t="shared" si="72"/>
        <v>4371</v>
      </c>
      <c r="D76" s="442">
        <f t="shared" si="72"/>
        <v>76278</v>
      </c>
      <c r="E76" s="443">
        <f t="shared" si="1"/>
        <v>30079</v>
      </c>
      <c r="F76" s="105">
        <v>171</v>
      </c>
      <c r="G76" s="18">
        <v>0</v>
      </c>
      <c r="H76" s="150">
        <v>6</v>
      </c>
      <c r="I76" s="105">
        <v>78</v>
      </c>
      <c r="J76" s="18">
        <v>0</v>
      </c>
      <c r="K76" s="150">
        <v>1</v>
      </c>
      <c r="L76" s="105">
        <v>22</v>
      </c>
      <c r="M76" s="18">
        <v>0</v>
      </c>
      <c r="N76" s="150">
        <v>1</v>
      </c>
      <c r="O76" s="105">
        <v>28</v>
      </c>
      <c r="P76" s="139">
        <v>1</v>
      </c>
      <c r="Q76" s="150">
        <v>6</v>
      </c>
      <c r="R76" s="105">
        <v>228</v>
      </c>
      <c r="S76" s="139">
        <v>1</v>
      </c>
      <c r="T76" s="150">
        <v>81</v>
      </c>
      <c r="U76" s="105">
        <v>10</v>
      </c>
      <c r="V76" s="18">
        <v>0</v>
      </c>
      <c r="W76" s="150">
        <v>3</v>
      </c>
      <c r="X76" s="439">
        <v>1</v>
      </c>
      <c r="Y76" s="341">
        <v>0</v>
      </c>
      <c r="Z76" s="342">
        <v>0</v>
      </c>
      <c r="AA76" s="396">
        <v>0</v>
      </c>
      <c r="AB76" s="341">
        <v>0</v>
      </c>
      <c r="AC76" s="342">
        <v>0</v>
      </c>
      <c r="AD76" s="445">
        <v>56</v>
      </c>
      <c r="AE76" s="341">
        <v>0</v>
      </c>
      <c r="AF76" s="342">
        <v>0</v>
      </c>
      <c r="AG76" s="105">
        <v>33</v>
      </c>
      <c r="AH76" s="18">
        <v>0</v>
      </c>
      <c r="AI76" s="150">
        <v>1</v>
      </c>
      <c r="AJ76" s="105">
        <v>81061</v>
      </c>
      <c r="AK76" s="139">
        <v>3230</v>
      </c>
      <c r="AL76" s="397">
        <v>68803</v>
      </c>
      <c r="AM76" s="371">
        <f t="shared" si="2"/>
        <v>9028</v>
      </c>
      <c r="AN76" s="105">
        <v>8320</v>
      </c>
      <c r="AO76" s="139">
        <v>81</v>
      </c>
      <c r="AP76" s="150">
        <v>1407</v>
      </c>
      <c r="AQ76" s="105">
        <v>98</v>
      </c>
      <c r="AR76" s="18">
        <v>0</v>
      </c>
      <c r="AS76" s="150">
        <v>23</v>
      </c>
      <c r="AT76" s="105">
        <v>34</v>
      </c>
      <c r="AU76" s="18">
        <v>0</v>
      </c>
      <c r="AV76" s="150">
        <v>1</v>
      </c>
      <c r="AW76" s="105">
        <v>118</v>
      </c>
      <c r="AX76" s="139">
        <v>3</v>
      </c>
      <c r="AY76" s="150">
        <v>60</v>
      </c>
      <c r="AZ76" s="105">
        <v>142</v>
      </c>
      <c r="BA76" s="139">
        <v>3</v>
      </c>
      <c r="BB76" s="150">
        <v>14</v>
      </c>
      <c r="BC76" s="105">
        <v>172</v>
      </c>
      <c r="BD76" s="139">
        <v>5</v>
      </c>
      <c r="BE76" s="138">
        <v>8</v>
      </c>
      <c r="BF76" s="105">
        <v>154</v>
      </c>
      <c r="BG76" s="139">
        <v>11</v>
      </c>
      <c r="BH76" s="150">
        <v>32</v>
      </c>
      <c r="BI76" s="105">
        <v>16169</v>
      </c>
      <c r="BJ76" s="139">
        <v>988</v>
      </c>
      <c r="BK76" s="150">
        <v>5389</v>
      </c>
      <c r="BL76" s="105">
        <v>337</v>
      </c>
      <c r="BM76" s="18">
        <v>0</v>
      </c>
      <c r="BN76" s="150">
        <v>11</v>
      </c>
      <c r="BO76" s="105">
        <v>878</v>
      </c>
      <c r="BP76" s="139">
        <v>29</v>
      </c>
      <c r="BQ76" s="150">
        <v>144</v>
      </c>
      <c r="BR76" s="105">
        <v>34</v>
      </c>
      <c r="BS76" s="18">
        <v>0</v>
      </c>
      <c r="BT76" s="150">
        <v>1</v>
      </c>
      <c r="BU76" s="105">
        <v>33</v>
      </c>
      <c r="BV76" s="18">
        <v>0</v>
      </c>
      <c r="BW76" s="317">
        <v>0</v>
      </c>
      <c r="BX76" s="15">
        <v>0</v>
      </c>
      <c r="BY76" s="18">
        <v>0</v>
      </c>
      <c r="BZ76" s="317">
        <v>0</v>
      </c>
      <c r="CA76" s="105">
        <v>130</v>
      </c>
      <c r="CB76" s="18">
        <v>0</v>
      </c>
      <c r="CC76" s="150">
        <v>9</v>
      </c>
      <c r="CD76" s="392">
        <v>0</v>
      </c>
      <c r="CE76" s="374">
        <v>0</v>
      </c>
      <c r="CF76" s="375">
        <v>0</v>
      </c>
      <c r="CG76" s="105">
        <v>120</v>
      </c>
      <c r="CH76" s="139">
        <v>3</v>
      </c>
      <c r="CI76" s="150">
        <v>3</v>
      </c>
      <c r="CJ76" s="105">
        <v>10</v>
      </c>
      <c r="CK76" s="18">
        <v>0</v>
      </c>
      <c r="CL76" s="150">
        <v>10</v>
      </c>
      <c r="CM76" s="105">
        <v>673</v>
      </c>
      <c r="CN76" s="139">
        <v>2</v>
      </c>
      <c r="CO76" s="150">
        <v>49</v>
      </c>
      <c r="CP76" s="444">
        <v>13</v>
      </c>
      <c r="CQ76" s="374">
        <v>0</v>
      </c>
      <c r="CR76" s="375">
        <v>0</v>
      </c>
      <c r="CS76" s="105">
        <v>5</v>
      </c>
      <c r="CT76" s="18">
        <v>0</v>
      </c>
      <c r="CU76" s="317">
        <v>0</v>
      </c>
      <c r="CV76" s="105">
        <v>1</v>
      </c>
      <c r="CW76" s="18">
        <v>0</v>
      </c>
      <c r="CX76" s="150">
        <v>1</v>
      </c>
      <c r="CY76" s="105">
        <v>24</v>
      </c>
      <c r="CZ76" s="18">
        <v>0</v>
      </c>
      <c r="DA76" s="150">
        <v>9</v>
      </c>
      <c r="DB76" s="445">
        <v>10</v>
      </c>
      <c r="DC76" s="341">
        <v>0</v>
      </c>
      <c r="DD76" s="342">
        <v>0</v>
      </c>
      <c r="DE76" s="105">
        <v>236</v>
      </c>
      <c r="DF76" s="18">
        <v>0</v>
      </c>
      <c r="DG76" s="150">
        <v>2</v>
      </c>
      <c r="DH76" s="87">
        <v>26</v>
      </c>
      <c r="DI76" s="18">
        <v>0</v>
      </c>
      <c r="DJ76" s="317">
        <v>0</v>
      </c>
      <c r="DK76" s="105">
        <v>187</v>
      </c>
      <c r="DL76" s="139">
        <v>12</v>
      </c>
      <c r="DM76" s="150">
        <v>5</v>
      </c>
      <c r="DN76" s="105">
        <v>439</v>
      </c>
      <c r="DO76" s="18">
        <v>0</v>
      </c>
      <c r="DP76" s="150">
        <v>4</v>
      </c>
      <c r="DQ76" s="105">
        <v>266</v>
      </c>
      <c r="DR76" s="18">
        <v>0</v>
      </c>
      <c r="DS76" s="150">
        <v>114</v>
      </c>
      <c r="DT76" s="105">
        <v>44</v>
      </c>
      <c r="DU76" s="18">
        <v>0</v>
      </c>
      <c r="DV76" s="150">
        <v>1</v>
      </c>
      <c r="DW76" s="396">
        <v>0</v>
      </c>
      <c r="DX76" s="341">
        <v>0</v>
      </c>
      <c r="DY76" s="342">
        <v>0</v>
      </c>
      <c r="DZ76" s="105">
        <v>77</v>
      </c>
      <c r="EA76" s="139">
        <v>1</v>
      </c>
      <c r="EB76" s="150">
        <v>22</v>
      </c>
      <c r="EC76" s="105">
        <v>177</v>
      </c>
      <c r="ED76" s="139">
        <v>1</v>
      </c>
      <c r="EE76" s="150">
        <v>41</v>
      </c>
      <c r="EF76" s="18">
        <v>0</v>
      </c>
      <c r="EG76" s="18">
        <v>0</v>
      </c>
      <c r="EH76" s="317">
        <v>0</v>
      </c>
      <c r="EI76" s="87">
        <v>47</v>
      </c>
      <c r="EJ76" s="18">
        <v>0</v>
      </c>
      <c r="EK76" s="317">
        <v>0</v>
      </c>
      <c r="EL76" s="105">
        <v>66</v>
      </c>
      <c r="EM76" s="18">
        <v>0</v>
      </c>
      <c r="EN76" s="150">
        <v>16</v>
      </c>
      <c r="EO76" s="18">
        <v>0</v>
      </c>
      <c r="EP76" s="18">
        <v>0</v>
      </c>
      <c r="EQ76" s="317">
        <v>0</v>
      </c>
      <c r="ER76" s="83"/>
      <c r="ES76" s="18">
        <v>0</v>
      </c>
      <c r="ET76" s="18">
        <v>0</v>
      </c>
      <c r="EU76" s="317">
        <v>0</v>
      </c>
      <c r="EV76" s="55" t="s">
        <v>1116</v>
      </c>
      <c r="EW76" s="57" t="s">
        <v>1117</v>
      </c>
    </row>
    <row r="77" spans="1:153" ht="12.75">
      <c r="A77" s="93">
        <v>43908</v>
      </c>
      <c r="B77" s="440">
        <f t="shared" ref="B77:D77" si="73">SUM(F77,I77,L77,O77,R77,U77,X77,AD77,AG77,AJ77,AN77,AQ77,AT77,AW77,AZ77,BC77,BF77,BI77,BL77,BO77,BR77,BU77,BX77,CA77,CG77,CJ77,CM77,CP77,CS77,CV77,CY77,DB77,DE77,DH77,DK77,DN77,DQ77,DT77,DZ77,EC77,EI77,EL77)</f>
        <v>112748</v>
      </c>
      <c r="C77" s="441">
        <f t="shared" si="73"/>
        <v>4554</v>
      </c>
      <c r="D77" s="442">
        <f t="shared" si="73"/>
        <v>77408</v>
      </c>
      <c r="E77" s="443">
        <f t="shared" si="1"/>
        <v>30786</v>
      </c>
      <c r="F77" s="105">
        <v>171</v>
      </c>
      <c r="G77" s="18">
        <v>0</v>
      </c>
      <c r="H77" s="150">
        <v>6</v>
      </c>
      <c r="I77" s="105">
        <v>84</v>
      </c>
      <c r="J77" s="18">
        <v>0</v>
      </c>
      <c r="K77" s="150">
        <v>1</v>
      </c>
      <c r="L77" s="105">
        <v>22</v>
      </c>
      <c r="M77" s="18">
        <v>0</v>
      </c>
      <c r="N77" s="150">
        <v>1</v>
      </c>
      <c r="O77" s="105">
        <v>28</v>
      </c>
      <c r="P77" s="139">
        <v>1</v>
      </c>
      <c r="Q77" s="150">
        <v>6</v>
      </c>
      <c r="R77" s="105">
        <v>256</v>
      </c>
      <c r="S77" s="139">
        <v>1</v>
      </c>
      <c r="T77" s="150">
        <v>88</v>
      </c>
      <c r="U77" s="105">
        <v>14</v>
      </c>
      <c r="V77" s="139">
        <v>1</v>
      </c>
      <c r="W77" s="150">
        <v>3</v>
      </c>
      <c r="X77" s="446">
        <v>1</v>
      </c>
      <c r="Y77" s="374">
        <v>0</v>
      </c>
      <c r="Z77" s="375">
        <v>0</v>
      </c>
      <c r="AA77" s="392">
        <v>0</v>
      </c>
      <c r="AB77" s="374">
        <v>0</v>
      </c>
      <c r="AC77" s="375">
        <v>0</v>
      </c>
      <c r="AD77" s="444">
        <v>68</v>
      </c>
      <c r="AE77" s="374">
        <v>0</v>
      </c>
      <c r="AF77" s="375">
        <v>0</v>
      </c>
      <c r="AG77" s="105">
        <v>35</v>
      </c>
      <c r="AH77" s="18">
        <v>0</v>
      </c>
      <c r="AI77" s="150">
        <v>1</v>
      </c>
      <c r="AJ77" s="105">
        <v>81102</v>
      </c>
      <c r="AK77" s="139">
        <v>3241</v>
      </c>
      <c r="AL77" s="397">
        <v>69755</v>
      </c>
      <c r="AM77" s="371">
        <f t="shared" si="2"/>
        <v>8106</v>
      </c>
      <c r="AN77" s="105">
        <v>8413</v>
      </c>
      <c r="AO77" s="139">
        <v>84</v>
      </c>
      <c r="AP77" s="150">
        <v>1540</v>
      </c>
      <c r="AQ77" s="105">
        <v>113</v>
      </c>
      <c r="AR77" s="18">
        <v>0</v>
      </c>
      <c r="AS77" s="150">
        <v>26</v>
      </c>
      <c r="AT77" s="105">
        <v>38</v>
      </c>
      <c r="AU77" s="18">
        <v>0</v>
      </c>
      <c r="AV77" s="150">
        <v>1</v>
      </c>
      <c r="AW77" s="105">
        <v>118</v>
      </c>
      <c r="AX77" s="139">
        <v>3</v>
      </c>
      <c r="AY77" s="150">
        <v>60</v>
      </c>
      <c r="AZ77" s="105">
        <v>156</v>
      </c>
      <c r="BA77" s="139">
        <v>3</v>
      </c>
      <c r="BB77" s="150">
        <v>14</v>
      </c>
      <c r="BC77" s="105">
        <v>227</v>
      </c>
      <c r="BD77" s="139">
        <v>19</v>
      </c>
      <c r="BE77" s="138">
        <v>11</v>
      </c>
      <c r="BF77" s="105">
        <v>164</v>
      </c>
      <c r="BG77" s="139">
        <v>12</v>
      </c>
      <c r="BH77" s="150">
        <v>43</v>
      </c>
      <c r="BI77" s="105">
        <v>17361</v>
      </c>
      <c r="BJ77" s="139">
        <v>1135</v>
      </c>
      <c r="BK77" s="150">
        <v>5389</v>
      </c>
      <c r="BL77" s="105">
        <v>433</v>
      </c>
      <c r="BM77" s="18">
        <v>0</v>
      </c>
      <c r="BN77" s="150">
        <v>11</v>
      </c>
      <c r="BO77" s="105">
        <v>889</v>
      </c>
      <c r="BP77" s="139">
        <v>29</v>
      </c>
      <c r="BQ77" s="150">
        <v>144</v>
      </c>
      <c r="BR77" s="105">
        <v>52</v>
      </c>
      <c r="BS77" s="18">
        <v>0</v>
      </c>
      <c r="BT77" s="150">
        <v>1</v>
      </c>
      <c r="BU77" s="105">
        <v>35</v>
      </c>
      <c r="BV77" s="18">
        <v>0</v>
      </c>
      <c r="BW77" s="317">
        <v>0</v>
      </c>
      <c r="BX77" s="105">
        <v>3</v>
      </c>
      <c r="BY77" s="18">
        <v>0</v>
      </c>
      <c r="BZ77" s="317">
        <v>0</v>
      </c>
      <c r="CA77" s="105">
        <v>130</v>
      </c>
      <c r="CB77" s="18">
        <v>0</v>
      </c>
      <c r="CC77" s="150">
        <v>15</v>
      </c>
      <c r="CD77" s="392">
        <v>0</v>
      </c>
      <c r="CE77" s="387">
        <v>0</v>
      </c>
      <c r="CF77" s="388">
        <v>0</v>
      </c>
      <c r="CG77" s="105">
        <v>133</v>
      </c>
      <c r="CH77" s="139">
        <v>3</v>
      </c>
      <c r="CI77" s="150">
        <v>3</v>
      </c>
      <c r="CJ77" s="105">
        <v>10</v>
      </c>
      <c r="CK77" s="18">
        <v>0</v>
      </c>
      <c r="CL77" s="150">
        <v>10</v>
      </c>
      <c r="CM77" s="105">
        <v>790</v>
      </c>
      <c r="CN77" s="139">
        <v>2</v>
      </c>
      <c r="CO77" s="150">
        <v>60</v>
      </c>
      <c r="CP77" s="444">
        <v>13</v>
      </c>
      <c r="CQ77" s="374">
        <v>0</v>
      </c>
      <c r="CR77" s="375">
        <v>0</v>
      </c>
      <c r="CS77" s="105">
        <v>6</v>
      </c>
      <c r="CT77" s="18">
        <v>0</v>
      </c>
      <c r="CU77" s="317">
        <v>0</v>
      </c>
      <c r="CV77" s="105">
        <v>1</v>
      </c>
      <c r="CW77" s="18">
        <v>0</v>
      </c>
      <c r="CX77" s="150">
        <v>1</v>
      </c>
      <c r="CY77" s="105">
        <v>39</v>
      </c>
      <c r="CZ77" s="18">
        <v>0</v>
      </c>
      <c r="DA77" s="150">
        <v>12</v>
      </c>
      <c r="DB77" s="444">
        <v>15</v>
      </c>
      <c r="DC77" s="374">
        <v>0</v>
      </c>
      <c r="DD77" s="375">
        <v>0</v>
      </c>
      <c r="DE77" s="105">
        <v>299</v>
      </c>
      <c r="DF77" s="18">
        <v>0</v>
      </c>
      <c r="DG77" s="150">
        <v>2</v>
      </c>
      <c r="DH77" s="87">
        <v>26</v>
      </c>
      <c r="DI77" s="18">
        <v>0</v>
      </c>
      <c r="DJ77" s="317">
        <v>0</v>
      </c>
      <c r="DK77" s="105">
        <v>202</v>
      </c>
      <c r="DL77" s="139">
        <v>17</v>
      </c>
      <c r="DM77" s="150">
        <v>5</v>
      </c>
      <c r="DN77" s="105">
        <v>452</v>
      </c>
      <c r="DO77" s="18">
        <v>0</v>
      </c>
      <c r="DP77" s="150">
        <v>4</v>
      </c>
      <c r="DQ77" s="105">
        <v>313</v>
      </c>
      <c r="DR77" s="18">
        <v>0</v>
      </c>
      <c r="DS77" s="150">
        <v>114</v>
      </c>
      <c r="DT77" s="105">
        <v>51</v>
      </c>
      <c r="DU77" s="18">
        <v>0</v>
      </c>
      <c r="DV77" s="150">
        <v>1</v>
      </c>
      <c r="DW77" s="396">
        <v>0</v>
      </c>
      <c r="DX77" s="374">
        <v>0</v>
      </c>
      <c r="DY77" s="375">
        <v>0</v>
      </c>
      <c r="DZ77" s="105">
        <v>100</v>
      </c>
      <c r="EA77" s="139">
        <v>1</v>
      </c>
      <c r="EB77" s="150">
        <v>22</v>
      </c>
      <c r="EC77" s="105">
        <v>212</v>
      </c>
      <c r="ED77" s="139">
        <v>1</v>
      </c>
      <c r="EE77" s="150">
        <v>42</v>
      </c>
      <c r="EF77" s="18">
        <v>0</v>
      </c>
      <c r="EG77" s="18">
        <v>0</v>
      </c>
      <c r="EH77" s="317">
        <v>0</v>
      </c>
      <c r="EI77" s="87">
        <v>98</v>
      </c>
      <c r="EJ77" s="139">
        <v>1</v>
      </c>
      <c r="EK77" s="317">
        <v>0</v>
      </c>
      <c r="EL77" s="105">
        <v>75</v>
      </c>
      <c r="EM77" s="18">
        <v>0</v>
      </c>
      <c r="EN77" s="150">
        <v>16</v>
      </c>
      <c r="EO77" s="18">
        <v>0</v>
      </c>
      <c r="EP77" s="18">
        <v>0</v>
      </c>
      <c r="EQ77" s="317">
        <v>0</v>
      </c>
      <c r="ER77" s="83"/>
      <c r="ES77" s="18">
        <v>0</v>
      </c>
      <c r="ET77" s="18">
        <v>0</v>
      </c>
      <c r="EU77" s="317">
        <v>0</v>
      </c>
      <c r="EV77" s="55" t="s">
        <v>1118</v>
      </c>
      <c r="EW77" s="398" t="s">
        <v>1119</v>
      </c>
    </row>
    <row r="78" spans="1:153" ht="12.75">
      <c r="A78" s="93">
        <v>43909</v>
      </c>
      <c r="B78" s="440">
        <f t="shared" ref="B78:D78" si="74">SUM(F78,I78,L78,O78,R78,U78,X78,AD78,AG78,AJ78,AN78,AQ78,AT78,AW78,AZ78,BC78,BF78,BI78,BL78,BO78,BR78,BU78,BX78,CA78,CG78,CJ78,CM78,CP78,CS78,CV78,CY78,DB78,DE78,DH78,DK78,DN78,DQ78,DT78,DZ78,EC78,EI78,EL78)</f>
        <v>115259</v>
      </c>
      <c r="C78" s="441">
        <f t="shared" si="74"/>
        <v>4731</v>
      </c>
      <c r="D78" s="442">
        <f t="shared" si="74"/>
        <v>78562</v>
      </c>
      <c r="E78" s="443">
        <f t="shared" si="1"/>
        <v>31966</v>
      </c>
      <c r="F78" s="105">
        <v>274</v>
      </c>
      <c r="G78" s="18">
        <v>0</v>
      </c>
      <c r="H78" s="150">
        <v>6</v>
      </c>
      <c r="I78" s="105">
        <v>115</v>
      </c>
      <c r="J78" s="18">
        <v>0</v>
      </c>
      <c r="K78" s="150">
        <v>1</v>
      </c>
      <c r="L78" s="105">
        <v>22</v>
      </c>
      <c r="M78" s="18">
        <v>0</v>
      </c>
      <c r="N78" s="150">
        <v>1</v>
      </c>
      <c r="O78" s="105">
        <v>44</v>
      </c>
      <c r="P78" s="139">
        <v>1</v>
      </c>
      <c r="Q78" s="150">
        <v>6</v>
      </c>
      <c r="R78" s="105">
        <v>278</v>
      </c>
      <c r="S78" s="139">
        <v>1</v>
      </c>
      <c r="T78" s="150">
        <v>100</v>
      </c>
      <c r="U78" s="105">
        <v>17</v>
      </c>
      <c r="V78" s="139">
        <v>1</v>
      </c>
      <c r="W78" s="150">
        <v>3</v>
      </c>
      <c r="X78" s="446">
        <v>1</v>
      </c>
      <c r="Y78" s="374">
        <v>0</v>
      </c>
      <c r="Z78" s="375">
        <v>0</v>
      </c>
      <c r="AA78" s="392">
        <v>0</v>
      </c>
      <c r="AB78" s="374">
        <v>0</v>
      </c>
      <c r="AC78" s="375">
        <v>0</v>
      </c>
      <c r="AD78" s="444">
        <v>75</v>
      </c>
      <c r="AE78" s="374">
        <v>0</v>
      </c>
      <c r="AF78" s="375">
        <v>0</v>
      </c>
      <c r="AG78" s="105">
        <v>37</v>
      </c>
      <c r="AH78" s="18">
        <v>0</v>
      </c>
      <c r="AI78" s="150">
        <v>1</v>
      </c>
      <c r="AJ78" s="105">
        <v>81155</v>
      </c>
      <c r="AK78" s="139">
        <v>3249</v>
      </c>
      <c r="AL78" s="397">
        <v>70535</v>
      </c>
      <c r="AM78" s="371">
        <f t="shared" si="2"/>
        <v>7371</v>
      </c>
      <c r="AN78" s="105">
        <v>8565</v>
      </c>
      <c r="AO78" s="139">
        <v>91</v>
      </c>
      <c r="AP78" s="150">
        <v>1540</v>
      </c>
      <c r="AQ78" s="105">
        <v>140</v>
      </c>
      <c r="AR78" s="18">
        <v>0</v>
      </c>
      <c r="AS78" s="150">
        <v>31</v>
      </c>
      <c r="AT78" s="105">
        <v>40</v>
      </c>
      <c r="AU78" s="18">
        <v>0</v>
      </c>
      <c r="AV78" s="150">
        <v>1</v>
      </c>
      <c r="AW78" s="105">
        <v>118</v>
      </c>
      <c r="AX78" s="139">
        <v>3</v>
      </c>
      <c r="AY78" s="150">
        <v>60</v>
      </c>
      <c r="AZ78" s="105">
        <v>194</v>
      </c>
      <c r="BA78" s="139">
        <v>4</v>
      </c>
      <c r="BB78" s="150">
        <v>15</v>
      </c>
      <c r="BC78" s="105">
        <v>311</v>
      </c>
      <c r="BD78" s="139">
        <v>25</v>
      </c>
      <c r="BE78" s="138">
        <v>11</v>
      </c>
      <c r="BF78" s="105">
        <v>192</v>
      </c>
      <c r="BG78" s="139">
        <v>13</v>
      </c>
      <c r="BH78" s="150">
        <v>43</v>
      </c>
      <c r="BI78" s="105">
        <v>18407</v>
      </c>
      <c r="BJ78" s="139">
        <v>1284</v>
      </c>
      <c r="BK78" s="150">
        <v>5710</v>
      </c>
      <c r="BL78" s="105">
        <v>677</v>
      </c>
      <c r="BM78" s="18">
        <v>0</v>
      </c>
      <c r="BN78" s="150">
        <v>11</v>
      </c>
      <c r="BO78" s="105">
        <v>924</v>
      </c>
      <c r="BP78" s="139">
        <v>29</v>
      </c>
      <c r="BQ78" s="150">
        <v>150</v>
      </c>
      <c r="BR78" s="105">
        <v>69</v>
      </c>
      <c r="BS78" s="18">
        <v>0</v>
      </c>
      <c r="BT78" s="150">
        <v>1</v>
      </c>
      <c r="BU78" s="105">
        <v>44</v>
      </c>
      <c r="BV78" s="18">
        <v>0</v>
      </c>
      <c r="BW78" s="317">
        <v>0</v>
      </c>
      <c r="BX78" s="105">
        <v>3</v>
      </c>
      <c r="BY78" s="18">
        <v>0</v>
      </c>
      <c r="BZ78" s="317">
        <v>0</v>
      </c>
      <c r="CA78" s="105">
        <v>148</v>
      </c>
      <c r="CB78" s="18">
        <v>0</v>
      </c>
      <c r="CC78" s="150">
        <v>18</v>
      </c>
      <c r="CD78" s="392">
        <v>0</v>
      </c>
      <c r="CE78" s="374">
        <v>0</v>
      </c>
      <c r="CF78" s="375">
        <v>0</v>
      </c>
      <c r="CG78" s="105">
        <v>157</v>
      </c>
      <c r="CH78" s="139">
        <v>4</v>
      </c>
      <c r="CI78" s="150">
        <v>4</v>
      </c>
      <c r="CJ78" s="105">
        <v>42</v>
      </c>
      <c r="CK78" s="18">
        <v>0</v>
      </c>
      <c r="CL78" s="150">
        <v>10</v>
      </c>
      <c r="CM78" s="105">
        <v>900</v>
      </c>
      <c r="CN78" s="139">
        <v>2</v>
      </c>
      <c r="CO78" s="150">
        <v>75</v>
      </c>
      <c r="CP78" s="444">
        <v>13</v>
      </c>
      <c r="CQ78" s="374">
        <v>0</v>
      </c>
      <c r="CR78" s="375">
        <v>0</v>
      </c>
      <c r="CS78" s="105">
        <v>6</v>
      </c>
      <c r="CT78" s="18">
        <v>0</v>
      </c>
      <c r="CU78" s="317">
        <v>0</v>
      </c>
      <c r="CV78" s="105">
        <v>1</v>
      </c>
      <c r="CW78" s="18">
        <v>0</v>
      </c>
      <c r="CX78" s="150">
        <v>1</v>
      </c>
      <c r="CY78" s="105">
        <v>48</v>
      </c>
      <c r="CZ78" s="18">
        <v>0</v>
      </c>
      <c r="DA78" s="150">
        <v>12</v>
      </c>
      <c r="DB78" s="444">
        <v>23</v>
      </c>
      <c r="DC78" s="374">
        <v>0</v>
      </c>
      <c r="DD78" s="375">
        <v>0</v>
      </c>
      <c r="DE78" s="105">
        <v>454</v>
      </c>
      <c r="DF78" s="139">
        <v>2</v>
      </c>
      <c r="DG78" s="150">
        <v>5</v>
      </c>
      <c r="DH78" s="87">
        <v>26</v>
      </c>
      <c r="DI78" s="18">
        <v>0</v>
      </c>
      <c r="DJ78" s="317">
        <v>0</v>
      </c>
      <c r="DK78" s="105">
        <v>217</v>
      </c>
      <c r="DL78" s="139">
        <v>17</v>
      </c>
      <c r="DM78" s="150">
        <v>8</v>
      </c>
      <c r="DN78" s="105">
        <v>460</v>
      </c>
      <c r="DO78" s="18">
        <v>0</v>
      </c>
      <c r="DP78" s="150">
        <v>4</v>
      </c>
      <c r="DQ78" s="105">
        <v>345</v>
      </c>
      <c r="DR78" s="18">
        <v>0</v>
      </c>
      <c r="DS78" s="150">
        <v>114</v>
      </c>
      <c r="DT78" s="105">
        <v>60</v>
      </c>
      <c r="DU78" s="18">
        <v>0</v>
      </c>
      <c r="DV78" s="150">
        <v>1</v>
      </c>
      <c r="DW78" s="396">
        <v>0</v>
      </c>
      <c r="DX78" s="374">
        <v>0</v>
      </c>
      <c r="DY78" s="375">
        <v>0</v>
      </c>
      <c r="DZ78" s="105">
        <v>108</v>
      </c>
      <c r="EA78" s="139">
        <v>1</v>
      </c>
      <c r="EB78" s="150">
        <v>26</v>
      </c>
      <c r="EC78" s="105">
        <v>272</v>
      </c>
      <c r="ED78" s="139">
        <v>1</v>
      </c>
      <c r="EE78" s="150">
        <v>42</v>
      </c>
      <c r="EF78" s="18">
        <v>0</v>
      </c>
      <c r="EG78" s="18">
        <v>0</v>
      </c>
      <c r="EH78" s="317">
        <v>0</v>
      </c>
      <c r="EI78" s="87">
        <v>192</v>
      </c>
      <c r="EJ78" s="139">
        <v>3</v>
      </c>
      <c r="EK78" s="317">
        <v>0</v>
      </c>
      <c r="EL78" s="105">
        <v>85</v>
      </c>
      <c r="EM78" s="18">
        <v>0</v>
      </c>
      <c r="EN78" s="150">
        <v>16</v>
      </c>
      <c r="EO78" s="18">
        <v>0</v>
      </c>
      <c r="EP78" s="18">
        <v>0</v>
      </c>
      <c r="EQ78" s="317">
        <v>0</v>
      </c>
      <c r="ER78" s="83"/>
      <c r="ES78" s="18">
        <v>0</v>
      </c>
      <c r="ET78" s="18">
        <v>0</v>
      </c>
      <c r="EU78" s="317">
        <v>0</v>
      </c>
      <c r="EV78" s="55" t="s">
        <v>1120</v>
      </c>
      <c r="EW78" s="77" t="s">
        <v>1121</v>
      </c>
    </row>
    <row r="79" spans="1:153" ht="12.75">
      <c r="A79" s="93">
        <v>43910</v>
      </c>
      <c r="B79" s="440">
        <f t="shared" ref="B79:D79" si="75">SUM(F79,I79,L79,O79,R79,U79,X79,AD79,AG79,AJ79,AN79,AQ79,AT79,AW79,AZ79,BC79,BF79,BI79,BL79,BO79,BR79,BU79,BX79,CA79,CG79,CJ79,CM79,CP79,CS79,CV79,CY79,DB79,DE79,DH79,DK79,DN79,DQ79,DT79,DZ79,EC79,EI79,EL79)</f>
        <v>117544</v>
      </c>
      <c r="C79" s="441">
        <f t="shared" si="75"/>
        <v>4909</v>
      </c>
      <c r="D79" s="442">
        <f t="shared" si="75"/>
        <v>80416</v>
      </c>
      <c r="E79" s="443">
        <f t="shared" si="1"/>
        <v>32219</v>
      </c>
      <c r="F79" s="105">
        <v>344</v>
      </c>
      <c r="G79" s="18">
        <v>0</v>
      </c>
      <c r="H79" s="150">
        <v>6</v>
      </c>
      <c r="I79" s="105">
        <v>136</v>
      </c>
      <c r="J79" s="18">
        <v>0</v>
      </c>
      <c r="K79" s="150">
        <v>1</v>
      </c>
      <c r="L79" s="105">
        <v>24</v>
      </c>
      <c r="M79" s="18">
        <v>0</v>
      </c>
      <c r="N79" s="150">
        <v>1</v>
      </c>
      <c r="O79" s="105">
        <v>44</v>
      </c>
      <c r="P79" s="139">
        <v>1</v>
      </c>
      <c r="Q79" s="150">
        <v>6</v>
      </c>
      <c r="R79" s="105">
        <v>285</v>
      </c>
      <c r="S79" s="139">
        <v>1</v>
      </c>
      <c r="T79" s="150">
        <v>100</v>
      </c>
      <c r="U79" s="105">
        <v>20</v>
      </c>
      <c r="V79" s="139">
        <v>1</v>
      </c>
      <c r="W79" s="150">
        <v>3</v>
      </c>
      <c r="X79" s="444">
        <v>2</v>
      </c>
      <c r="Y79" s="374">
        <v>0</v>
      </c>
      <c r="Z79" s="375">
        <v>0</v>
      </c>
      <c r="AA79" s="392">
        <v>0</v>
      </c>
      <c r="AB79" s="374">
        <v>0</v>
      </c>
      <c r="AC79" s="375">
        <v>0</v>
      </c>
      <c r="AD79" s="444">
        <v>75</v>
      </c>
      <c r="AE79" s="374">
        <v>0</v>
      </c>
      <c r="AF79" s="150">
        <v>1</v>
      </c>
      <c r="AG79" s="105">
        <v>51</v>
      </c>
      <c r="AH79" s="18">
        <v>0</v>
      </c>
      <c r="AI79" s="150">
        <v>1</v>
      </c>
      <c r="AJ79" s="105">
        <v>81250</v>
      </c>
      <c r="AK79" s="139">
        <v>3253</v>
      </c>
      <c r="AL79" s="397">
        <v>71266</v>
      </c>
      <c r="AM79" s="371">
        <f t="shared" si="2"/>
        <v>6731</v>
      </c>
      <c r="AN79" s="105">
        <v>8652</v>
      </c>
      <c r="AO79" s="139">
        <v>94</v>
      </c>
      <c r="AP79" s="150">
        <v>1540</v>
      </c>
      <c r="AQ79" s="105">
        <v>140</v>
      </c>
      <c r="AR79" s="139">
        <v>2</v>
      </c>
      <c r="AS79" s="150">
        <v>31</v>
      </c>
      <c r="AT79" s="105">
        <v>43</v>
      </c>
      <c r="AU79" s="18">
        <v>0</v>
      </c>
      <c r="AV79" s="150">
        <v>1</v>
      </c>
      <c r="AW79" s="105">
        <v>118</v>
      </c>
      <c r="AX79" s="139">
        <v>3</v>
      </c>
      <c r="AY79" s="150">
        <v>60</v>
      </c>
      <c r="AZ79" s="105">
        <v>244</v>
      </c>
      <c r="BA79" s="139">
        <v>4</v>
      </c>
      <c r="BB79" s="150">
        <v>20</v>
      </c>
      <c r="BC79" s="105">
        <v>369</v>
      </c>
      <c r="BD79" s="139">
        <v>32</v>
      </c>
      <c r="BE79" s="138">
        <v>15</v>
      </c>
      <c r="BF79" s="105">
        <v>208</v>
      </c>
      <c r="BG79" s="139">
        <v>17</v>
      </c>
      <c r="BH79" s="150">
        <v>49</v>
      </c>
      <c r="BI79" s="105">
        <v>19644</v>
      </c>
      <c r="BJ79" s="139">
        <v>1433</v>
      </c>
      <c r="BK79" s="150">
        <v>6745</v>
      </c>
      <c r="BL79" s="105">
        <v>705</v>
      </c>
      <c r="BM79" s="18">
        <v>0</v>
      </c>
      <c r="BN79" s="150">
        <v>14</v>
      </c>
      <c r="BO79" s="105">
        <v>963</v>
      </c>
      <c r="BP79" s="139">
        <v>33</v>
      </c>
      <c r="BQ79" s="150">
        <v>191</v>
      </c>
      <c r="BR79" s="105">
        <v>85</v>
      </c>
      <c r="BS79" s="18">
        <v>0</v>
      </c>
      <c r="BT79" s="150">
        <v>1</v>
      </c>
      <c r="BU79" s="105">
        <v>49</v>
      </c>
      <c r="BV79" s="18">
        <v>0</v>
      </c>
      <c r="BW79" s="317">
        <v>0</v>
      </c>
      <c r="BX79" s="105">
        <v>6</v>
      </c>
      <c r="BY79" s="18">
        <v>0</v>
      </c>
      <c r="BZ79" s="317">
        <v>0</v>
      </c>
      <c r="CA79" s="105">
        <v>159</v>
      </c>
      <c r="CB79" s="18">
        <v>0</v>
      </c>
      <c r="CC79" s="150">
        <v>18</v>
      </c>
      <c r="CD79" s="392">
        <v>0</v>
      </c>
      <c r="CE79" s="387">
        <v>0</v>
      </c>
      <c r="CF79" s="388">
        <v>0</v>
      </c>
      <c r="CG79" s="105">
        <v>163</v>
      </c>
      <c r="CH79" s="139">
        <v>4</v>
      </c>
      <c r="CI79" s="150">
        <v>4</v>
      </c>
      <c r="CJ79" s="105">
        <v>42</v>
      </c>
      <c r="CK79" s="18">
        <v>0</v>
      </c>
      <c r="CL79" s="150">
        <v>10</v>
      </c>
      <c r="CM79" s="105">
        <v>1030</v>
      </c>
      <c r="CN79" s="139">
        <v>3</v>
      </c>
      <c r="CO79" s="150">
        <v>87</v>
      </c>
      <c r="CP79" s="444">
        <v>13</v>
      </c>
      <c r="CQ79" s="374">
        <v>0</v>
      </c>
      <c r="CR79" s="375">
        <v>0</v>
      </c>
      <c r="CS79" s="105">
        <v>6</v>
      </c>
      <c r="CT79" s="18">
        <v>0</v>
      </c>
      <c r="CU79" s="317">
        <v>0</v>
      </c>
      <c r="CV79" s="105">
        <v>1</v>
      </c>
      <c r="CW79" s="18">
        <v>0</v>
      </c>
      <c r="CX79" s="150">
        <v>1</v>
      </c>
      <c r="CY79" s="105">
        <v>48</v>
      </c>
      <c r="CZ79" s="18">
        <v>0</v>
      </c>
      <c r="DA79" s="150">
        <v>12</v>
      </c>
      <c r="DB79" s="444">
        <v>33</v>
      </c>
      <c r="DC79" s="374">
        <v>0</v>
      </c>
      <c r="DD79" s="375">
        <v>0</v>
      </c>
      <c r="DE79" s="105">
        <v>501</v>
      </c>
      <c r="DF79" s="139">
        <v>3</v>
      </c>
      <c r="DG79" s="150">
        <v>5</v>
      </c>
      <c r="DH79" s="87">
        <v>26</v>
      </c>
      <c r="DI79" s="18">
        <v>0</v>
      </c>
      <c r="DJ79" s="317">
        <v>0</v>
      </c>
      <c r="DK79" s="105">
        <v>230</v>
      </c>
      <c r="DL79" s="139">
        <v>18</v>
      </c>
      <c r="DM79" s="150">
        <v>8</v>
      </c>
      <c r="DN79" s="105">
        <v>470</v>
      </c>
      <c r="DO79" s="18">
        <v>0</v>
      </c>
      <c r="DP79" s="150">
        <v>10</v>
      </c>
      <c r="DQ79" s="105">
        <v>385</v>
      </c>
      <c r="DR79" s="18">
        <v>0</v>
      </c>
      <c r="DS79" s="150">
        <v>124</v>
      </c>
      <c r="DT79" s="105">
        <v>73</v>
      </c>
      <c r="DU79" s="18">
        <v>0</v>
      </c>
      <c r="DV79" s="150">
        <v>1</v>
      </c>
      <c r="DW79" s="396">
        <v>0</v>
      </c>
      <c r="DX79" s="374">
        <v>0</v>
      </c>
      <c r="DY79" s="375">
        <v>0</v>
      </c>
      <c r="DZ79" s="105">
        <v>135</v>
      </c>
      <c r="EA79" s="139">
        <v>2</v>
      </c>
      <c r="EB79" s="150">
        <v>26</v>
      </c>
      <c r="EC79" s="105">
        <v>322</v>
      </c>
      <c r="ED79" s="139">
        <v>1</v>
      </c>
      <c r="EE79" s="150">
        <v>42</v>
      </c>
      <c r="EF79" s="18">
        <v>0</v>
      </c>
      <c r="EG79" s="18">
        <v>0</v>
      </c>
      <c r="EH79" s="317">
        <v>0</v>
      </c>
      <c r="EI79" s="87">
        <v>359</v>
      </c>
      <c r="EJ79" s="139">
        <v>4</v>
      </c>
      <c r="EK79" s="317">
        <v>0</v>
      </c>
      <c r="EL79" s="105">
        <v>91</v>
      </c>
      <c r="EM79" s="18">
        <v>0</v>
      </c>
      <c r="EN79" s="150">
        <v>16</v>
      </c>
      <c r="EO79" s="18">
        <v>0</v>
      </c>
      <c r="EP79" s="18">
        <v>0</v>
      </c>
      <c r="EQ79" s="317">
        <v>0</v>
      </c>
      <c r="ER79" s="83"/>
      <c r="ES79" s="18">
        <v>0</v>
      </c>
      <c r="ET79" s="18">
        <v>0</v>
      </c>
      <c r="EU79" s="317">
        <v>0</v>
      </c>
      <c r="EV79" s="55" t="s">
        <v>1122</v>
      </c>
      <c r="EW79" s="77" t="s">
        <v>1123</v>
      </c>
    </row>
    <row r="80" spans="1:153" ht="12.75">
      <c r="A80" s="93">
        <v>43911</v>
      </c>
      <c r="B80" s="440">
        <f t="shared" ref="B80:D80" si="76">SUM(F80,I80,L80,O80,R80,U80,X80,AD80,AG80,AJ80,AN80,AQ80,AT80,AW80,AZ80,BC80,BF80,BI80,BL80,BO80,BR80,BU80,BX80,CA80,CG80,CJ80,CM80,CP80,CS80,CV80,CY80,DB80,DE80,DH80,DK80,DN80,DQ80,DT80,DZ80,EC80,EF80,EI80,EL80)</f>
        <v>120172</v>
      </c>
      <c r="C80" s="441">
        <f t="shared" si="76"/>
        <v>5065</v>
      </c>
      <c r="D80" s="442">
        <f t="shared" si="76"/>
        <v>82064</v>
      </c>
      <c r="E80" s="443">
        <f t="shared" si="1"/>
        <v>33043</v>
      </c>
      <c r="F80" s="105">
        <v>392</v>
      </c>
      <c r="G80" s="18">
        <v>0</v>
      </c>
      <c r="H80" s="150">
        <v>16</v>
      </c>
      <c r="I80" s="105">
        <v>160</v>
      </c>
      <c r="J80" s="18">
        <v>0</v>
      </c>
      <c r="K80" s="150">
        <v>1</v>
      </c>
      <c r="L80" s="105">
        <v>24</v>
      </c>
      <c r="M80" s="18">
        <v>0</v>
      </c>
      <c r="N80" s="150">
        <v>1</v>
      </c>
      <c r="O80" s="105">
        <v>53</v>
      </c>
      <c r="P80" s="139">
        <v>1</v>
      </c>
      <c r="Q80" s="150">
        <v>10</v>
      </c>
      <c r="R80" s="105">
        <v>305</v>
      </c>
      <c r="S80" s="139">
        <v>1</v>
      </c>
      <c r="T80" s="150">
        <v>125</v>
      </c>
      <c r="U80" s="105">
        <v>25</v>
      </c>
      <c r="V80" s="139">
        <v>2</v>
      </c>
      <c r="W80" s="150">
        <v>3</v>
      </c>
      <c r="X80" s="444">
        <v>2</v>
      </c>
      <c r="Y80" s="374">
        <v>0</v>
      </c>
      <c r="Z80" s="375">
        <v>0</v>
      </c>
      <c r="AA80" s="392">
        <v>0</v>
      </c>
      <c r="AB80" s="374">
        <v>0</v>
      </c>
      <c r="AC80" s="375">
        <v>0</v>
      </c>
      <c r="AD80" s="444">
        <v>83</v>
      </c>
      <c r="AE80" s="374">
        <v>0</v>
      </c>
      <c r="AF80" s="150">
        <v>2</v>
      </c>
      <c r="AG80" s="105">
        <v>53</v>
      </c>
      <c r="AH80" s="18">
        <v>0</v>
      </c>
      <c r="AI80" s="150">
        <v>1</v>
      </c>
      <c r="AJ80" s="105">
        <v>81304</v>
      </c>
      <c r="AK80" s="139">
        <v>3259</v>
      </c>
      <c r="AL80" s="397">
        <v>71857</v>
      </c>
      <c r="AM80" s="371">
        <f t="shared" si="2"/>
        <v>6188</v>
      </c>
      <c r="AN80" s="105">
        <v>8799</v>
      </c>
      <c r="AO80" s="139">
        <v>102</v>
      </c>
      <c r="AP80" s="150">
        <v>1540</v>
      </c>
      <c r="AQ80" s="105">
        <v>153</v>
      </c>
      <c r="AR80" s="139">
        <v>2</v>
      </c>
      <c r="AS80" s="150">
        <v>38</v>
      </c>
      <c r="AT80" s="105">
        <v>43</v>
      </c>
      <c r="AU80" s="18">
        <v>0</v>
      </c>
      <c r="AV80" s="150">
        <v>1</v>
      </c>
      <c r="AW80" s="105">
        <v>118</v>
      </c>
      <c r="AX80" s="139">
        <v>3</v>
      </c>
      <c r="AY80" s="150">
        <v>60</v>
      </c>
      <c r="AZ80" s="105">
        <v>330</v>
      </c>
      <c r="BA80" s="139">
        <v>4</v>
      </c>
      <c r="BB80" s="150">
        <v>20</v>
      </c>
      <c r="BC80" s="105">
        <v>450</v>
      </c>
      <c r="BD80" s="139">
        <v>38</v>
      </c>
      <c r="BE80" s="138">
        <v>15</v>
      </c>
      <c r="BF80" s="105">
        <v>214</v>
      </c>
      <c r="BG80" s="139">
        <v>17</v>
      </c>
      <c r="BH80" s="150">
        <v>51</v>
      </c>
      <c r="BI80" s="105">
        <v>20610</v>
      </c>
      <c r="BJ80" s="139">
        <v>1556</v>
      </c>
      <c r="BK80" s="150">
        <v>7635</v>
      </c>
      <c r="BL80" s="105">
        <v>883</v>
      </c>
      <c r="BM80" s="139">
        <v>1</v>
      </c>
      <c r="BN80" s="150">
        <v>14</v>
      </c>
      <c r="BO80" s="105">
        <v>1007</v>
      </c>
      <c r="BP80" s="139">
        <v>35</v>
      </c>
      <c r="BQ80" s="150">
        <v>232</v>
      </c>
      <c r="BR80" s="105">
        <v>85</v>
      </c>
      <c r="BS80" s="18">
        <v>0</v>
      </c>
      <c r="BT80" s="150">
        <v>1</v>
      </c>
      <c r="BU80" s="105">
        <v>53</v>
      </c>
      <c r="BV80" s="18">
        <v>0</v>
      </c>
      <c r="BW80" s="317">
        <v>0</v>
      </c>
      <c r="BX80" s="105">
        <v>14</v>
      </c>
      <c r="BY80" s="18">
        <v>0</v>
      </c>
      <c r="BZ80" s="317">
        <v>0</v>
      </c>
      <c r="CA80" s="105">
        <v>176</v>
      </c>
      <c r="CB80" s="18">
        <v>0</v>
      </c>
      <c r="CC80" s="150">
        <v>27</v>
      </c>
      <c r="CD80" s="392">
        <v>0</v>
      </c>
      <c r="CE80" s="374">
        <v>0</v>
      </c>
      <c r="CF80" s="375">
        <v>0</v>
      </c>
      <c r="CG80" s="105">
        <v>187</v>
      </c>
      <c r="CH80" s="139">
        <v>4</v>
      </c>
      <c r="CI80" s="150">
        <v>4</v>
      </c>
      <c r="CJ80" s="105">
        <v>42</v>
      </c>
      <c r="CK80" s="18">
        <v>0</v>
      </c>
      <c r="CL80" s="150">
        <v>10</v>
      </c>
      <c r="CM80" s="105">
        <v>1183</v>
      </c>
      <c r="CN80" s="139">
        <v>4</v>
      </c>
      <c r="CO80" s="150">
        <v>114</v>
      </c>
      <c r="CP80" s="444">
        <v>13</v>
      </c>
      <c r="CQ80" s="374">
        <v>0</v>
      </c>
      <c r="CR80" s="375">
        <v>0</v>
      </c>
      <c r="CS80" s="105">
        <v>10</v>
      </c>
      <c r="CT80" s="18">
        <v>0</v>
      </c>
      <c r="CU80" s="317">
        <v>0</v>
      </c>
      <c r="CV80" s="105">
        <v>1</v>
      </c>
      <c r="CW80" s="18">
        <v>0</v>
      </c>
      <c r="CX80" s="150">
        <v>1</v>
      </c>
      <c r="CY80" s="105">
        <v>52</v>
      </c>
      <c r="CZ80" s="18">
        <v>0</v>
      </c>
      <c r="DA80" s="150">
        <v>12</v>
      </c>
      <c r="DB80" s="444">
        <v>43</v>
      </c>
      <c r="DC80" s="374">
        <v>0</v>
      </c>
      <c r="DD80" s="375">
        <v>0</v>
      </c>
      <c r="DE80" s="105">
        <v>730</v>
      </c>
      <c r="DF80" s="139">
        <v>3</v>
      </c>
      <c r="DG80" s="150">
        <v>5</v>
      </c>
      <c r="DH80" s="87">
        <v>26</v>
      </c>
      <c r="DI80" s="18">
        <v>0</v>
      </c>
      <c r="DJ80" s="317">
        <v>0</v>
      </c>
      <c r="DK80" s="105">
        <v>230</v>
      </c>
      <c r="DL80" s="139">
        <v>19</v>
      </c>
      <c r="DM80" s="150">
        <v>13</v>
      </c>
      <c r="DN80" s="105">
        <v>481</v>
      </c>
      <c r="DO80" s="18">
        <v>0</v>
      </c>
      <c r="DP80" s="150">
        <v>27</v>
      </c>
      <c r="DQ80" s="105">
        <v>432</v>
      </c>
      <c r="DR80" s="139">
        <v>2</v>
      </c>
      <c r="DS80" s="150">
        <v>140</v>
      </c>
      <c r="DT80" s="105">
        <v>77</v>
      </c>
      <c r="DU80" s="18">
        <v>0</v>
      </c>
      <c r="DV80" s="150">
        <v>1</v>
      </c>
      <c r="DW80" s="392">
        <v>0</v>
      </c>
      <c r="DX80" s="374">
        <v>0</v>
      </c>
      <c r="DY80" s="375">
        <v>0</v>
      </c>
      <c r="DZ80" s="105">
        <v>153</v>
      </c>
      <c r="EA80" s="139">
        <v>2</v>
      </c>
      <c r="EB80" s="150">
        <v>28</v>
      </c>
      <c r="EC80" s="105">
        <v>411</v>
      </c>
      <c r="ED80" s="139">
        <v>1</v>
      </c>
      <c r="EE80" s="150">
        <v>42</v>
      </c>
      <c r="EF80" s="105">
        <v>1</v>
      </c>
      <c r="EG80" s="18">
        <v>0</v>
      </c>
      <c r="EH80" s="317">
        <v>0</v>
      </c>
      <c r="EI80" s="87">
        <v>670</v>
      </c>
      <c r="EJ80" s="139">
        <v>9</v>
      </c>
      <c r="EK80" s="317">
        <v>0</v>
      </c>
      <c r="EL80" s="105">
        <v>94</v>
      </c>
      <c r="EM80" s="18">
        <v>0</v>
      </c>
      <c r="EN80" s="150">
        <v>17</v>
      </c>
      <c r="EO80" s="18">
        <v>0</v>
      </c>
      <c r="EP80" s="18">
        <v>0</v>
      </c>
      <c r="EQ80" s="317">
        <v>0</v>
      </c>
      <c r="ER80" s="83"/>
      <c r="ES80" s="18">
        <v>0</v>
      </c>
      <c r="ET80" s="18">
        <v>0</v>
      </c>
      <c r="EU80" s="317">
        <v>0</v>
      </c>
      <c r="EV80" s="55" t="s">
        <v>1124</v>
      </c>
      <c r="EW80" s="127" t="s">
        <v>1125</v>
      </c>
    </row>
    <row r="81" spans="1:153" ht="12.75">
      <c r="A81" s="93">
        <v>43912</v>
      </c>
      <c r="B81" s="440">
        <f t="shared" ref="B81:D81" si="77">SUM(F81,I81,L81,O81,R81,U81,X81,AD81,AG81,AJ81,AN81,AQ81,AT81,AW81,AZ81,BC81,BF81,BI81,BL81,BO81,BR81,BU81,BX81,CA81,CG81,CJ81,CM81,CP81,CS81,CV81,CY81,DB81,DE81,DH81,DK81,DN81,DQ81,DT81,DW81,DZ81,EC81,EF81,EI81,EL81)</f>
        <v>123324</v>
      </c>
      <c r="C81" s="441">
        <f t="shared" si="77"/>
        <v>5260</v>
      </c>
      <c r="D81" s="442">
        <f t="shared" si="77"/>
        <v>84363</v>
      </c>
      <c r="E81" s="443">
        <f t="shared" si="1"/>
        <v>33701</v>
      </c>
      <c r="F81" s="105">
        <v>511</v>
      </c>
      <c r="G81" s="18">
        <v>0</v>
      </c>
      <c r="H81" s="150">
        <v>16</v>
      </c>
      <c r="I81" s="105">
        <v>194</v>
      </c>
      <c r="J81" s="18">
        <v>0</v>
      </c>
      <c r="K81" s="150">
        <v>2</v>
      </c>
      <c r="L81" s="105">
        <v>40</v>
      </c>
      <c r="M81" s="139">
        <v>1</v>
      </c>
      <c r="N81" s="150">
        <v>1</v>
      </c>
      <c r="O81" s="105">
        <v>65</v>
      </c>
      <c r="P81" s="139">
        <v>1</v>
      </c>
      <c r="Q81" s="150">
        <v>10</v>
      </c>
      <c r="R81" s="105">
        <v>332</v>
      </c>
      <c r="S81" s="139">
        <v>2</v>
      </c>
      <c r="T81" s="150">
        <v>149</v>
      </c>
      <c r="U81" s="105">
        <v>27</v>
      </c>
      <c r="V81" s="139">
        <v>2</v>
      </c>
      <c r="W81" s="150">
        <v>3</v>
      </c>
      <c r="X81" s="444">
        <v>2</v>
      </c>
      <c r="Y81" s="374">
        <v>0</v>
      </c>
      <c r="Z81" s="375">
        <v>0</v>
      </c>
      <c r="AA81" s="392">
        <v>0</v>
      </c>
      <c r="AB81" s="374">
        <v>0</v>
      </c>
      <c r="AC81" s="375">
        <v>0</v>
      </c>
      <c r="AD81" s="444">
        <v>88</v>
      </c>
      <c r="AE81" s="374">
        <v>0</v>
      </c>
      <c r="AF81" s="150">
        <v>2</v>
      </c>
      <c r="AG81" s="105">
        <v>84</v>
      </c>
      <c r="AH81" s="18">
        <v>0</v>
      </c>
      <c r="AI81" s="150">
        <v>1</v>
      </c>
      <c r="AJ81" s="105">
        <v>81397</v>
      </c>
      <c r="AK81" s="139">
        <v>3265</v>
      </c>
      <c r="AL81" s="397">
        <v>72362</v>
      </c>
      <c r="AM81" s="371">
        <f t="shared" si="2"/>
        <v>5770</v>
      </c>
      <c r="AN81" s="105">
        <v>8897</v>
      </c>
      <c r="AO81" s="139">
        <v>104</v>
      </c>
      <c r="AP81" s="150">
        <v>2909</v>
      </c>
      <c r="AQ81" s="105">
        <v>153</v>
      </c>
      <c r="AR81" s="139">
        <v>2</v>
      </c>
      <c r="AS81" s="150">
        <v>38</v>
      </c>
      <c r="AT81" s="105">
        <v>54</v>
      </c>
      <c r="AU81" s="18">
        <v>0</v>
      </c>
      <c r="AV81" s="150">
        <v>3</v>
      </c>
      <c r="AW81" s="105">
        <v>118</v>
      </c>
      <c r="AX81" s="139">
        <v>3</v>
      </c>
      <c r="AY81" s="150">
        <v>60</v>
      </c>
      <c r="AZ81" s="105">
        <v>396</v>
      </c>
      <c r="BA81" s="139">
        <v>7</v>
      </c>
      <c r="BB81" s="150">
        <v>27</v>
      </c>
      <c r="BC81" s="105">
        <v>514</v>
      </c>
      <c r="BD81" s="139">
        <v>48</v>
      </c>
      <c r="BE81" s="138">
        <v>28</v>
      </c>
      <c r="BF81" s="105">
        <v>233</v>
      </c>
      <c r="BG81" s="139">
        <v>20</v>
      </c>
      <c r="BH81" s="150">
        <v>57</v>
      </c>
      <c r="BI81" s="105">
        <v>21638</v>
      </c>
      <c r="BJ81" s="139">
        <v>1685</v>
      </c>
      <c r="BK81" s="150">
        <v>7931</v>
      </c>
      <c r="BL81" s="105">
        <v>1071</v>
      </c>
      <c r="BM81" s="139">
        <v>1</v>
      </c>
      <c r="BN81" s="150">
        <v>37</v>
      </c>
      <c r="BO81" s="105">
        <v>1086</v>
      </c>
      <c r="BP81" s="139">
        <v>40</v>
      </c>
      <c r="BQ81" s="150">
        <v>235</v>
      </c>
      <c r="BR81" s="105">
        <v>112</v>
      </c>
      <c r="BS81" s="18">
        <v>0</v>
      </c>
      <c r="BT81" s="150">
        <v>1</v>
      </c>
      <c r="BU81" s="105">
        <v>60</v>
      </c>
      <c r="BV81" s="18">
        <v>0</v>
      </c>
      <c r="BW81" s="317">
        <v>0</v>
      </c>
      <c r="BX81" s="105">
        <v>14</v>
      </c>
      <c r="BY81" s="18">
        <v>0</v>
      </c>
      <c r="BZ81" s="317">
        <v>0</v>
      </c>
      <c r="CA81" s="105">
        <v>188</v>
      </c>
      <c r="CB81" s="18">
        <v>0</v>
      </c>
      <c r="CC81" s="150">
        <v>27</v>
      </c>
      <c r="CD81" s="392">
        <v>0</v>
      </c>
      <c r="CE81" s="387">
        <v>0</v>
      </c>
      <c r="CF81" s="388">
        <v>0</v>
      </c>
      <c r="CG81" s="105">
        <v>248</v>
      </c>
      <c r="CH81" s="139">
        <v>4</v>
      </c>
      <c r="CI81" s="150">
        <v>8</v>
      </c>
      <c r="CJ81" s="105">
        <v>42</v>
      </c>
      <c r="CK81" s="18">
        <v>0</v>
      </c>
      <c r="CL81" s="150">
        <v>10</v>
      </c>
      <c r="CM81" s="105">
        <v>1306</v>
      </c>
      <c r="CN81" s="139">
        <v>10</v>
      </c>
      <c r="CO81" s="150">
        <v>139</v>
      </c>
      <c r="CP81" s="444">
        <v>13</v>
      </c>
      <c r="CQ81" s="374">
        <v>0</v>
      </c>
      <c r="CR81" s="375">
        <v>0</v>
      </c>
      <c r="CS81" s="105">
        <v>10</v>
      </c>
      <c r="CT81" s="18">
        <v>0</v>
      </c>
      <c r="CU81" s="317">
        <v>0</v>
      </c>
      <c r="CV81" s="105">
        <v>1</v>
      </c>
      <c r="CW81" s="18">
        <v>0</v>
      </c>
      <c r="CX81" s="150">
        <v>1</v>
      </c>
      <c r="CY81" s="105">
        <v>55</v>
      </c>
      <c r="CZ81" s="18">
        <v>0</v>
      </c>
      <c r="DA81" s="150">
        <v>17</v>
      </c>
      <c r="DB81" s="444">
        <v>43</v>
      </c>
      <c r="DC81" s="374">
        <v>0</v>
      </c>
      <c r="DD81" s="375">
        <v>0</v>
      </c>
      <c r="DE81" s="105">
        <v>776</v>
      </c>
      <c r="DF81" s="139">
        <v>5</v>
      </c>
      <c r="DG81" s="150">
        <v>5</v>
      </c>
      <c r="DH81" s="87">
        <v>26</v>
      </c>
      <c r="DI81" s="18">
        <v>0</v>
      </c>
      <c r="DJ81" s="317">
        <v>0</v>
      </c>
      <c r="DK81" s="105">
        <v>380</v>
      </c>
      <c r="DL81" s="139">
        <v>25</v>
      </c>
      <c r="DM81" s="150">
        <v>17</v>
      </c>
      <c r="DN81" s="105">
        <v>494</v>
      </c>
      <c r="DO81" s="18">
        <v>0</v>
      </c>
      <c r="DP81" s="150">
        <v>33</v>
      </c>
      <c r="DQ81" s="105">
        <v>455</v>
      </c>
      <c r="DR81" s="139">
        <v>2</v>
      </c>
      <c r="DS81" s="150">
        <v>144</v>
      </c>
      <c r="DT81" s="105">
        <v>82</v>
      </c>
      <c r="DU81" s="18">
        <v>0</v>
      </c>
      <c r="DV81" s="150">
        <v>1</v>
      </c>
      <c r="DW81" s="444">
        <v>1</v>
      </c>
      <c r="DX81" s="374">
        <v>0</v>
      </c>
      <c r="DY81" s="375">
        <v>0</v>
      </c>
      <c r="DZ81" s="105">
        <v>169</v>
      </c>
      <c r="EA81" s="139">
        <v>2</v>
      </c>
      <c r="EB81" s="150">
        <v>28</v>
      </c>
      <c r="EC81" s="105">
        <v>599</v>
      </c>
      <c r="ED81" s="139">
        <v>1</v>
      </c>
      <c r="EE81" s="150">
        <v>44</v>
      </c>
      <c r="EF81" s="105">
        <v>1</v>
      </c>
      <c r="EG81" s="18">
        <v>0</v>
      </c>
      <c r="EH81" s="317">
        <v>0</v>
      </c>
      <c r="EI81" s="87">
        <v>1236</v>
      </c>
      <c r="EJ81" s="139">
        <v>30</v>
      </c>
      <c r="EK81" s="317">
        <v>0</v>
      </c>
      <c r="EL81" s="105">
        <v>113</v>
      </c>
      <c r="EM81" s="18">
        <v>0</v>
      </c>
      <c r="EN81" s="150">
        <v>17</v>
      </c>
      <c r="EO81" s="18">
        <v>0</v>
      </c>
      <c r="EP81" s="18">
        <v>0</v>
      </c>
      <c r="EQ81" s="317">
        <v>0</v>
      </c>
      <c r="ER81" s="83"/>
      <c r="ES81" s="18">
        <v>0</v>
      </c>
      <c r="ET81" s="18">
        <v>0</v>
      </c>
      <c r="EU81" s="317">
        <v>0</v>
      </c>
      <c r="EV81" s="55" t="s">
        <v>1126</v>
      </c>
      <c r="EW81" s="127" t="s">
        <v>1127</v>
      </c>
    </row>
    <row r="82" spans="1:153" ht="12.75">
      <c r="A82" s="93">
        <v>43913</v>
      </c>
      <c r="B82" s="440">
        <f t="shared" ref="B82:D82" si="78">SUM(F82,I82,L82,O82,R82,U82,X82,AD82,AG82,AJ82,AN82,AQ82,AT82,AW82,AZ82,BC82,BF82,BI82,BL82,BO82,BR82,BU82,BX82,CA82,CG82,CJ82,CM82,CP82,CS82,CV82,CY82,DB82,DE82,DH82,DK82,DN82,DQ82,DT82,DW82,DZ82,EC82,EF82,EI82,EL82)</f>
        <v>126694</v>
      </c>
      <c r="C82" s="441">
        <f t="shared" si="78"/>
        <v>5433</v>
      </c>
      <c r="D82" s="442">
        <f t="shared" si="78"/>
        <v>85623</v>
      </c>
      <c r="E82" s="443">
        <f t="shared" si="1"/>
        <v>35638</v>
      </c>
      <c r="F82" s="105">
        <v>562</v>
      </c>
      <c r="G82" s="18">
        <v>0</v>
      </c>
      <c r="H82" s="150">
        <v>19</v>
      </c>
      <c r="I82" s="105">
        <v>235</v>
      </c>
      <c r="J82" s="18">
        <v>0</v>
      </c>
      <c r="K82" s="150">
        <v>2</v>
      </c>
      <c r="L82" s="105">
        <v>40</v>
      </c>
      <c r="M82" s="139">
        <v>1</v>
      </c>
      <c r="N82" s="150">
        <v>1</v>
      </c>
      <c r="O82" s="105">
        <v>72</v>
      </c>
      <c r="P82" s="139">
        <v>1</v>
      </c>
      <c r="Q82" s="150">
        <v>10</v>
      </c>
      <c r="R82" s="105">
        <v>377</v>
      </c>
      <c r="S82" s="139">
        <v>2</v>
      </c>
      <c r="T82" s="150">
        <v>164</v>
      </c>
      <c r="U82" s="105">
        <v>33</v>
      </c>
      <c r="V82" s="139">
        <v>3</v>
      </c>
      <c r="W82" s="150">
        <v>5</v>
      </c>
      <c r="X82" s="444">
        <v>2</v>
      </c>
      <c r="Y82" s="374">
        <v>0</v>
      </c>
      <c r="Z82" s="375">
        <v>0</v>
      </c>
      <c r="AA82" s="447">
        <v>2</v>
      </c>
      <c r="AB82" s="374">
        <v>0</v>
      </c>
      <c r="AC82" s="375">
        <v>0</v>
      </c>
      <c r="AD82" s="444">
        <v>91</v>
      </c>
      <c r="AE82" s="374">
        <v>0</v>
      </c>
      <c r="AF82" s="150">
        <v>2</v>
      </c>
      <c r="AG82" s="105">
        <v>87</v>
      </c>
      <c r="AH82" s="18">
        <v>0</v>
      </c>
      <c r="AI82" s="150">
        <v>2</v>
      </c>
      <c r="AJ82" s="105">
        <v>81496</v>
      </c>
      <c r="AK82" s="139">
        <v>3274</v>
      </c>
      <c r="AL82" s="397">
        <v>72819</v>
      </c>
      <c r="AM82" s="371">
        <f t="shared" si="2"/>
        <v>5403</v>
      </c>
      <c r="AN82" s="105">
        <v>8961</v>
      </c>
      <c r="AO82" s="139">
        <v>111</v>
      </c>
      <c r="AP82" s="150">
        <v>3166</v>
      </c>
      <c r="AQ82" s="105">
        <v>198</v>
      </c>
      <c r="AR82" s="139">
        <v>2</v>
      </c>
      <c r="AS82" s="150">
        <v>41</v>
      </c>
      <c r="AT82" s="105">
        <v>61</v>
      </c>
      <c r="AU82" s="18">
        <v>0</v>
      </c>
      <c r="AV82" s="150">
        <v>8</v>
      </c>
      <c r="AW82" s="105">
        <v>118</v>
      </c>
      <c r="AX82" s="139">
        <v>3</v>
      </c>
      <c r="AY82" s="150">
        <v>60</v>
      </c>
      <c r="AZ82" s="105">
        <v>499</v>
      </c>
      <c r="BA82" s="139">
        <v>10</v>
      </c>
      <c r="BB82" s="150">
        <v>34</v>
      </c>
      <c r="BC82" s="105">
        <v>579</v>
      </c>
      <c r="BD82" s="139">
        <v>49</v>
      </c>
      <c r="BE82" s="138">
        <v>30</v>
      </c>
      <c r="BF82" s="105">
        <v>266</v>
      </c>
      <c r="BG82" s="139">
        <v>23</v>
      </c>
      <c r="BH82" s="150">
        <v>62</v>
      </c>
      <c r="BI82" s="105">
        <v>23049</v>
      </c>
      <c r="BJ82" s="139">
        <v>1812</v>
      </c>
      <c r="BK82" s="150">
        <v>8376</v>
      </c>
      <c r="BL82" s="105">
        <v>1442</v>
      </c>
      <c r="BM82" s="139">
        <v>1</v>
      </c>
      <c r="BN82" s="150">
        <v>41</v>
      </c>
      <c r="BO82" s="105">
        <v>1128</v>
      </c>
      <c r="BP82" s="139">
        <v>42</v>
      </c>
      <c r="BQ82" s="150">
        <v>235</v>
      </c>
      <c r="BR82" s="105">
        <v>127</v>
      </c>
      <c r="BS82" s="18">
        <v>0</v>
      </c>
      <c r="BT82" s="150">
        <v>1</v>
      </c>
      <c r="BU82" s="105">
        <v>62</v>
      </c>
      <c r="BV82" s="18">
        <v>0</v>
      </c>
      <c r="BW82" s="317">
        <v>0</v>
      </c>
      <c r="BX82" s="105">
        <v>16</v>
      </c>
      <c r="BY82" s="18">
        <v>0</v>
      </c>
      <c r="BZ82" s="317">
        <v>0</v>
      </c>
      <c r="CA82" s="105">
        <v>189</v>
      </c>
      <c r="CB82" s="18">
        <v>0</v>
      </c>
      <c r="CC82" s="150">
        <v>30</v>
      </c>
      <c r="CD82" s="392">
        <v>0</v>
      </c>
      <c r="CE82" s="374">
        <v>0</v>
      </c>
      <c r="CF82" s="375">
        <v>0</v>
      </c>
      <c r="CG82" s="105">
        <v>267</v>
      </c>
      <c r="CH82" s="139">
        <v>4</v>
      </c>
      <c r="CI82" s="150">
        <v>8</v>
      </c>
      <c r="CJ82" s="105">
        <v>42</v>
      </c>
      <c r="CK82" s="18">
        <v>0</v>
      </c>
      <c r="CL82" s="150">
        <v>10</v>
      </c>
      <c r="CM82" s="105">
        <v>1518</v>
      </c>
      <c r="CN82" s="139">
        <v>14</v>
      </c>
      <c r="CO82" s="150">
        <v>159</v>
      </c>
      <c r="CP82" s="444">
        <v>13</v>
      </c>
      <c r="CQ82" s="374">
        <v>0</v>
      </c>
      <c r="CR82" s="150">
        <v>5</v>
      </c>
      <c r="CS82" s="105">
        <v>10</v>
      </c>
      <c r="CT82" s="18">
        <v>0</v>
      </c>
      <c r="CU82" s="317">
        <v>0</v>
      </c>
      <c r="CV82" s="105">
        <v>2</v>
      </c>
      <c r="CW82" s="18">
        <v>0</v>
      </c>
      <c r="CX82" s="150">
        <v>1</v>
      </c>
      <c r="CY82" s="105">
        <v>66</v>
      </c>
      <c r="CZ82" s="18">
        <v>0</v>
      </c>
      <c r="DA82" s="150">
        <v>17</v>
      </c>
      <c r="DB82" s="444">
        <v>46</v>
      </c>
      <c r="DC82" s="374">
        <v>0</v>
      </c>
      <c r="DD82" s="375">
        <v>0</v>
      </c>
      <c r="DE82" s="105">
        <v>875</v>
      </c>
      <c r="DF82" s="139">
        <v>6</v>
      </c>
      <c r="DG82" s="150">
        <v>13</v>
      </c>
      <c r="DH82" s="87">
        <v>26</v>
      </c>
      <c r="DI82" s="18">
        <v>0</v>
      </c>
      <c r="DJ82" s="317">
        <v>0</v>
      </c>
      <c r="DK82" s="105">
        <v>462</v>
      </c>
      <c r="DL82" s="139">
        <v>33</v>
      </c>
      <c r="DM82" s="150">
        <v>18</v>
      </c>
      <c r="DN82" s="105">
        <v>501</v>
      </c>
      <c r="DO82" s="18">
        <v>0</v>
      </c>
      <c r="DP82" s="150">
        <v>33</v>
      </c>
      <c r="DQ82" s="105">
        <v>509</v>
      </c>
      <c r="DR82" s="139">
        <v>2</v>
      </c>
      <c r="DS82" s="150">
        <v>152</v>
      </c>
      <c r="DT82" s="105">
        <v>97</v>
      </c>
      <c r="DU82" s="18">
        <v>0</v>
      </c>
      <c r="DV82" s="150">
        <v>2</v>
      </c>
      <c r="DW82" s="444">
        <v>1</v>
      </c>
      <c r="DX82" s="374">
        <v>0</v>
      </c>
      <c r="DY82" s="375">
        <v>0</v>
      </c>
      <c r="DZ82" s="105">
        <v>195</v>
      </c>
      <c r="EA82" s="139">
        <v>2</v>
      </c>
      <c r="EB82" s="150">
        <v>28</v>
      </c>
      <c r="EC82" s="105">
        <v>721</v>
      </c>
      <c r="ED82" s="139">
        <v>1</v>
      </c>
      <c r="EE82" s="150">
        <v>52</v>
      </c>
      <c r="EF82" s="105">
        <v>1</v>
      </c>
      <c r="EG82" s="18">
        <v>0</v>
      </c>
      <c r="EH82" s="317">
        <v>0</v>
      </c>
      <c r="EI82" s="87">
        <v>1529</v>
      </c>
      <c r="EJ82" s="139">
        <v>37</v>
      </c>
      <c r="EK82" s="317">
        <v>0</v>
      </c>
      <c r="EL82" s="105">
        <v>123</v>
      </c>
      <c r="EM82" s="18">
        <v>0</v>
      </c>
      <c r="EN82" s="150">
        <v>17</v>
      </c>
      <c r="EO82" s="18">
        <v>0</v>
      </c>
      <c r="EP82" s="18">
        <v>0</v>
      </c>
      <c r="EQ82" s="317">
        <v>0</v>
      </c>
      <c r="ER82" s="83"/>
      <c r="ES82" s="18">
        <v>0</v>
      </c>
      <c r="ET82" s="18">
        <v>0</v>
      </c>
      <c r="EU82" s="317">
        <v>0</v>
      </c>
      <c r="EV82" s="351" t="s">
        <v>1128</v>
      </c>
      <c r="EW82" s="77" t="s">
        <v>1129</v>
      </c>
    </row>
    <row r="83" spans="1:153" ht="12.75">
      <c r="A83" s="93">
        <v>43914</v>
      </c>
      <c r="B83" s="440">
        <f t="shared" ref="B83:D83" si="79">SUM(F83,I83,L83,O83,R83,U83,X83,AD83,AG83,AJ83,AN83,AQ83,AT83,AW83,AZ83,BC83,BF83,BI83,BL83,BO83,BR83,BU83,BX83,CA83,CD83,CG83,CJ83,CM83,CP83,CS83,CV83,CY83,DB83,DE83,DH83,DK83,DN83,DQ83,DT83,DW83,DZ83,EC83,EF83,EI83,EL83)</f>
        <v>130387</v>
      </c>
      <c r="C83" s="441">
        <f t="shared" si="79"/>
        <v>5602</v>
      </c>
      <c r="D83" s="442">
        <f t="shared" si="79"/>
        <v>87126</v>
      </c>
      <c r="E83" s="443">
        <f t="shared" si="1"/>
        <v>37659</v>
      </c>
      <c r="F83" s="105">
        <v>767</v>
      </c>
      <c r="G83" s="139">
        <v>1</v>
      </c>
      <c r="H83" s="150">
        <v>28</v>
      </c>
      <c r="I83" s="105">
        <v>249</v>
      </c>
      <c r="J83" s="18">
        <v>0</v>
      </c>
      <c r="K83" s="150">
        <v>4</v>
      </c>
      <c r="L83" s="105">
        <v>74</v>
      </c>
      <c r="M83" s="139">
        <v>1</v>
      </c>
      <c r="N83" s="150">
        <v>1</v>
      </c>
      <c r="O83" s="105">
        <v>87</v>
      </c>
      <c r="P83" s="139">
        <v>1</v>
      </c>
      <c r="Q83" s="150">
        <v>10</v>
      </c>
      <c r="R83" s="105">
        <v>392</v>
      </c>
      <c r="S83" s="139">
        <v>3</v>
      </c>
      <c r="T83" s="150">
        <v>177</v>
      </c>
      <c r="U83" s="105">
        <v>39</v>
      </c>
      <c r="V83" s="139">
        <v>4</v>
      </c>
      <c r="W83" s="150">
        <v>5</v>
      </c>
      <c r="X83" s="444">
        <v>2</v>
      </c>
      <c r="Y83" s="374">
        <v>0</v>
      </c>
      <c r="Z83" s="375">
        <v>0</v>
      </c>
      <c r="AA83" s="447">
        <v>3</v>
      </c>
      <c r="AB83" s="374">
        <v>0</v>
      </c>
      <c r="AC83" s="375">
        <v>0</v>
      </c>
      <c r="AD83" s="444">
        <v>104</v>
      </c>
      <c r="AE83" s="374">
        <v>0</v>
      </c>
      <c r="AF83" s="150">
        <v>2</v>
      </c>
      <c r="AG83" s="105">
        <v>91</v>
      </c>
      <c r="AH83" s="18">
        <v>0</v>
      </c>
      <c r="AI83" s="150">
        <v>4</v>
      </c>
      <c r="AJ83" s="105">
        <v>81591</v>
      </c>
      <c r="AK83" s="139">
        <v>3281</v>
      </c>
      <c r="AL83" s="397">
        <v>73280</v>
      </c>
      <c r="AM83" s="371">
        <f t="shared" si="2"/>
        <v>5030</v>
      </c>
      <c r="AN83" s="105">
        <v>9037</v>
      </c>
      <c r="AO83" s="139">
        <v>120</v>
      </c>
      <c r="AP83" s="150">
        <v>3507</v>
      </c>
      <c r="AQ83" s="105">
        <v>248</v>
      </c>
      <c r="AR83" s="139">
        <v>2</v>
      </c>
      <c r="AS83" s="150">
        <v>45</v>
      </c>
      <c r="AT83" s="105">
        <v>70</v>
      </c>
      <c r="AU83" s="18">
        <v>0</v>
      </c>
      <c r="AV83" s="150">
        <v>9</v>
      </c>
      <c r="AW83" s="105">
        <v>118</v>
      </c>
      <c r="AX83" s="139">
        <v>3</v>
      </c>
      <c r="AY83" s="150">
        <v>60</v>
      </c>
      <c r="AZ83" s="105">
        <v>536</v>
      </c>
      <c r="BA83" s="139">
        <v>10</v>
      </c>
      <c r="BB83" s="150">
        <v>40</v>
      </c>
      <c r="BC83" s="105">
        <v>686</v>
      </c>
      <c r="BD83" s="139">
        <v>55</v>
      </c>
      <c r="BE83" s="138">
        <v>30</v>
      </c>
      <c r="BF83" s="105">
        <v>316</v>
      </c>
      <c r="BG83" s="139">
        <v>27</v>
      </c>
      <c r="BH83" s="150">
        <v>75</v>
      </c>
      <c r="BI83" s="105">
        <v>24811</v>
      </c>
      <c r="BJ83" s="139">
        <v>1934</v>
      </c>
      <c r="BK83" s="150">
        <v>8913</v>
      </c>
      <c r="BL83" s="105">
        <v>1930</v>
      </c>
      <c r="BM83" s="139">
        <v>3</v>
      </c>
      <c r="BN83" s="150">
        <v>53</v>
      </c>
      <c r="BO83" s="105">
        <v>1193</v>
      </c>
      <c r="BP83" s="139">
        <v>43</v>
      </c>
      <c r="BQ83" s="150">
        <v>285</v>
      </c>
      <c r="BR83" s="105">
        <v>153</v>
      </c>
      <c r="BS83" s="18">
        <v>0</v>
      </c>
      <c r="BT83" s="150">
        <v>1</v>
      </c>
      <c r="BU83" s="105">
        <v>72</v>
      </c>
      <c r="BV83" s="18">
        <v>0</v>
      </c>
      <c r="BW83" s="317">
        <v>0</v>
      </c>
      <c r="BX83" s="105">
        <v>42</v>
      </c>
      <c r="BY83" s="18">
        <v>0</v>
      </c>
      <c r="BZ83" s="317">
        <v>0</v>
      </c>
      <c r="CA83" s="105">
        <v>191</v>
      </c>
      <c r="CB83" s="18">
        <v>0</v>
      </c>
      <c r="CC83" s="150">
        <v>39</v>
      </c>
      <c r="CD83" s="446">
        <v>2</v>
      </c>
      <c r="CE83" s="387">
        <v>0</v>
      </c>
      <c r="CF83" s="388">
        <v>0</v>
      </c>
      <c r="CG83" s="105">
        <v>318</v>
      </c>
      <c r="CH83" s="139">
        <v>4</v>
      </c>
      <c r="CI83" s="150">
        <v>8</v>
      </c>
      <c r="CJ83" s="105">
        <v>42</v>
      </c>
      <c r="CK83" s="18">
        <v>0</v>
      </c>
      <c r="CL83" s="150">
        <v>10</v>
      </c>
      <c r="CM83" s="105">
        <v>1624</v>
      </c>
      <c r="CN83" s="139">
        <v>16</v>
      </c>
      <c r="CO83" s="150">
        <v>183</v>
      </c>
      <c r="CP83" s="444">
        <v>13</v>
      </c>
      <c r="CQ83" s="374">
        <v>0</v>
      </c>
      <c r="CR83" s="150">
        <v>5</v>
      </c>
      <c r="CS83" s="105">
        <v>10</v>
      </c>
      <c r="CT83" s="18">
        <v>0</v>
      </c>
      <c r="CU83" s="317">
        <v>0</v>
      </c>
      <c r="CV83" s="105">
        <v>2</v>
      </c>
      <c r="CW83" s="18">
        <v>0</v>
      </c>
      <c r="CX83" s="150">
        <v>1</v>
      </c>
      <c r="CY83" s="105">
        <v>84</v>
      </c>
      <c r="CZ83" s="18">
        <v>0</v>
      </c>
      <c r="DA83" s="150">
        <v>17</v>
      </c>
      <c r="DB83" s="444">
        <v>50</v>
      </c>
      <c r="DC83" s="374">
        <v>0</v>
      </c>
      <c r="DD83" s="375">
        <v>0</v>
      </c>
      <c r="DE83" s="105">
        <v>972</v>
      </c>
      <c r="DF83" s="139">
        <v>7</v>
      </c>
      <c r="DG83" s="150">
        <v>18</v>
      </c>
      <c r="DH83" s="87">
        <v>26</v>
      </c>
      <c r="DI83" s="18">
        <v>0</v>
      </c>
      <c r="DJ83" s="317">
        <v>0</v>
      </c>
      <c r="DK83" s="105">
        <v>552</v>
      </c>
      <c r="DL83" s="139">
        <v>35</v>
      </c>
      <c r="DM83" s="150">
        <v>20</v>
      </c>
      <c r="DN83" s="105">
        <v>526</v>
      </c>
      <c r="DO83" s="18">
        <v>0</v>
      </c>
      <c r="DP83" s="150">
        <v>41</v>
      </c>
      <c r="DQ83" s="105">
        <v>558</v>
      </c>
      <c r="DR83" s="139">
        <v>2</v>
      </c>
      <c r="DS83" s="150">
        <v>156</v>
      </c>
      <c r="DT83" s="105">
        <v>102</v>
      </c>
      <c r="DU83" s="18">
        <v>0</v>
      </c>
      <c r="DV83" s="150">
        <v>2</v>
      </c>
      <c r="DW83" s="444">
        <v>1</v>
      </c>
      <c r="DX83" s="374">
        <v>0</v>
      </c>
      <c r="DY83" s="375">
        <v>0</v>
      </c>
      <c r="DZ83" s="105">
        <v>215</v>
      </c>
      <c r="EA83" s="139">
        <v>2</v>
      </c>
      <c r="EB83" s="150">
        <v>28</v>
      </c>
      <c r="EC83" s="105">
        <v>827</v>
      </c>
      <c r="ED83" s="139">
        <v>4</v>
      </c>
      <c r="EE83" s="150">
        <v>52</v>
      </c>
      <c r="EF83" s="105">
        <v>1</v>
      </c>
      <c r="EG83" s="18">
        <v>0</v>
      </c>
      <c r="EH83" s="317">
        <v>0</v>
      </c>
      <c r="EI83" s="87">
        <v>1529</v>
      </c>
      <c r="EJ83" s="139">
        <v>44</v>
      </c>
      <c r="EK83" s="317">
        <v>0</v>
      </c>
      <c r="EL83" s="105">
        <v>134</v>
      </c>
      <c r="EM83" s="18">
        <v>0</v>
      </c>
      <c r="EN83" s="150">
        <v>17</v>
      </c>
      <c r="EO83" s="18">
        <v>0</v>
      </c>
      <c r="EP83" s="18">
        <v>0</v>
      </c>
      <c r="EQ83" s="317">
        <v>0</v>
      </c>
      <c r="ER83" s="83"/>
      <c r="ES83" s="18">
        <v>0</v>
      </c>
      <c r="ET83" s="18">
        <v>0</v>
      </c>
      <c r="EU83" s="317">
        <v>0</v>
      </c>
      <c r="EV83" s="351" t="s">
        <v>1130</v>
      </c>
      <c r="EW83" s="127" t="s">
        <v>1131</v>
      </c>
    </row>
    <row r="84" spans="1:153" ht="12.75">
      <c r="A84" s="93">
        <v>43915</v>
      </c>
      <c r="B84" s="440">
        <f t="shared" ref="B84:D84" si="80">SUM(F84,I84,L84,O84,R84,U84,X84,AD84,AG84,AJ84,AN84,AQ84,AT84,AW84,AZ84,BC84,BF84,BI84,BL84,BO84,BR84,BU84,BX84,CA84,CD84,CG84,CJ84,CM84,CP84,CS84,CV84,CY84,DB84,DE84,DH84,DK84,DN84,DQ84,DT84,DW84,DZ84,EC84,EF84,EI84,EL84)</f>
        <v>135412</v>
      </c>
      <c r="C84" s="441">
        <f t="shared" si="80"/>
        <v>5796</v>
      </c>
      <c r="D84" s="442">
        <f t="shared" si="80"/>
        <v>88740</v>
      </c>
      <c r="E84" s="443">
        <f t="shared" si="1"/>
        <v>40876</v>
      </c>
      <c r="F84" s="105">
        <v>900</v>
      </c>
      <c r="G84" s="139">
        <v>2</v>
      </c>
      <c r="H84" s="150">
        <v>29</v>
      </c>
      <c r="I84" s="105">
        <v>265</v>
      </c>
      <c r="J84" s="18">
        <v>0</v>
      </c>
      <c r="K84" s="150">
        <v>16</v>
      </c>
      <c r="L84" s="105">
        <v>84</v>
      </c>
      <c r="M84" s="139">
        <v>2</v>
      </c>
      <c r="N84" s="150">
        <v>2</v>
      </c>
      <c r="O84" s="105">
        <v>93</v>
      </c>
      <c r="P84" s="139">
        <v>2</v>
      </c>
      <c r="Q84" s="150">
        <v>10</v>
      </c>
      <c r="R84" s="105">
        <v>419</v>
      </c>
      <c r="S84" s="139">
        <v>4</v>
      </c>
      <c r="T84" s="150">
        <v>177</v>
      </c>
      <c r="U84" s="105">
        <v>39</v>
      </c>
      <c r="V84" s="139">
        <v>5</v>
      </c>
      <c r="W84" s="150">
        <v>7</v>
      </c>
      <c r="X84" s="444">
        <v>2</v>
      </c>
      <c r="Y84" s="374">
        <v>0</v>
      </c>
      <c r="Z84" s="375">
        <v>0</v>
      </c>
      <c r="AA84" s="447">
        <v>3</v>
      </c>
      <c r="AB84" s="374">
        <v>0</v>
      </c>
      <c r="AC84" s="375">
        <v>0</v>
      </c>
      <c r="AD84" s="444">
        <v>109</v>
      </c>
      <c r="AE84" s="374">
        <v>0</v>
      </c>
      <c r="AF84" s="150">
        <v>2</v>
      </c>
      <c r="AG84" s="105">
        <v>96</v>
      </c>
      <c r="AH84" s="18">
        <v>0</v>
      </c>
      <c r="AI84" s="150">
        <v>10</v>
      </c>
      <c r="AJ84" s="105">
        <v>81661</v>
      </c>
      <c r="AK84" s="139">
        <v>3285</v>
      </c>
      <c r="AL84" s="397">
        <v>73773</v>
      </c>
      <c r="AM84" s="371">
        <f t="shared" si="2"/>
        <v>4603</v>
      </c>
      <c r="AN84" s="105">
        <v>9137</v>
      </c>
      <c r="AO84" s="139">
        <v>126</v>
      </c>
      <c r="AP84" s="150">
        <v>3730</v>
      </c>
      <c r="AQ84" s="105">
        <v>333</v>
      </c>
      <c r="AR84" s="139">
        <v>2</v>
      </c>
      <c r="AS84" s="150">
        <v>52</v>
      </c>
      <c r="AT84" s="105">
        <v>75</v>
      </c>
      <c r="AU84" s="18">
        <v>0</v>
      </c>
      <c r="AV84" s="150">
        <v>10</v>
      </c>
      <c r="AW84" s="105">
        <v>118</v>
      </c>
      <c r="AX84" s="139">
        <v>3</v>
      </c>
      <c r="AY84" s="150">
        <v>60</v>
      </c>
      <c r="AZ84" s="105">
        <v>657</v>
      </c>
      <c r="BA84" s="139">
        <v>12</v>
      </c>
      <c r="BB84" s="150">
        <v>43</v>
      </c>
      <c r="BC84" s="105">
        <v>790</v>
      </c>
      <c r="BD84" s="139">
        <v>58</v>
      </c>
      <c r="BE84" s="138">
        <v>31</v>
      </c>
      <c r="BF84" s="105">
        <v>346</v>
      </c>
      <c r="BG84" s="139">
        <v>29</v>
      </c>
      <c r="BH84" s="150">
        <v>103</v>
      </c>
      <c r="BI84" s="105">
        <v>27017</v>
      </c>
      <c r="BJ84" s="139">
        <v>2077</v>
      </c>
      <c r="BK84" s="150">
        <v>9625</v>
      </c>
      <c r="BL84" s="105">
        <v>2369</v>
      </c>
      <c r="BM84" s="139">
        <v>5</v>
      </c>
      <c r="BN84" s="150">
        <v>58</v>
      </c>
      <c r="BO84" s="105">
        <v>1307</v>
      </c>
      <c r="BP84" s="139">
        <v>45</v>
      </c>
      <c r="BQ84" s="150">
        <v>310</v>
      </c>
      <c r="BR84" s="105">
        <v>172</v>
      </c>
      <c r="BS84" s="18">
        <v>0</v>
      </c>
      <c r="BT84" s="150">
        <v>1</v>
      </c>
      <c r="BU84" s="105">
        <v>81</v>
      </c>
      <c r="BV84" s="18">
        <v>0</v>
      </c>
      <c r="BW84" s="317">
        <v>0</v>
      </c>
      <c r="BX84" s="105">
        <v>44</v>
      </c>
      <c r="BY84" s="18">
        <v>0</v>
      </c>
      <c r="BZ84" s="317">
        <v>0</v>
      </c>
      <c r="CA84" s="105">
        <v>195</v>
      </c>
      <c r="CB84" s="18">
        <v>0</v>
      </c>
      <c r="CC84" s="150">
        <v>43</v>
      </c>
      <c r="CD84" s="444">
        <v>3</v>
      </c>
      <c r="CE84" s="374">
        <v>0</v>
      </c>
      <c r="CF84" s="375">
        <v>0</v>
      </c>
      <c r="CG84" s="105">
        <v>333</v>
      </c>
      <c r="CH84" s="139">
        <v>6</v>
      </c>
      <c r="CI84" s="150">
        <v>20</v>
      </c>
      <c r="CJ84" s="105">
        <v>42</v>
      </c>
      <c r="CK84" s="18">
        <v>0</v>
      </c>
      <c r="CL84" s="150">
        <v>10</v>
      </c>
      <c r="CM84" s="105">
        <v>1796</v>
      </c>
      <c r="CN84" s="139">
        <v>20</v>
      </c>
      <c r="CO84" s="150">
        <v>199</v>
      </c>
      <c r="CP84" s="444">
        <v>13</v>
      </c>
      <c r="CQ84" s="374">
        <v>0</v>
      </c>
      <c r="CR84" s="150">
        <v>8</v>
      </c>
      <c r="CS84" s="105">
        <v>10</v>
      </c>
      <c r="CT84" s="18">
        <v>0</v>
      </c>
      <c r="CU84" s="317">
        <v>0</v>
      </c>
      <c r="CV84" s="105">
        <v>3</v>
      </c>
      <c r="CW84" s="18">
        <v>0</v>
      </c>
      <c r="CX84" s="150">
        <v>1</v>
      </c>
      <c r="CY84" s="105">
        <v>99</v>
      </c>
      <c r="CZ84" s="18">
        <v>0</v>
      </c>
      <c r="DA84" s="150">
        <v>17</v>
      </c>
      <c r="DB84" s="444">
        <v>60</v>
      </c>
      <c r="DC84" s="374">
        <v>0</v>
      </c>
      <c r="DD84" s="375">
        <v>0</v>
      </c>
      <c r="DE84" s="105">
        <v>1063</v>
      </c>
      <c r="DF84" s="139">
        <v>8</v>
      </c>
      <c r="DG84" s="150">
        <v>21</v>
      </c>
      <c r="DH84" s="87">
        <v>26</v>
      </c>
      <c r="DI84" s="18">
        <v>0</v>
      </c>
      <c r="DJ84" s="317">
        <v>0</v>
      </c>
      <c r="DK84" s="105">
        <v>636</v>
      </c>
      <c r="DL84" s="139">
        <v>38</v>
      </c>
      <c r="DM84" s="150">
        <v>26</v>
      </c>
      <c r="DN84" s="105">
        <v>537</v>
      </c>
      <c r="DO84" s="18">
        <v>0</v>
      </c>
      <c r="DP84" s="150">
        <v>41</v>
      </c>
      <c r="DQ84" s="105">
        <v>631</v>
      </c>
      <c r="DR84" s="139">
        <v>2</v>
      </c>
      <c r="DS84" s="150">
        <v>160</v>
      </c>
      <c r="DT84" s="105">
        <v>102</v>
      </c>
      <c r="DU84" s="18">
        <v>0</v>
      </c>
      <c r="DV84" s="150">
        <v>3</v>
      </c>
      <c r="DW84" s="444">
        <v>5</v>
      </c>
      <c r="DX84" s="374">
        <v>0</v>
      </c>
      <c r="DY84" s="375">
        <v>0</v>
      </c>
      <c r="DZ84" s="105">
        <v>235</v>
      </c>
      <c r="EA84" s="139">
        <v>2</v>
      </c>
      <c r="EB84" s="150">
        <v>29</v>
      </c>
      <c r="EC84" s="105">
        <v>934</v>
      </c>
      <c r="ED84" s="139">
        <v>4</v>
      </c>
      <c r="EE84" s="150">
        <v>70</v>
      </c>
      <c r="EF84" s="105">
        <v>1</v>
      </c>
      <c r="EG84" s="18">
        <v>0</v>
      </c>
      <c r="EH84" s="317">
        <v>0</v>
      </c>
      <c r="EI84" s="87">
        <v>2433</v>
      </c>
      <c r="EJ84" s="139">
        <v>59</v>
      </c>
      <c r="EK84" s="150">
        <v>26</v>
      </c>
      <c r="EL84" s="105">
        <v>141</v>
      </c>
      <c r="EM84" s="18">
        <v>0</v>
      </c>
      <c r="EN84" s="150">
        <v>17</v>
      </c>
      <c r="EO84" s="18">
        <v>0</v>
      </c>
      <c r="EP84" s="18">
        <v>0</v>
      </c>
      <c r="EQ84" s="317">
        <v>0</v>
      </c>
      <c r="ER84" s="83"/>
      <c r="ES84" s="105">
        <v>84</v>
      </c>
      <c r="ET84" s="139">
        <v>1</v>
      </c>
      <c r="EU84" s="150">
        <v>17</v>
      </c>
      <c r="EV84" s="351" t="s">
        <v>1132</v>
      </c>
      <c r="EW84" s="77" t="s">
        <v>1133</v>
      </c>
    </row>
    <row r="85" spans="1:153" ht="12.75">
      <c r="A85" s="93">
        <v>43916</v>
      </c>
      <c r="B85" s="440">
        <f t="shared" ref="B85:D85" si="81">SUM(F85,I85,L85,O85,R85,U85,X85,AD85,AG85,AJ85,AN85,AQ85,AT85,AW85,AZ85,BC85,BF85,BI85,BL85,BO85,BR85,BU85,BX85,CA85,CD85,CG85,CJ85,CM85,CP85,CS85,CV85,CY85,DB85,DE85,DH85,DK85,DN85,DQ85,DT85,DW85,DZ85,EC85,EF85,EI85,EL85,ES85,)</f>
        <v>140932</v>
      </c>
      <c r="C85" s="441">
        <f t="shared" si="81"/>
        <v>6034</v>
      </c>
      <c r="D85" s="442">
        <f t="shared" si="81"/>
        <v>90598</v>
      </c>
      <c r="E85" s="443">
        <f t="shared" si="1"/>
        <v>44300</v>
      </c>
      <c r="F85" s="105">
        <v>1012</v>
      </c>
      <c r="G85" s="139">
        <v>3</v>
      </c>
      <c r="H85" s="150">
        <v>33</v>
      </c>
      <c r="I85" s="105">
        <v>290</v>
      </c>
      <c r="J85" s="139">
        <v>1</v>
      </c>
      <c r="K85" s="150">
        <v>18</v>
      </c>
      <c r="L85" s="105">
        <v>94</v>
      </c>
      <c r="M85" s="139">
        <v>4</v>
      </c>
      <c r="N85" s="150">
        <v>2</v>
      </c>
      <c r="O85" s="105">
        <v>122</v>
      </c>
      <c r="P85" s="139">
        <v>3</v>
      </c>
      <c r="Q85" s="150">
        <v>15</v>
      </c>
      <c r="R85" s="105">
        <v>458</v>
      </c>
      <c r="S85" s="139">
        <v>4</v>
      </c>
      <c r="T85" s="150">
        <v>204</v>
      </c>
      <c r="U85" s="105">
        <v>44</v>
      </c>
      <c r="V85" s="139">
        <v>5</v>
      </c>
      <c r="W85" s="150">
        <v>11</v>
      </c>
      <c r="X85" s="444">
        <v>2</v>
      </c>
      <c r="Y85" s="374">
        <v>0</v>
      </c>
      <c r="Z85" s="375">
        <v>0</v>
      </c>
      <c r="AA85" s="447">
        <v>5</v>
      </c>
      <c r="AB85" s="374">
        <v>0</v>
      </c>
      <c r="AC85" s="375">
        <v>0</v>
      </c>
      <c r="AD85" s="444">
        <v>114</v>
      </c>
      <c r="AE85" s="374">
        <v>0</v>
      </c>
      <c r="AF85" s="150">
        <v>5</v>
      </c>
      <c r="AG85" s="105">
        <v>96</v>
      </c>
      <c r="AH85" s="18">
        <v>0</v>
      </c>
      <c r="AI85" s="150">
        <v>10</v>
      </c>
      <c r="AJ85" s="105">
        <v>81782</v>
      </c>
      <c r="AK85" s="139">
        <v>3291</v>
      </c>
      <c r="AL85" s="397">
        <v>74181</v>
      </c>
      <c r="AM85" s="371">
        <f t="shared" si="2"/>
        <v>4310</v>
      </c>
      <c r="AN85" s="105">
        <v>9241</v>
      </c>
      <c r="AO85" s="139">
        <v>131</v>
      </c>
      <c r="AP85" s="150">
        <v>4144</v>
      </c>
      <c r="AQ85" s="105">
        <v>333</v>
      </c>
      <c r="AR85" s="139">
        <v>2</v>
      </c>
      <c r="AS85" s="150">
        <v>52</v>
      </c>
      <c r="AT85" s="105">
        <v>79</v>
      </c>
      <c r="AU85" s="18">
        <v>0</v>
      </c>
      <c r="AV85" s="150">
        <v>11</v>
      </c>
      <c r="AW85" s="105">
        <v>118</v>
      </c>
      <c r="AX85" s="139">
        <v>3</v>
      </c>
      <c r="AY85" s="150">
        <v>60</v>
      </c>
      <c r="AZ85" s="105">
        <v>722</v>
      </c>
      <c r="BA85" s="139">
        <v>16</v>
      </c>
      <c r="BB85" s="150">
        <v>45</v>
      </c>
      <c r="BC85" s="105">
        <v>893</v>
      </c>
      <c r="BD85" s="139">
        <v>78</v>
      </c>
      <c r="BE85" s="138">
        <v>35</v>
      </c>
      <c r="BF85" s="105">
        <v>382</v>
      </c>
      <c r="BG85" s="139">
        <v>36</v>
      </c>
      <c r="BH85" s="150">
        <v>105</v>
      </c>
      <c r="BI85" s="105">
        <v>29406</v>
      </c>
      <c r="BJ85" s="139">
        <v>2234</v>
      </c>
      <c r="BK85" s="150">
        <v>10457</v>
      </c>
      <c r="BL85" s="105">
        <v>2693</v>
      </c>
      <c r="BM85" s="139">
        <v>8</v>
      </c>
      <c r="BN85" s="150">
        <v>68</v>
      </c>
      <c r="BO85" s="105">
        <v>1399</v>
      </c>
      <c r="BP85" s="139">
        <v>47</v>
      </c>
      <c r="BQ85" s="150">
        <v>359</v>
      </c>
      <c r="BR85" s="105">
        <v>212</v>
      </c>
      <c r="BS85" s="18">
        <v>0</v>
      </c>
      <c r="BT85" s="150">
        <v>1</v>
      </c>
      <c r="BU85" s="105">
        <v>111</v>
      </c>
      <c r="BV85" s="139">
        <v>1</v>
      </c>
      <c r="BW85" s="150">
        <v>2</v>
      </c>
      <c r="BX85" s="105">
        <v>44</v>
      </c>
      <c r="BY85" s="18">
        <v>0</v>
      </c>
      <c r="BZ85" s="317">
        <v>0</v>
      </c>
      <c r="CA85" s="105">
        <v>208</v>
      </c>
      <c r="CB85" s="18">
        <v>0</v>
      </c>
      <c r="CC85" s="150">
        <v>49</v>
      </c>
      <c r="CD85" s="444">
        <v>6</v>
      </c>
      <c r="CE85" s="374">
        <v>0</v>
      </c>
      <c r="CF85" s="375">
        <v>0</v>
      </c>
      <c r="CG85" s="105">
        <v>368</v>
      </c>
      <c r="CH85" s="139">
        <v>6</v>
      </c>
      <c r="CI85" s="150">
        <v>23</v>
      </c>
      <c r="CJ85" s="105">
        <v>42</v>
      </c>
      <c r="CK85" s="18">
        <v>0</v>
      </c>
      <c r="CL85" s="150">
        <v>10</v>
      </c>
      <c r="CM85" s="105">
        <v>2031</v>
      </c>
      <c r="CN85" s="139">
        <v>23</v>
      </c>
      <c r="CO85" s="150">
        <v>215</v>
      </c>
      <c r="CP85" s="444">
        <v>13</v>
      </c>
      <c r="CQ85" s="374">
        <v>0</v>
      </c>
      <c r="CR85" s="150">
        <v>8</v>
      </c>
      <c r="CS85" s="105">
        <v>11</v>
      </c>
      <c r="CT85" s="18">
        <v>0</v>
      </c>
      <c r="CU85" s="317">
        <v>0</v>
      </c>
      <c r="CV85" s="105">
        <v>3</v>
      </c>
      <c r="CW85" s="18">
        <v>0</v>
      </c>
      <c r="CX85" s="150">
        <v>1</v>
      </c>
      <c r="CY85" s="105">
        <v>109</v>
      </c>
      <c r="CZ85" s="18">
        <v>0</v>
      </c>
      <c r="DA85" s="150">
        <v>23</v>
      </c>
      <c r="DB85" s="444">
        <v>75</v>
      </c>
      <c r="DC85" s="374">
        <v>0</v>
      </c>
      <c r="DD85" s="375">
        <v>0</v>
      </c>
      <c r="DE85" s="105">
        <v>1179</v>
      </c>
      <c r="DF85" s="139">
        <v>9</v>
      </c>
      <c r="DG85" s="150">
        <v>21</v>
      </c>
      <c r="DH85" s="87">
        <v>26</v>
      </c>
      <c r="DI85" s="18">
        <v>0</v>
      </c>
      <c r="DJ85" s="317">
        <v>0</v>
      </c>
      <c r="DK85" s="105">
        <v>707</v>
      </c>
      <c r="DL85" s="139">
        <v>45</v>
      </c>
      <c r="DM85" s="150">
        <v>28</v>
      </c>
      <c r="DN85" s="105">
        <v>549</v>
      </c>
      <c r="DO85" s="18">
        <v>0</v>
      </c>
      <c r="DP85" s="150">
        <v>43</v>
      </c>
      <c r="DQ85" s="105">
        <v>683</v>
      </c>
      <c r="DR85" s="139">
        <v>2</v>
      </c>
      <c r="DS85" s="150">
        <v>172</v>
      </c>
      <c r="DT85" s="105">
        <v>106</v>
      </c>
      <c r="DU85" s="18">
        <v>0</v>
      </c>
      <c r="DV85" s="150">
        <v>7</v>
      </c>
      <c r="DW85" s="444">
        <v>5</v>
      </c>
      <c r="DX85" s="374">
        <v>0</v>
      </c>
      <c r="DY85" s="375">
        <v>0</v>
      </c>
      <c r="DZ85" s="105">
        <v>252</v>
      </c>
      <c r="EA85" s="139">
        <v>2</v>
      </c>
      <c r="EB85" s="150">
        <v>29</v>
      </c>
      <c r="EC85" s="105">
        <v>1045</v>
      </c>
      <c r="ED85" s="139">
        <v>4</v>
      </c>
      <c r="EE85" s="150">
        <v>88</v>
      </c>
      <c r="EF85" s="105">
        <v>1</v>
      </c>
      <c r="EG85" s="18">
        <v>0</v>
      </c>
      <c r="EH85" s="317">
        <v>0</v>
      </c>
      <c r="EI85" s="87">
        <v>3629</v>
      </c>
      <c r="EJ85" s="139">
        <v>75</v>
      </c>
      <c r="EK85" s="150">
        <v>26</v>
      </c>
      <c r="EL85" s="105">
        <v>153</v>
      </c>
      <c r="EM85" s="18">
        <v>0</v>
      </c>
      <c r="EN85" s="150">
        <v>20</v>
      </c>
      <c r="EO85" s="18">
        <v>0</v>
      </c>
      <c r="EP85" s="18">
        <v>0</v>
      </c>
      <c r="EQ85" s="317">
        <v>0</v>
      </c>
      <c r="ER85" s="83"/>
      <c r="ES85" s="105">
        <v>84</v>
      </c>
      <c r="ET85" s="139">
        <v>1</v>
      </c>
      <c r="EU85" s="150">
        <v>17</v>
      </c>
      <c r="EV85" s="351" t="s">
        <v>1134</v>
      </c>
      <c r="EW85" s="127" t="s">
        <v>1135</v>
      </c>
    </row>
    <row r="86" spans="1:153" ht="12.75">
      <c r="A86" s="93">
        <v>43917</v>
      </c>
      <c r="B86" s="440">
        <f t="shared" ref="B86:D86" si="82">SUM(F86,I86,L86,O86,R86,U86,X86,AA86,AD86,AG86,AJ86,AN86,AQ86,AT86,AW86,AZ86,BC86,BF86,BI86,BL86,BO86,BR86,BU86,BX86,CA86,CD86,CG86,CJ86,CM86,CP86,CS86,CV86,CY86,DB86,DE86,DH86,DK86,DN86,DQ86,DT86,DW86,DZ86,EC86,EF86,EI86,EL86,ES86,)</f>
        <v>147947</v>
      </c>
      <c r="C86" s="441">
        <f t="shared" si="82"/>
        <v>6247</v>
      </c>
      <c r="D86" s="442">
        <f t="shared" si="82"/>
        <v>92443</v>
      </c>
      <c r="E86" s="443">
        <f t="shared" si="1"/>
        <v>49257</v>
      </c>
      <c r="F86" s="105">
        <v>1104</v>
      </c>
      <c r="G86" s="139">
        <v>3</v>
      </c>
      <c r="H86" s="150">
        <v>35</v>
      </c>
      <c r="I86" s="105">
        <v>329</v>
      </c>
      <c r="J86" s="139">
        <v>1</v>
      </c>
      <c r="K86" s="150">
        <v>28</v>
      </c>
      <c r="L86" s="105">
        <v>110</v>
      </c>
      <c r="M86" s="139">
        <v>4</v>
      </c>
      <c r="N86" s="150">
        <v>2</v>
      </c>
      <c r="O86" s="105">
        <v>165</v>
      </c>
      <c r="P86" s="139">
        <v>3</v>
      </c>
      <c r="Q86" s="150">
        <v>15</v>
      </c>
      <c r="R86" s="105">
        <v>466</v>
      </c>
      <c r="S86" s="139">
        <v>4</v>
      </c>
      <c r="T86" s="150">
        <v>227</v>
      </c>
      <c r="U86" s="105">
        <v>48</v>
      </c>
      <c r="V86" s="139">
        <v>5</v>
      </c>
      <c r="W86" s="150">
        <v>11</v>
      </c>
      <c r="X86" s="444">
        <v>3</v>
      </c>
      <c r="Y86" s="374">
        <v>0</v>
      </c>
      <c r="Z86" s="375">
        <v>0</v>
      </c>
      <c r="AA86" s="444">
        <v>8</v>
      </c>
      <c r="AB86" s="374">
        <v>0</v>
      </c>
      <c r="AC86" s="375">
        <v>0</v>
      </c>
      <c r="AD86" s="444">
        <v>115</v>
      </c>
      <c r="AE86" s="374">
        <v>0</v>
      </c>
      <c r="AF86" s="150">
        <v>11</v>
      </c>
      <c r="AG86" s="105">
        <v>99</v>
      </c>
      <c r="AH86" s="18">
        <v>0</v>
      </c>
      <c r="AI86" s="150">
        <v>11</v>
      </c>
      <c r="AJ86" s="105">
        <v>81897</v>
      </c>
      <c r="AK86" s="139">
        <v>3296</v>
      </c>
      <c r="AL86" s="397">
        <v>74720</v>
      </c>
      <c r="AM86" s="371">
        <f t="shared" si="2"/>
        <v>3881</v>
      </c>
      <c r="AN86" s="105">
        <v>9332</v>
      </c>
      <c r="AO86" s="139">
        <v>139</v>
      </c>
      <c r="AP86" s="150">
        <v>4528</v>
      </c>
      <c r="AQ86" s="105">
        <v>405</v>
      </c>
      <c r="AR86" s="139">
        <v>2</v>
      </c>
      <c r="AS86" s="150">
        <v>52</v>
      </c>
      <c r="AT86" s="105">
        <v>83</v>
      </c>
      <c r="AU86" s="18">
        <v>0</v>
      </c>
      <c r="AV86" s="150">
        <v>14</v>
      </c>
      <c r="AW86" s="105">
        <v>118</v>
      </c>
      <c r="AX86" s="139">
        <v>3</v>
      </c>
      <c r="AY86" s="150">
        <v>60</v>
      </c>
      <c r="AZ86" s="105">
        <v>887</v>
      </c>
      <c r="BA86" s="139">
        <v>20</v>
      </c>
      <c r="BB86" s="150">
        <v>73</v>
      </c>
      <c r="BC86" s="105">
        <v>1046</v>
      </c>
      <c r="BD86" s="139">
        <v>87</v>
      </c>
      <c r="BE86" s="138">
        <v>46</v>
      </c>
      <c r="BF86" s="105">
        <v>458</v>
      </c>
      <c r="BG86" s="139">
        <v>40</v>
      </c>
      <c r="BH86" s="150">
        <v>122</v>
      </c>
      <c r="BI86" s="105">
        <v>32332</v>
      </c>
      <c r="BJ86" s="139">
        <v>2378</v>
      </c>
      <c r="BK86" s="150">
        <v>11133</v>
      </c>
      <c r="BL86" s="105">
        <v>3035</v>
      </c>
      <c r="BM86" s="139">
        <v>12</v>
      </c>
      <c r="BN86" s="150">
        <v>79</v>
      </c>
      <c r="BO86" s="105">
        <v>1468</v>
      </c>
      <c r="BP86" s="139">
        <v>47</v>
      </c>
      <c r="BQ86" s="150">
        <v>372</v>
      </c>
      <c r="BR86" s="105">
        <v>235</v>
      </c>
      <c r="BS86" s="139">
        <v>1</v>
      </c>
      <c r="BT86" s="150">
        <v>18</v>
      </c>
      <c r="BU86" s="105">
        <v>150</v>
      </c>
      <c r="BV86" s="139">
        <v>1</v>
      </c>
      <c r="BW86" s="150">
        <v>3</v>
      </c>
      <c r="BX86" s="105">
        <v>58</v>
      </c>
      <c r="BY86" s="18">
        <v>0</v>
      </c>
      <c r="BZ86" s="317">
        <v>0</v>
      </c>
      <c r="CA86" s="105">
        <v>225</v>
      </c>
      <c r="CB86" s="18">
        <v>0</v>
      </c>
      <c r="CC86" s="150">
        <v>57</v>
      </c>
      <c r="CD86" s="444">
        <v>6</v>
      </c>
      <c r="CE86" s="374">
        <v>0</v>
      </c>
      <c r="CF86" s="375">
        <v>0</v>
      </c>
      <c r="CG86" s="105">
        <v>391</v>
      </c>
      <c r="CH86" s="139">
        <v>8</v>
      </c>
      <c r="CI86" s="150">
        <v>27</v>
      </c>
      <c r="CJ86" s="105">
        <v>42</v>
      </c>
      <c r="CK86" s="18">
        <v>0</v>
      </c>
      <c r="CL86" s="150">
        <v>10</v>
      </c>
      <c r="CM86" s="105">
        <v>2161</v>
      </c>
      <c r="CN86" s="139">
        <v>26</v>
      </c>
      <c r="CO86" s="150">
        <v>259</v>
      </c>
      <c r="CP86" s="444">
        <v>16</v>
      </c>
      <c r="CQ86" s="374">
        <v>0</v>
      </c>
      <c r="CR86" s="150">
        <v>9</v>
      </c>
      <c r="CS86" s="105">
        <v>11</v>
      </c>
      <c r="CT86" s="18">
        <v>0</v>
      </c>
      <c r="CU86" s="317">
        <v>0</v>
      </c>
      <c r="CV86" s="105">
        <v>4</v>
      </c>
      <c r="CW86" s="18">
        <v>0</v>
      </c>
      <c r="CX86" s="150">
        <v>1</v>
      </c>
      <c r="CY86" s="105">
        <v>131</v>
      </c>
      <c r="CZ86" s="18">
        <v>0</v>
      </c>
      <c r="DA86" s="150">
        <v>23</v>
      </c>
      <c r="DB86" s="444">
        <v>88</v>
      </c>
      <c r="DC86" s="139">
        <v>1</v>
      </c>
      <c r="DD86" s="150">
        <v>5</v>
      </c>
      <c r="DE86" s="105">
        <v>1331</v>
      </c>
      <c r="DF86" s="139">
        <v>10</v>
      </c>
      <c r="DG86" s="150">
        <v>23</v>
      </c>
      <c r="DH86" s="87">
        <v>26</v>
      </c>
      <c r="DI86" s="18">
        <v>0</v>
      </c>
      <c r="DJ86" s="317">
        <v>0</v>
      </c>
      <c r="DK86" s="105">
        <v>803</v>
      </c>
      <c r="DL86" s="139">
        <v>54</v>
      </c>
      <c r="DM86" s="150">
        <v>31</v>
      </c>
      <c r="DN86" s="105">
        <v>562</v>
      </c>
      <c r="DO86" s="18">
        <v>0</v>
      </c>
      <c r="DP86" s="150">
        <v>43</v>
      </c>
      <c r="DQ86" s="105">
        <v>732</v>
      </c>
      <c r="DR86" s="139">
        <v>2</v>
      </c>
      <c r="DS86" s="150">
        <v>183</v>
      </c>
      <c r="DT86" s="105">
        <v>106</v>
      </c>
      <c r="DU86" s="18">
        <v>0</v>
      </c>
      <c r="DV86" s="150">
        <v>7</v>
      </c>
      <c r="DW86" s="444">
        <v>5</v>
      </c>
      <c r="DX86" s="374">
        <v>0</v>
      </c>
      <c r="DY86" s="375">
        <v>0</v>
      </c>
      <c r="DZ86" s="105">
        <v>267</v>
      </c>
      <c r="EA86" s="139">
        <v>2</v>
      </c>
      <c r="EB86" s="150">
        <v>29</v>
      </c>
      <c r="EC86" s="105">
        <v>1136</v>
      </c>
      <c r="ED86" s="139">
        <v>5</v>
      </c>
      <c r="EE86" s="150">
        <v>97</v>
      </c>
      <c r="EF86" s="105">
        <v>1</v>
      </c>
      <c r="EG86" s="18">
        <v>0</v>
      </c>
      <c r="EH86" s="317">
        <v>0</v>
      </c>
      <c r="EI86" s="87">
        <v>5698</v>
      </c>
      <c r="EJ86" s="139">
        <v>92</v>
      </c>
      <c r="EK86" s="150">
        <v>42</v>
      </c>
      <c r="EL86" s="105">
        <v>163</v>
      </c>
      <c r="EM86" s="18">
        <v>0</v>
      </c>
      <c r="EN86" s="150">
        <v>20</v>
      </c>
      <c r="EO86" s="18">
        <v>0</v>
      </c>
      <c r="EP86" s="18">
        <v>0</v>
      </c>
      <c r="EQ86" s="317">
        <v>0</v>
      </c>
      <c r="ER86" s="83"/>
      <c r="ES86" s="105">
        <v>91</v>
      </c>
      <c r="ET86" s="139">
        <v>1</v>
      </c>
      <c r="EU86" s="150">
        <v>17</v>
      </c>
      <c r="EV86" s="351" t="s">
        <v>1136</v>
      </c>
      <c r="EW86" s="77" t="s">
        <v>1137</v>
      </c>
    </row>
    <row r="87" spans="1:153" ht="12.75">
      <c r="A87" s="93">
        <v>43918</v>
      </c>
      <c r="B87" s="440">
        <f t="shared" ref="B87:D87" si="83">SUM(F87,I87,L87,O87,R87,U87,X87,AA87,AD87,AG87,AJ87,AN87,AQ87,AT87,AW87,AZ87,BC87,BF87,BI87,BL87,BO87,BR87,BU87,BX87,CA87,CD87,CG87,CJ87,CM87,CP87,CS87,CV87,CY87,DB87,DE87,DH87,DK87,DN87,DQ87,DT87,DW87,DZ87,EC87,EF87,EI87,EL87,ES87,)</f>
        <v>155303</v>
      </c>
      <c r="C87" s="441">
        <f t="shared" si="83"/>
        <v>6460</v>
      </c>
      <c r="D87" s="442">
        <f t="shared" si="83"/>
        <v>93931</v>
      </c>
      <c r="E87" s="443">
        <f t="shared" si="1"/>
        <v>54912</v>
      </c>
      <c r="F87" s="105">
        <v>1203</v>
      </c>
      <c r="G87" s="139">
        <v>4</v>
      </c>
      <c r="H87" s="150">
        <v>37</v>
      </c>
      <c r="I87" s="105">
        <v>407</v>
      </c>
      <c r="J87" s="139">
        <v>1</v>
      </c>
      <c r="K87" s="150">
        <v>30</v>
      </c>
      <c r="L87" s="105">
        <v>110</v>
      </c>
      <c r="M87" s="139">
        <v>4</v>
      </c>
      <c r="N87" s="150">
        <v>2</v>
      </c>
      <c r="O87" s="105">
        <v>182</v>
      </c>
      <c r="P87" s="139">
        <v>4</v>
      </c>
      <c r="Q87" s="150">
        <v>15</v>
      </c>
      <c r="R87" s="105">
        <v>476</v>
      </c>
      <c r="S87" s="139">
        <v>4</v>
      </c>
      <c r="T87" s="150">
        <v>265</v>
      </c>
      <c r="U87" s="105">
        <v>48</v>
      </c>
      <c r="V87" s="139">
        <v>5</v>
      </c>
      <c r="W87" s="150">
        <v>15</v>
      </c>
      <c r="X87" s="444">
        <v>3</v>
      </c>
      <c r="Y87" s="374">
        <v>0</v>
      </c>
      <c r="Z87" s="375">
        <v>0</v>
      </c>
      <c r="AA87" s="444">
        <v>8</v>
      </c>
      <c r="AB87" s="374">
        <v>0</v>
      </c>
      <c r="AC87" s="375">
        <v>0</v>
      </c>
      <c r="AD87" s="444">
        <v>120</v>
      </c>
      <c r="AE87" s="139">
        <v>1</v>
      </c>
      <c r="AF87" s="150">
        <v>25</v>
      </c>
      <c r="AG87" s="105">
        <v>99</v>
      </c>
      <c r="AH87" s="18">
        <v>0</v>
      </c>
      <c r="AI87" s="150">
        <v>13</v>
      </c>
      <c r="AJ87" s="105">
        <v>81999</v>
      </c>
      <c r="AK87" s="139">
        <v>3299</v>
      </c>
      <c r="AL87" s="397">
        <v>75100</v>
      </c>
      <c r="AM87" s="371">
        <f t="shared" si="2"/>
        <v>3600</v>
      </c>
      <c r="AN87" s="105">
        <v>9478</v>
      </c>
      <c r="AO87" s="139">
        <v>144</v>
      </c>
      <c r="AP87" s="150">
        <v>4811</v>
      </c>
      <c r="AQ87" s="105">
        <v>468</v>
      </c>
      <c r="AR87" s="139">
        <v>2</v>
      </c>
      <c r="AS87" s="150">
        <v>52</v>
      </c>
      <c r="AT87" s="105">
        <v>90</v>
      </c>
      <c r="AU87" s="18">
        <v>0</v>
      </c>
      <c r="AV87" s="150">
        <v>14</v>
      </c>
      <c r="AW87" s="105">
        <v>118</v>
      </c>
      <c r="AX87" s="139">
        <v>3</v>
      </c>
      <c r="AY87" s="150">
        <v>60</v>
      </c>
      <c r="AZ87" s="105">
        <v>987</v>
      </c>
      <c r="BA87" s="139">
        <v>24</v>
      </c>
      <c r="BB87" s="150">
        <v>84</v>
      </c>
      <c r="BC87" s="105">
        <v>1155</v>
      </c>
      <c r="BD87" s="139">
        <v>102</v>
      </c>
      <c r="BE87" s="138">
        <v>59</v>
      </c>
      <c r="BF87" s="105">
        <v>506</v>
      </c>
      <c r="BG87" s="139">
        <v>42</v>
      </c>
      <c r="BH87" s="150">
        <v>131</v>
      </c>
      <c r="BI87" s="105">
        <v>35408</v>
      </c>
      <c r="BJ87" s="139">
        <v>2517</v>
      </c>
      <c r="BK87" s="150">
        <v>11679</v>
      </c>
      <c r="BL87" s="105">
        <v>3619</v>
      </c>
      <c r="BM87" s="139">
        <v>12</v>
      </c>
      <c r="BN87" s="150">
        <v>89</v>
      </c>
      <c r="BO87" s="105">
        <v>1693</v>
      </c>
      <c r="BP87" s="139">
        <v>52</v>
      </c>
      <c r="BQ87" s="150">
        <v>404</v>
      </c>
      <c r="BR87" s="105">
        <v>246</v>
      </c>
      <c r="BS87" s="139">
        <v>1</v>
      </c>
      <c r="BT87" s="150">
        <v>18</v>
      </c>
      <c r="BU87" s="105">
        <v>228</v>
      </c>
      <c r="BV87" s="139">
        <v>1</v>
      </c>
      <c r="BW87" s="150">
        <v>16</v>
      </c>
      <c r="BX87" s="105">
        <v>58</v>
      </c>
      <c r="BY87" s="18">
        <v>0</v>
      </c>
      <c r="BZ87" s="317">
        <v>0</v>
      </c>
      <c r="CA87" s="105">
        <v>235</v>
      </c>
      <c r="CB87" s="18">
        <v>0</v>
      </c>
      <c r="CC87" s="150">
        <v>64</v>
      </c>
      <c r="CD87" s="444">
        <v>8</v>
      </c>
      <c r="CE87" s="374">
        <v>0</v>
      </c>
      <c r="CF87" s="375">
        <v>0</v>
      </c>
      <c r="CG87" s="105">
        <v>412</v>
      </c>
      <c r="CH87" s="139">
        <v>8</v>
      </c>
      <c r="CI87" s="150">
        <v>30</v>
      </c>
      <c r="CJ87" s="105">
        <v>42</v>
      </c>
      <c r="CK87" s="18">
        <v>0</v>
      </c>
      <c r="CL87" s="150">
        <v>10</v>
      </c>
      <c r="CM87" s="105">
        <v>2320</v>
      </c>
      <c r="CN87" s="139">
        <v>27</v>
      </c>
      <c r="CO87" s="150">
        <v>320</v>
      </c>
      <c r="CP87" s="444">
        <v>16</v>
      </c>
      <c r="CQ87" s="374">
        <v>0</v>
      </c>
      <c r="CR87" s="150">
        <v>9</v>
      </c>
      <c r="CS87" s="105">
        <v>12</v>
      </c>
      <c r="CT87" s="18">
        <v>0</v>
      </c>
      <c r="CU87" s="317">
        <v>0</v>
      </c>
      <c r="CV87" s="105">
        <v>5</v>
      </c>
      <c r="CW87" s="18">
        <v>0</v>
      </c>
      <c r="CX87" s="150">
        <v>1</v>
      </c>
      <c r="CY87" s="105">
        <v>131</v>
      </c>
      <c r="CZ87" s="18">
        <v>0</v>
      </c>
      <c r="DA87" s="150">
        <v>23</v>
      </c>
      <c r="DB87" s="444">
        <v>104</v>
      </c>
      <c r="DC87" s="139">
        <v>2</v>
      </c>
      <c r="DD87" s="150">
        <v>5</v>
      </c>
      <c r="DE87" s="105">
        <v>1495</v>
      </c>
      <c r="DF87" s="139">
        <v>12</v>
      </c>
      <c r="DG87" s="150">
        <v>29</v>
      </c>
      <c r="DH87" s="87">
        <v>26</v>
      </c>
      <c r="DI87" s="18">
        <v>0</v>
      </c>
      <c r="DJ87" s="317">
        <v>0</v>
      </c>
      <c r="DK87" s="105">
        <v>1075</v>
      </c>
      <c r="DL87" s="139">
        <v>68</v>
      </c>
      <c r="DM87" s="150">
        <v>35</v>
      </c>
      <c r="DN87" s="105">
        <v>590</v>
      </c>
      <c r="DO87" s="139">
        <v>1</v>
      </c>
      <c r="DP87" s="150">
        <v>45</v>
      </c>
      <c r="DQ87" s="105">
        <v>802</v>
      </c>
      <c r="DR87" s="139">
        <v>2</v>
      </c>
      <c r="DS87" s="150">
        <v>198</v>
      </c>
      <c r="DT87" s="105">
        <v>113</v>
      </c>
      <c r="DU87" s="139">
        <v>1</v>
      </c>
      <c r="DV87" s="150">
        <v>7</v>
      </c>
      <c r="DW87" s="444">
        <v>5</v>
      </c>
      <c r="DX87" s="374">
        <v>0</v>
      </c>
      <c r="DY87" s="375">
        <v>0</v>
      </c>
      <c r="DZ87" s="105">
        <v>283</v>
      </c>
      <c r="EA87" s="139">
        <v>2</v>
      </c>
      <c r="EB87" s="150">
        <v>30</v>
      </c>
      <c r="EC87" s="105">
        <v>1245</v>
      </c>
      <c r="ED87" s="139">
        <v>6</v>
      </c>
      <c r="EE87" s="150">
        <v>97</v>
      </c>
      <c r="EF87" s="105">
        <v>1</v>
      </c>
      <c r="EG87" s="18">
        <v>0</v>
      </c>
      <c r="EH87" s="317">
        <v>0</v>
      </c>
      <c r="EI87" s="87">
        <v>7402</v>
      </c>
      <c r="EJ87" s="139">
        <v>108</v>
      </c>
      <c r="EK87" s="150">
        <v>70</v>
      </c>
      <c r="EL87" s="105">
        <v>174</v>
      </c>
      <c r="EM87" s="18">
        <v>0</v>
      </c>
      <c r="EN87" s="150">
        <v>21</v>
      </c>
      <c r="EO87" s="18">
        <v>0</v>
      </c>
      <c r="EP87" s="18">
        <v>0</v>
      </c>
      <c r="EQ87" s="317">
        <v>0</v>
      </c>
      <c r="ER87" s="83"/>
      <c r="ES87" s="105">
        <v>98</v>
      </c>
      <c r="ET87" s="139">
        <v>1</v>
      </c>
      <c r="EU87" s="150">
        <v>18</v>
      </c>
      <c r="EV87" s="351" t="s">
        <v>1138</v>
      </c>
      <c r="EW87" s="127" t="s">
        <v>1139</v>
      </c>
    </row>
    <row r="88" spans="1:153" ht="12.75">
      <c r="A88" s="93">
        <v>43919</v>
      </c>
      <c r="B88" s="440">
        <f t="shared" ref="B88:D88" si="84">SUM(F88,I88,L88,O88,R88,U88,X88,AA88,AD88,AG88,AJ88,AN88,AQ88,AT88,AW88,AZ88,BC88,BF88,BI88,BL88,BO88,BR88,BU88,BX88,CA88,CD88,CG88,CJ88,CM88,CP88,CS88,CV88,CY88,DB88,DE88,DH88,DK88,DN88,DQ88,DT88,DW88,DZ88,EC88,EF88,EI88,EL88,ES88,)</f>
        <v>162608</v>
      </c>
      <c r="C88" s="441">
        <f t="shared" si="84"/>
        <v>6665</v>
      </c>
      <c r="D88" s="442">
        <f t="shared" si="84"/>
        <v>95606</v>
      </c>
      <c r="E88" s="443">
        <f t="shared" si="1"/>
        <v>60337</v>
      </c>
      <c r="F88" s="105">
        <v>1299</v>
      </c>
      <c r="G88" s="139">
        <v>8</v>
      </c>
      <c r="H88" s="150">
        <v>66</v>
      </c>
      <c r="I88" s="105">
        <v>424</v>
      </c>
      <c r="J88" s="139">
        <v>3</v>
      </c>
      <c r="K88" s="150">
        <v>30</v>
      </c>
      <c r="L88" s="105">
        <v>120</v>
      </c>
      <c r="M88" s="139">
        <v>4</v>
      </c>
      <c r="N88" s="150">
        <v>2</v>
      </c>
      <c r="O88" s="105">
        <v>209</v>
      </c>
      <c r="P88" s="139">
        <v>4</v>
      </c>
      <c r="Q88" s="150">
        <v>15</v>
      </c>
      <c r="R88" s="105">
        <v>499</v>
      </c>
      <c r="S88" s="139">
        <v>4</v>
      </c>
      <c r="T88" s="150">
        <v>272</v>
      </c>
      <c r="U88" s="105">
        <v>48</v>
      </c>
      <c r="V88" s="139">
        <v>5</v>
      </c>
      <c r="W88" s="150">
        <v>15</v>
      </c>
      <c r="X88" s="444">
        <v>4</v>
      </c>
      <c r="Y88" s="374">
        <v>0</v>
      </c>
      <c r="Z88" s="375">
        <v>0</v>
      </c>
      <c r="AA88" s="444">
        <v>10</v>
      </c>
      <c r="AB88" s="374">
        <v>0</v>
      </c>
      <c r="AC88" s="375">
        <v>0</v>
      </c>
      <c r="AD88" s="444">
        <v>126</v>
      </c>
      <c r="AE88" s="139">
        <v>1</v>
      </c>
      <c r="AF88" s="150">
        <v>34</v>
      </c>
      <c r="AG88" s="105">
        <v>103</v>
      </c>
      <c r="AH88" s="18">
        <v>0</v>
      </c>
      <c r="AI88" s="150">
        <v>21</v>
      </c>
      <c r="AJ88" s="105">
        <v>82122</v>
      </c>
      <c r="AK88" s="139">
        <v>3304</v>
      </c>
      <c r="AL88" s="397">
        <v>75582</v>
      </c>
      <c r="AM88" s="371">
        <f t="shared" si="2"/>
        <v>3236</v>
      </c>
      <c r="AN88" s="105">
        <v>9583</v>
      </c>
      <c r="AO88" s="139">
        <v>152</v>
      </c>
      <c r="AP88" s="150">
        <v>5033</v>
      </c>
      <c r="AQ88" s="105">
        <v>570</v>
      </c>
      <c r="AR88" s="139">
        <v>3</v>
      </c>
      <c r="AS88" s="150">
        <v>58</v>
      </c>
      <c r="AT88" s="105">
        <v>91</v>
      </c>
      <c r="AU88" s="18">
        <v>0</v>
      </c>
      <c r="AV88" s="150">
        <v>18</v>
      </c>
      <c r="AW88" s="105">
        <v>118</v>
      </c>
      <c r="AX88" s="139">
        <v>3</v>
      </c>
      <c r="AY88" s="150">
        <v>60</v>
      </c>
      <c r="AZ88" s="105">
        <v>1024</v>
      </c>
      <c r="BA88" s="139">
        <v>27</v>
      </c>
      <c r="BB88" s="150">
        <v>95</v>
      </c>
      <c r="BC88" s="105">
        <v>1285</v>
      </c>
      <c r="BD88" s="139">
        <v>114</v>
      </c>
      <c r="BE88" s="138">
        <v>64</v>
      </c>
      <c r="BF88" s="105">
        <v>547</v>
      </c>
      <c r="BG88" s="139">
        <v>42</v>
      </c>
      <c r="BH88" s="150">
        <v>143</v>
      </c>
      <c r="BI88" s="105">
        <v>38309</v>
      </c>
      <c r="BJ88" s="139">
        <v>2640</v>
      </c>
      <c r="BK88" s="150">
        <v>12391</v>
      </c>
      <c r="BL88" s="105">
        <v>4247</v>
      </c>
      <c r="BM88" s="139">
        <v>15</v>
      </c>
      <c r="BN88" s="150">
        <v>89</v>
      </c>
      <c r="BO88" s="105">
        <v>1866</v>
      </c>
      <c r="BP88" s="139">
        <v>54</v>
      </c>
      <c r="BQ88" s="150">
        <v>424</v>
      </c>
      <c r="BR88" s="105">
        <v>259</v>
      </c>
      <c r="BS88" s="139">
        <v>2</v>
      </c>
      <c r="BT88" s="150">
        <v>18</v>
      </c>
      <c r="BU88" s="105">
        <v>284</v>
      </c>
      <c r="BV88" s="139">
        <v>1</v>
      </c>
      <c r="BW88" s="150">
        <v>20</v>
      </c>
      <c r="BX88" s="105">
        <v>84</v>
      </c>
      <c r="BY88" s="18">
        <v>0</v>
      </c>
      <c r="BZ88" s="317">
        <v>0</v>
      </c>
      <c r="CA88" s="105">
        <v>255</v>
      </c>
      <c r="CB88" s="18">
        <v>0</v>
      </c>
      <c r="CC88" s="150">
        <v>67</v>
      </c>
      <c r="CD88" s="444">
        <v>8</v>
      </c>
      <c r="CE88" s="374">
        <v>0</v>
      </c>
      <c r="CF88" s="375">
        <v>0</v>
      </c>
      <c r="CG88" s="105">
        <v>438</v>
      </c>
      <c r="CH88" s="139">
        <v>10</v>
      </c>
      <c r="CI88" s="150">
        <v>30</v>
      </c>
      <c r="CJ88" s="105">
        <v>42</v>
      </c>
      <c r="CK88" s="18">
        <v>0</v>
      </c>
      <c r="CL88" s="150">
        <v>10</v>
      </c>
      <c r="CM88" s="105">
        <v>2470</v>
      </c>
      <c r="CN88" s="139">
        <v>35</v>
      </c>
      <c r="CO88" s="150">
        <v>388</v>
      </c>
      <c r="CP88" s="444">
        <v>17</v>
      </c>
      <c r="CQ88" s="374">
        <v>0</v>
      </c>
      <c r="CR88" s="150">
        <v>13</v>
      </c>
      <c r="CS88" s="105">
        <v>12</v>
      </c>
      <c r="CT88" s="18">
        <v>0</v>
      </c>
      <c r="CU88" s="317">
        <v>0</v>
      </c>
      <c r="CV88" s="105">
        <v>5</v>
      </c>
      <c r="CW88" s="18">
        <v>0</v>
      </c>
      <c r="CX88" s="150">
        <v>1</v>
      </c>
      <c r="CY88" s="105">
        <v>167</v>
      </c>
      <c r="CZ88" s="18">
        <v>0</v>
      </c>
      <c r="DA88" s="150">
        <v>23</v>
      </c>
      <c r="DB88" s="444">
        <v>144</v>
      </c>
      <c r="DC88" s="139">
        <v>2</v>
      </c>
      <c r="DD88" s="150">
        <v>7</v>
      </c>
      <c r="DE88" s="105">
        <v>1571</v>
      </c>
      <c r="DF88" s="139">
        <v>14</v>
      </c>
      <c r="DG88" s="150">
        <v>29</v>
      </c>
      <c r="DH88" s="87">
        <v>26</v>
      </c>
      <c r="DI88" s="18">
        <v>0</v>
      </c>
      <c r="DJ88" s="317">
        <v>0</v>
      </c>
      <c r="DK88" s="105">
        <v>1418</v>
      </c>
      <c r="DL88" s="139">
        <v>71</v>
      </c>
      <c r="DM88" s="150">
        <v>42</v>
      </c>
      <c r="DN88" s="105">
        <v>634</v>
      </c>
      <c r="DO88" s="139">
        <v>1</v>
      </c>
      <c r="DP88" s="150">
        <v>48</v>
      </c>
      <c r="DQ88" s="105">
        <v>844</v>
      </c>
      <c r="DR88" s="139">
        <v>3</v>
      </c>
      <c r="DS88" s="150">
        <v>212</v>
      </c>
      <c r="DT88" s="105">
        <v>117</v>
      </c>
      <c r="DU88" s="139">
        <v>1</v>
      </c>
      <c r="DV88" s="150">
        <v>11</v>
      </c>
      <c r="DW88" s="444">
        <v>9</v>
      </c>
      <c r="DX88" s="139">
        <v>1</v>
      </c>
      <c r="DY88" s="375">
        <v>0</v>
      </c>
      <c r="DZ88" s="105">
        <v>298</v>
      </c>
      <c r="EA88" s="139">
        <v>2</v>
      </c>
      <c r="EB88" s="150">
        <v>30</v>
      </c>
      <c r="EC88" s="105">
        <v>1388</v>
      </c>
      <c r="ED88" s="139">
        <v>7</v>
      </c>
      <c r="EE88" s="150">
        <v>97</v>
      </c>
      <c r="EF88" s="105">
        <v>1</v>
      </c>
      <c r="EG88" s="18">
        <v>0</v>
      </c>
      <c r="EH88" s="317">
        <v>0</v>
      </c>
      <c r="EI88" s="87">
        <v>9217</v>
      </c>
      <c r="EJ88" s="139">
        <v>131</v>
      </c>
      <c r="EK88" s="150">
        <v>105</v>
      </c>
      <c r="EL88" s="105">
        <v>188</v>
      </c>
      <c r="EM88" s="18">
        <v>0</v>
      </c>
      <c r="EN88" s="150">
        <v>25</v>
      </c>
      <c r="EO88" s="18">
        <v>0</v>
      </c>
      <c r="EP88" s="18">
        <v>0</v>
      </c>
      <c r="EQ88" s="317">
        <v>0</v>
      </c>
      <c r="ER88" s="83"/>
      <c r="ES88" s="105">
        <v>108</v>
      </c>
      <c r="ET88" s="139">
        <v>1</v>
      </c>
      <c r="EU88" s="150">
        <v>18</v>
      </c>
      <c r="EV88" s="351" t="s">
        <v>1140</v>
      </c>
      <c r="EW88" s="77" t="s">
        <v>1141</v>
      </c>
    </row>
    <row r="89" spans="1:153" ht="12.75">
      <c r="A89" s="93">
        <v>43920</v>
      </c>
      <c r="B89" s="440">
        <f t="shared" ref="B89:D89" si="85">SUM(F89,I89,L89,O89,R89,U89,X89,AA89,AD89,AG89,AJ89,AN89,AQ89,AT89,AW89,AZ89,BC89,BF89,BI89,BL89,BO89,BR89,BU89,BX89,CA89,CD89,CG89,CJ89,CM89,CP89,CS89,CV89,CY89,DB89,DE89,DH89,DK89,DN89,DQ89,DT89,DW89,DZ89,EC89,EF89,EI89,EL89,ES89,)</f>
        <v>169591</v>
      </c>
      <c r="C89" s="441">
        <f t="shared" si="85"/>
        <v>6875</v>
      </c>
      <c r="D89" s="442">
        <f t="shared" si="85"/>
        <v>98233</v>
      </c>
      <c r="E89" s="443">
        <f t="shared" si="1"/>
        <v>64483</v>
      </c>
      <c r="F89" s="105">
        <v>1453</v>
      </c>
      <c r="G89" s="139">
        <v>8</v>
      </c>
      <c r="H89" s="150">
        <v>115</v>
      </c>
      <c r="I89" s="105">
        <v>482</v>
      </c>
      <c r="J89" s="139">
        <v>3</v>
      </c>
      <c r="K89" s="150">
        <v>30</v>
      </c>
      <c r="L89" s="105">
        <v>170</v>
      </c>
      <c r="M89" s="139">
        <v>4</v>
      </c>
      <c r="N89" s="150">
        <v>2</v>
      </c>
      <c r="O89" s="105">
        <v>273</v>
      </c>
      <c r="P89" s="139">
        <v>4</v>
      </c>
      <c r="Q89" s="150">
        <v>26</v>
      </c>
      <c r="R89" s="105">
        <v>515</v>
      </c>
      <c r="S89" s="139">
        <v>4</v>
      </c>
      <c r="T89" s="150">
        <v>279</v>
      </c>
      <c r="U89" s="105">
        <v>49</v>
      </c>
      <c r="V89" s="139">
        <v>5</v>
      </c>
      <c r="W89" s="150">
        <v>19</v>
      </c>
      <c r="X89" s="444">
        <v>4</v>
      </c>
      <c r="Y89" s="374">
        <v>0</v>
      </c>
      <c r="Z89" s="375">
        <v>0</v>
      </c>
      <c r="AA89" s="444">
        <v>14</v>
      </c>
      <c r="AB89" s="374">
        <v>0</v>
      </c>
      <c r="AC89" s="375">
        <v>0</v>
      </c>
      <c r="AD89" s="444">
        <v>126</v>
      </c>
      <c r="AE89" s="139">
        <v>1</v>
      </c>
      <c r="AF89" s="150">
        <v>38</v>
      </c>
      <c r="AG89" s="105">
        <v>107</v>
      </c>
      <c r="AH89" s="18">
        <v>0</v>
      </c>
      <c r="AI89" s="150">
        <v>21</v>
      </c>
      <c r="AJ89" s="105">
        <v>82198</v>
      </c>
      <c r="AK89" s="139">
        <v>3308</v>
      </c>
      <c r="AL89" s="397">
        <v>75923</v>
      </c>
      <c r="AM89" s="371">
        <f t="shared" si="2"/>
        <v>2967</v>
      </c>
      <c r="AN89" s="105">
        <v>9661</v>
      </c>
      <c r="AO89" s="139">
        <v>158</v>
      </c>
      <c r="AP89" s="150">
        <v>5228</v>
      </c>
      <c r="AQ89" s="105">
        <v>611</v>
      </c>
      <c r="AR89" s="139">
        <v>5</v>
      </c>
      <c r="AS89" s="150">
        <v>61</v>
      </c>
      <c r="AT89" s="105">
        <v>103</v>
      </c>
      <c r="AU89" s="18">
        <v>0</v>
      </c>
      <c r="AV89" s="150">
        <v>20</v>
      </c>
      <c r="AW89" s="105">
        <v>118</v>
      </c>
      <c r="AX89" s="139">
        <v>3</v>
      </c>
      <c r="AY89" s="150">
        <v>60</v>
      </c>
      <c r="AZ89" s="105">
        <v>1251</v>
      </c>
      <c r="BA89" s="139">
        <v>32</v>
      </c>
      <c r="BB89" s="150">
        <v>102</v>
      </c>
      <c r="BC89" s="105">
        <v>1414</v>
      </c>
      <c r="BD89" s="139">
        <v>122</v>
      </c>
      <c r="BE89" s="138">
        <v>75</v>
      </c>
      <c r="BF89" s="105">
        <v>630</v>
      </c>
      <c r="BG89" s="139">
        <v>46</v>
      </c>
      <c r="BH89" s="150">
        <v>152</v>
      </c>
      <c r="BI89" s="105">
        <v>41495</v>
      </c>
      <c r="BJ89" s="139">
        <v>2757</v>
      </c>
      <c r="BK89" s="150">
        <v>13911</v>
      </c>
      <c r="BL89" s="105">
        <v>4695</v>
      </c>
      <c r="BM89" s="139">
        <v>16</v>
      </c>
      <c r="BN89" s="150">
        <v>134</v>
      </c>
      <c r="BO89" s="105">
        <v>1866</v>
      </c>
      <c r="BP89" s="139">
        <v>54</v>
      </c>
      <c r="BQ89" s="150">
        <v>424</v>
      </c>
      <c r="BR89" s="105">
        <v>268</v>
      </c>
      <c r="BS89" s="139">
        <v>5</v>
      </c>
      <c r="BT89" s="150">
        <v>26</v>
      </c>
      <c r="BU89" s="105">
        <v>302</v>
      </c>
      <c r="BV89" s="139">
        <v>1</v>
      </c>
      <c r="BW89" s="150">
        <v>21</v>
      </c>
      <c r="BX89" s="105">
        <v>94</v>
      </c>
      <c r="BY89" s="18">
        <v>0</v>
      </c>
      <c r="BZ89" s="150">
        <v>3</v>
      </c>
      <c r="CA89" s="105">
        <v>266</v>
      </c>
      <c r="CB89" s="18">
        <v>0</v>
      </c>
      <c r="CC89" s="150">
        <v>72</v>
      </c>
      <c r="CD89" s="444">
        <v>8</v>
      </c>
      <c r="CE89" s="374">
        <v>0</v>
      </c>
      <c r="CF89" s="375">
        <v>0</v>
      </c>
      <c r="CG89" s="105">
        <v>446</v>
      </c>
      <c r="CH89" s="139">
        <v>11</v>
      </c>
      <c r="CI89" s="150">
        <v>35</v>
      </c>
      <c r="CJ89" s="105">
        <v>42</v>
      </c>
      <c r="CK89" s="18">
        <v>0</v>
      </c>
      <c r="CL89" s="150">
        <v>10</v>
      </c>
      <c r="CM89" s="105">
        <v>2626</v>
      </c>
      <c r="CN89" s="139">
        <v>37</v>
      </c>
      <c r="CO89" s="150">
        <v>479</v>
      </c>
      <c r="CP89" s="444">
        <v>17</v>
      </c>
      <c r="CQ89" s="374">
        <v>0</v>
      </c>
      <c r="CR89" s="150">
        <v>13</v>
      </c>
      <c r="CS89" s="105">
        <v>12</v>
      </c>
      <c r="CT89" s="18">
        <v>0</v>
      </c>
      <c r="CU89" s="150">
        <v>2</v>
      </c>
      <c r="CV89" s="105">
        <v>5</v>
      </c>
      <c r="CW89" s="18">
        <v>0</v>
      </c>
      <c r="CX89" s="150">
        <v>1</v>
      </c>
      <c r="CY89" s="105">
        <v>179</v>
      </c>
      <c r="CZ89" s="18">
        <v>0</v>
      </c>
      <c r="DA89" s="150">
        <v>29</v>
      </c>
      <c r="DB89" s="444">
        <v>149</v>
      </c>
      <c r="DC89" s="139">
        <v>2</v>
      </c>
      <c r="DD89" s="150">
        <v>7</v>
      </c>
      <c r="DE89" s="105">
        <v>1690</v>
      </c>
      <c r="DF89" s="139">
        <v>21</v>
      </c>
      <c r="DG89" s="150">
        <v>76</v>
      </c>
      <c r="DH89" s="87">
        <v>26</v>
      </c>
      <c r="DI89" s="18">
        <v>0</v>
      </c>
      <c r="DJ89" s="317">
        <v>0</v>
      </c>
      <c r="DK89" s="105">
        <v>1546</v>
      </c>
      <c r="DL89" s="139">
        <v>78</v>
      </c>
      <c r="DM89" s="150">
        <v>42</v>
      </c>
      <c r="DN89" s="105">
        <v>693</v>
      </c>
      <c r="DO89" s="139">
        <v>1</v>
      </c>
      <c r="DP89" s="150">
        <v>51</v>
      </c>
      <c r="DQ89" s="105">
        <v>879</v>
      </c>
      <c r="DR89" s="139">
        <v>3</v>
      </c>
      <c r="DS89" s="150">
        <v>228</v>
      </c>
      <c r="DT89" s="105">
        <v>122</v>
      </c>
      <c r="DU89" s="139">
        <v>2</v>
      </c>
      <c r="DV89" s="150">
        <v>15</v>
      </c>
      <c r="DW89" s="444">
        <v>9</v>
      </c>
      <c r="DX89" s="139">
        <v>1</v>
      </c>
      <c r="DY89" s="375">
        <v>0</v>
      </c>
      <c r="DZ89" s="105">
        <v>306</v>
      </c>
      <c r="EA89" s="139">
        <v>5</v>
      </c>
      <c r="EB89" s="150">
        <v>39</v>
      </c>
      <c r="EC89" s="105">
        <v>1524</v>
      </c>
      <c r="ED89" s="139">
        <v>9</v>
      </c>
      <c r="EE89" s="150">
        <v>229</v>
      </c>
      <c r="EF89" s="105">
        <v>1</v>
      </c>
      <c r="EG89" s="18">
        <v>0</v>
      </c>
      <c r="EH89" s="317">
        <v>0</v>
      </c>
      <c r="EI89" s="87">
        <v>10827</v>
      </c>
      <c r="EJ89" s="139">
        <v>168</v>
      </c>
      <c r="EK89" s="150">
        <v>162</v>
      </c>
      <c r="EL89" s="105">
        <v>203</v>
      </c>
      <c r="EM89" s="18">
        <v>0</v>
      </c>
      <c r="EN89" s="150">
        <v>55</v>
      </c>
      <c r="EO89" s="18">
        <v>0</v>
      </c>
      <c r="EP89" s="18">
        <v>0</v>
      </c>
      <c r="EQ89" s="317">
        <v>0</v>
      </c>
      <c r="ER89" s="83"/>
      <c r="ES89" s="105">
        <v>116</v>
      </c>
      <c r="ET89" s="139">
        <v>1</v>
      </c>
      <c r="EU89" s="150">
        <v>18</v>
      </c>
      <c r="EV89" s="351"/>
      <c r="EW89" s="127"/>
    </row>
    <row r="90" spans="1:153" ht="12.75">
      <c r="A90" s="448">
        <v>43921</v>
      </c>
      <c r="B90" s="449">
        <f t="shared" ref="B90:D90" si="86">SUM(F90,I90,L90,O90,R90,U90,X90,AA90,AD90,AG90,AJ90,AN90,AQ90,AT90,AW90,AZ90,BC90,BF90,BI90,BL90,BO90,BR90,BU90,BX90,CA90,CD90,CG90,CJ90,CM90,CP90,CS90,CV90,CY90,DB90,DE90,DH90,DK90,DN90,DQ90,DT90,DW90,DZ90,EC90,EF90,EI90,EL90,ES90,)</f>
        <v>178123</v>
      </c>
      <c r="C90" s="450">
        <f t="shared" si="86"/>
        <v>7119</v>
      </c>
      <c r="D90" s="451">
        <f t="shared" si="86"/>
        <v>99985</v>
      </c>
      <c r="E90" s="452">
        <f t="shared" si="1"/>
        <v>71019</v>
      </c>
      <c r="F90" s="453">
        <v>1563</v>
      </c>
      <c r="G90" s="454">
        <v>10</v>
      </c>
      <c r="H90" s="455">
        <v>165</v>
      </c>
      <c r="I90" s="453">
        <v>532</v>
      </c>
      <c r="J90" s="454">
        <v>3</v>
      </c>
      <c r="K90" s="455">
        <v>30</v>
      </c>
      <c r="L90" s="453">
        <v>174</v>
      </c>
      <c r="M90" s="454">
        <v>4</v>
      </c>
      <c r="N90" s="455">
        <v>5</v>
      </c>
      <c r="O90" s="453">
        <v>298</v>
      </c>
      <c r="P90" s="454">
        <v>5</v>
      </c>
      <c r="Q90" s="455">
        <v>26</v>
      </c>
      <c r="R90" s="453">
        <v>567</v>
      </c>
      <c r="S90" s="454">
        <v>4</v>
      </c>
      <c r="T90" s="455">
        <v>295</v>
      </c>
      <c r="U90" s="453">
        <v>51</v>
      </c>
      <c r="V90" s="454">
        <v>5</v>
      </c>
      <c r="W90" s="455">
        <v>25</v>
      </c>
      <c r="X90" s="456">
        <v>4</v>
      </c>
      <c r="Y90" s="457">
        <v>0</v>
      </c>
      <c r="Z90" s="458">
        <v>0</v>
      </c>
      <c r="AA90" s="456">
        <v>15</v>
      </c>
      <c r="AB90" s="454">
        <v>1</v>
      </c>
      <c r="AC90" s="458">
        <v>0</v>
      </c>
      <c r="AD90" s="456">
        <v>129</v>
      </c>
      <c r="AE90" s="454">
        <v>1</v>
      </c>
      <c r="AF90" s="455">
        <v>45</v>
      </c>
      <c r="AG90" s="453">
        <v>109</v>
      </c>
      <c r="AH90" s="459">
        <v>0</v>
      </c>
      <c r="AI90" s="455">
        <v>23</v>
      </c>
      <c r="AJ90" s="453">
        <v>82278</v>
      </c>
      <c r="AK90" s="454">
        <v>3309</v>
      </c>
      <c r="AL90" s="460">
        <v>76206</v>
      </c>
      <c r="AM90" s="461">
        <f t="shared" si="2"/>
        <v>2763</v>
      </c>
      <c r="AN90" s="453">
        <v>9786</v>
      </c>
      <c r="AO90" s="454">
        <v>162</v>
      </c>
      <c r="AP90" s="455">
        <v>5408</v>
      </c>
      <c r="AQ90" s="453">
        <v>664</v>
      </c>
      <c r="AR90" s="454">
        <v>6</v>
      </c>
      <c r="AS90" s="455">
        <v>61</v>
      </c>
      <c r="AT90" s="453">
        <v>110</v>
      </c>
      <c r="AU90" s="459">
        <v>0</v>
      </c>
      <c r="AV90" s="455">
        <v>21</v>
      </c>
      <c r="AW90" s="453">
        <v>118</v>
      </c>
      <c r="AX90" s="454">
        <v>3</v>
      </c>
      <c r="AY90" s="455">
        <v>60</v>
      </c>
      <c r="AZ90" s="453">
        <v>1397</v>
      </c>
      <c r="BA90" s="454">
        <v>35</v>
      </c>
      <c r="BB90" s="455">
        <v>123</v>
      </c>
      <c r="BC90" s="453">
        <v>1528</v>
      </c>
      <c r="BD90" s="454">
        <v>136</v>
      </c>
      <c r="BE90" s="462">
        <v>103</v>
      </c>
      <c r="BF90" s="453">
        <v>694</v>
      </c>
      <c r="BG90" s="454">
        <v>50</v>
      </c>
      <c r="BH90" s="455">
        <v>170</v>
      </c>
      <c r="BI90" s="453">
        <v>44605</v>
      </c>
      <c r="BJ90" s="454">
        <v>2898</v>
      </c>
      <c r="BK90" s="455">
        <v>14656</v>
      </c>
      <c r="BL90" s="453">
        <v>5358</v>
      </c>
      <c r="BM90" s="454">
        <v>20</v>
      </c>
      <c r="BN90" s="455">
        <v>224</v>
      </c>
      <c r="BO90" s="453">
        <v>1953</v>
      </c>
      <c r="BP90" s="454">
        <v>54</v>
      </c>
      <c r="BQ90" s="455">
        <v>424</v>
      </c>
      <c r="BR90" s="453">
        <v>274</v>
      </c>
      <c r="BS90" s="454">
        <v>5</v>
      </c>
      <c r="BT90" s="455">
        <v>30</v>
      </c>
      <c r="BU90" s="453">
        <v>343</v>
      </c>
      <c r="BV90" s="454">
        <v>2</v>
      </c>
      <c r="BW90" s="455">
        <v>24</v>
      </c>
      <c r="BX90" s="453">
        <v>107</v>
      </c>
      <c r="BY90" s="459">
        <v>0</v>
      </c>
      <c r="BZ90" s="455">
        <v>3</v>
      </c>
      <c r="CA90" s="453">
        <v>289</v>
      </c>
      <c r="CB90" s="459">
        <v>0</v>
      </c>
      <c r="CC90" s="455">
        <v>73</v>
      </c>
      <c r="CD90" s="456">
        <v>9</v>
      </c>
      <c r="CE90" s="457">
        <v>0</v>
      </c>
      <c r="CF90" s="458">
        <v>0</v>
      </c>
      <c r="CG90" s="453">
        <v>470</v>
      </c>
      <c r="CH90" s="454">
        <v>12</v>
      </c>
      <c r="CI90" s="455">
        <v>37</v>
      </c>
      <c r="CJ90" s="453">
        <v>42</v>
      </c>
      <c r="CK90" s="459">
        <v>0</v>
      </c>
      <c r="CL90" s="455">
        <v>10</v>
      </c>
      <c r="CM90" s="453">
        <v>2766</v>
      </c>
      <c r="CN90" s="454">
        <v>43</v>
      </c>
      <c r="CO90" s="455">
        <v>537</v>
      </c>
      <c r="CP90" s="456">
        <v>18</v>
      </c>
      <c r="CQ90" s="457">
        <v>0</v>
      </c>
      <c r="CR90" s="455">
        <v>13</v>
      </c>
      <c r="CS90" s="453">
        <v>12</v>
      </c>
      <c r="CT90" s="459">
        <v>0</v>
      </c>
      <c r="CU90" s="455">
        <v>2</v>
      </c>
      <c r="CV90" s="453">
        <v>5</v>
      </c>
      <c r="CW90" s="459">
        <v>0</v>
      </c>
      <c r="CX90" s="455">
        <v>1</v>
      </c>
      <c r="CY90" s="453">
        <v>192</v>
      </c>
      <c r="CZ90" s="454">
        <v>1</v>
      </c>
      <c r="DA90" s="455">
        <v>34</v>
      </c>
      <c r="DB90" s="456">
        <v>172</v>
      </c>
      <c r="DC90" s="454">
        <v>2</v>
      </c>
      <c r="DD90" s="455">
        <v>7</v>
      </c>
      <c r="DE90" s="453">
        <v>1690</v>
      </c>
      <c r="DF90" s="454">
        <v>21</v>
      </c>
      <c r="DG90" s="455">
        <v>76</v>
      </c>
      <c r="DH90" s="463">
        <v>26</v>
      </c>
      <c r="DI90" s="459">
        <v>0</v>
      </c>
      <c r="DJ90" s="464">
        <v>0</v>
      </c>
      <c r="DK90" s="453">
        <v>2084</v>
      </c>
      <c r="DL90" s="454">
        <v>88</v>
      </c>
      <c r="DM90" s="455">
        <v>49</v>
      </c>
      <c r="DN90" s="453">
        <v>781</v>
      </c>
      <c r="DO90" s="454">
        <v>2</v>
      </c>
      <c r="DP90" s="455">
        <v>62</v>
      </c>
      <c r="DQ90" s="453">
        <v>926</v>
      </c>
      <c r="DR90" s="454">
        <v>3</v>
      </c>
      <c r="DS90" s="455">
        <v>240</v>
      </c>
      <c r="DT90" s="453">
        <v>143</v>
      </c>
      <c r="DU90" s="454">
        <v>2</v>
      </c>
      <c r="DV90" s="455">
        <v>17</v>
      </c>
      <c r="DW90" s="456">
        <v>10</v>
      </c>
      <c r="DX90" s="454">
        <v>2</v>
      </c>
      <c r="DY90" s="458">
        <v>0</v>
      </c>
      <c r="DZ90" s="453">
        <v>322</v>
      </c>
      <c r="EA90" s="454">
        <v>5</v>
      </c>
      <c r="EB90" s="455">
        <v>39</v>
      </c>
      <c r="EC90" s="453">
        <v>1651</v>
      </c>
      <c r="ED90" s="454">
        <v>10</v>
      </c>
      <c r="EE90" s="455">
        <v>342</v>
      </c>
      <c r="EF90" s="453">
        <v>1</v>
      </c>
      <c r="EG90" s="459">
        <v>0</v>
      </c>
      <c r="EH90" s="464">
        <v>0</v>
      </c>
      <c r="EI90" s="463">
        <v>13531</v>
      </c>
      <c r="EJ90" s="454">
        <v>214</v>
      </c>
      <c r="EK90" s="455">
        <v>243</v>
      </c>
      <c r="EL90" s="453">
        <v>207</v>
      </c>
      <c r="EM90" s="459">
        <v>0</v>
      </c>
      <c r="EN90" s="455">
        <v>58</v>
      </c>
      <c r="EO90" s="459">
        <v>0</v>
      </c>
      <c r="EP90" s="459">
        <v>0</v>
      </c>
      <c r="EQ90" s="464">
        <v>0</v>
      </c>
      <c r="ER90" s="465"/>
      <c r="ES90" s="453">
        <v>119</v>
      </c>
      <c r="ET90" s="454">
        <v>1</v>
      </c>
      <c r="EU90" s="455">
        <v>18</v>
      </c>
      <c r="EV90" s="466" t="s">
        <v>1142</v>
      </c>
      <c r="EW90" s="467" t="s">
        <v>1143</v>
      </c>
    </row>
    <row r="91" spans="1:153" ht="12.75">
      <c r="A91" s="93">
        <v>43922</v>
      </c>
      <c r="B91" s="440">
        <f t="shared" ref="B91:D91" si="87">SUM(F91,I91,L91,O91,R91,U91,X91,AA91,AD91,AG91,AJ91,AN91,AQ91,AT91,AW91,AZ91,BC91,BF91,BI91,BL91,BO91,BR91,BU91,BX91,CA91,CD91,CG91,CJ91,CM91,CP91,CS91,CV91,CY91,DB91,DE91,DH91,DK91,DN91,DQ91,DT91,DW91,DZ91,EC91,EF91,EI91,EL91,ES91,)</f>
        <v>186866</v>
      </c>
      <c r="C91" s="441">
        <f t="shared" si="87"/>
        <v>7417</v>
      </c>
      <c r="D91" s="442">
        <f t="shared" si="87"/>
        <v>101845</v>
      </c>
      <c r="E91" s="443">
        <f t="shared" si="1"/>
        <v>77604</v>
      </c>
      <c r="F91" s="105">
        <v>1720</v>
      </c>
      <c r="G91" s="139">
        <v>16</v>
      </c>
      <c r="H91" s="150">
        <v>264</v>
      </c>
      <c r="I91" s="105">
        <v>571</v>
      </c>
      <c r="J91" s="139">
        <v>4</v>
      </c>
      <c r="K91" s="150">
        <v>31</v>
      </c>
      <c r="L91" s="105">
        <v>239</v>
      </c>
      <c r="M91" s="139">
        <v>4</v>
      </c>
      <c r="N91" s="150">
        <v>5</v>
      </c>
      <c r="O91" s="105">
        <v>359</v>
      </c>
      <c r="P91" s="139">
        <v>5</v>
      </c>
      <c r="Q91" s="150">
        <v>26</v>
      </c>
      <c r="R91" s="105">
        <v>569</v>
      </c>
      <c r="S91" s="139">
        <v>4</v>
      </c>
      <c r="T91" s="150">
        <v>337</v>
      </c>
      <c r="U91" s="105">
        <v>54</v>
      </c>
      <c r="V91" s="139">
        <v>6</v>
      </c>
      <c r="W91" s="150">
        <v>25</v>
      </c>
      <c r="X91" s="444">
        <v>4</v>
      </c>
      <c r="Y91" s="374">
        <v>0</v>
      </c>
      <c r="Z91" s="375">
        <v>0</v>
      </c>
      <c r="AA91" s="444">
        <v>15</v>
      </c>
      <c r="AB91" s="139">
        <v>1</v>
      </c>
      <c r="AC91" s="375">
        <v>0</v>
      </c>
      <c r="AD91" s="444">
        <v>131</v>
      </c>
      <c r="AE91" s="139">
        <v>1</v>
      </c>
      <c r="AF91" s="150">
        <v>52</v>
      </c>
      <c r="AG91" s="105">
        <v>109</v>
      </c>
      <c r="AH91" s="18">
        <v>0</v>
      </c>
      <c r="AI91" s="150">
        <v>25</v>
      </c>
      <c r="AJ91" s="105">
        <v>82361</v>
      </c>
      <c r="AK91" s="139">
        <v>3316</v>
      </c>
      <c r="AL91" s="397">
        <v>76405</v>
      </c>
      <c r="AM91" s="371">
        <f t="shared" si="2"/>
        <v>2640</v>
      </c>
      <c r="AN91" s="105">
        <v>9887</v>
      </c>
      <c r="AO91" s="139">
        <v>165</v>
      </c>
      <c r="AP91" s="150">
        <v>5567</v>
      </c>
      <c r="AQ91" s="105">
        <v>814</v>
      </c>
      <c r="AR91" s="139">
        <v>8</v>
      </c>
      <c r="AS91" s="150">
        <v>61</v>
      </c>
      <c r="AT91" s="105">
        <v>117</v>
      </c>
      <c r="AU91" s="18">
        <v>0</v>
      </c>
      <c r="AV91" s="150">
        <v>23</v>
      </c>
      <c r="AW91" s="105">
        <v>118</v>
      </c>
      <c r="AX91" s="139">
        <v>3</v>
      </c>
      <c r="AY91" s="150">
        <v>60</v>
      </c>
      <c r="AZ91" s="105">
        <v>1998</v>
      </c>
      <c r="BA91" s="139">
        <v>58</v>
      </c>
      <c r="BB91" s="150">
        <v>148</v>
      </c>
      <c r="BC91" s="105">
        <v>1677</v>
      </c>
      <c r="BD91" s="139">
        <v>157</v>
      </c>
      <c r="BE91" s="138">
        <v>103</v>
      </c>
      <c r="BF91" s="105">
        <v>728</v>
      </c>
      <c r="BG91" s="139">
        <v>52</v>
      </c>
      <c r="BH91" s="150">
        <v>182</v>
      </c>
      <c r="BI91" s="105">
        <v>47593</v>
      </c>
      <c r="BJ91" s="139">
        <v>3036</v>
      </c>
      <c r="BK91" s="150">
        <v>15473</v>
      </c>
      <c r="BL91" s="105">
        <v>6092</v>
      </c>
      <c r="BM91" s="139">
        <v>26</v>
      </c>
      <c r="BN91" s="150">
        <v>241</v>
      </c>
      <c r="BO91" s="105">
        <v>2178</v>
      </c>
      <c r="BP91" s="139">
        <v>57</v>
      </c>
      <c r="BQ91" s="150">
        <v>472</v>
      </c>
      <c r="BR91" s="105">
        <v>278</v>
      </c>
      <c r="BS91" s="139">
        <v>5</v>
      </c>
      <c r="BT91" s="150">
        <v>36</v>
      </c>
      <c r="BU91" s="105">
        <v>380</v>
      </c>
      <c r="BV91" s="139">
        <v>3</v>
      </c>
      <c r="BW91" s="150">
        <v>26</v>
      </c>
      <c r="BX91" s="105">
        <v>111</v>
      </c>
      <c r="BY91" s="18">
        <v>0</v>
      </c>
      <c r="BZ91" s="150">
        <v>3</v>
      </c>
      <c r="CA91" s="105">
        <v>317</v>
      </c>
      <c r="CB91" s="18">
        <v>0</v>
      </c>
      <c r="CC91" s="150">
        <v>80</v>
      </c>
      <c r="CD91" s="444">
        <v>10</v>
      </c>
      <c r="CE91" s="374">
        <v>0</v>
      </c>
      <c r="CF91" s="375">
        <v>0</v>
      </c>
      <c r="CG91" s="105">
        <v>479</v>
      </c>
      <c r="CH91" s="139">
        <v>14</v>
      </c>
      <c r="CI91" s="150">
        <v>43</v>
      </c>
      <c r="CJ91" s="105">
        <v>42</v>
      </c>
      <c r="CK91" s="18">
        <v>0</v>
      </c>
      <c r="CL91" s="150">
        <v>10</v>
      </c>
      <c r="CM91" s="105">
        <v>2908</v>
      </c>
      <c r="CN91" s="139">
        <v>45</v>
      </c>
      <c r="CO91" s="150">
        <v>645</v>
      </c>
      <c r="CP91" s="444">
        <v>19</v>
      </c>
      <c r="CQ91" s="374">
        <v>0</v>
      </c>
      <c r="CR91" s="150">
        <v>13</v>
      </c>
      <c r="CS91" s="105">
        <v>14</v>
      </c>
      <c r="CT91" s="18">
        <v>0</v>
      </c>
      <c r="CU91" s="150">
        <v>2</v>
      </c>
      <c r="CV91" s="105">
        <v>5</v>
      </c>
      <c r="CW91" s="18">
        <v>0</v>
      </c>
      <c r="CX91" s="150">
        <v>1</v>
      </c>
      <c r="CY91" s="105">
        <v>210</v>
      </c>
      <c r="CZ91" s="139">
        <v>1</v>
      </c>
      <c r="DA91" s="150">
        <v>34</v>
      </c>
      <c r="DB91" s="444">
        <v>181</v>
      </c>
      <c r="DC91" s="139">
        <v>2</v>
      </c>
      <c r="DD91" s="150">
        <v>12</v>
      </c>
      <c r="DE91" s="105">
        <v>2118</v>
      </c>
      <c r="DF91" s="139">
        <v>27</v>
      </c>
      <c r="DG91" s="150">
        <v>94</v>
      </c>
      <c r="DH91" s="87">
        <v>26</v>
      </c>
      <c r="DI91" s="18">
        <v>0</v>
      </c>
      <c r="DJ91" s="317">
        <v>0</v>
      </c>
      <c r="DK91" s="105">
        <v>2311</v>
      </c>
      <c r="DL91" s="139">
        <v>96</v>
      </c>
      <c r="DM91" s="150">
        <v>51</v>
      </c>
      <c r="DN91" s="105">
        <v>835</v>
      </c>
      <c r="DO91" s="139">
        <v>2</v>
      </c>
      <c r="DP91" s="150">
        <v>71</v>
      </c>
      <c r="DQ91" s="105">
        <v>1000</v>
      </c>
      <c r="DR91" s="139">
        <v>3</v>
      </c>
      <c r="DS91" s="150">
        <v>245</v>
      </c>
      <c r="DT91" s="105">
        <v>146</v>
      </c>
      <c r="DU91" s="139">
        <v>3</v>
      </c>
      <c r="DV91" s="150">
        <v>21</v>
      </c>
      <c r="DW91" s="444">
        <v>10</v>
      </c>
      <c r="DX91" s="139">
        <v>2</v>
      </c>
      <c r="DY91" s="375">
        <v>0</v>
      </c>
      <c r="DZ91" s="105">
        <v>329</v>
      </c>
      <c r="EA91" s="139">
        <v>5</v>
      </c>
      <c r="EB91" s="150">
        <v>39</v>
      </c>
      <c r="EC91" s="105">
        <v>1771</v>
      </c>
      <c r="ED91" s="139">
        <v>12</v>
      </c>
      <c r="EE91" s="150">
        <v>505</v>
      </c>
      <c r="EF91" s="105">
        <v>1</v>
      </c>
      <c r="EG91" s="18">
        <v>0</v>
      </c>
      <c r="EH91" s="317">
        <v>0</v>
      </c>
      <c r="EI91" s="87">
        <v>15679</v>
      </c>
      <c r="EJ91" s="139">
        <v>277</v>
      </c>
      <c r="EK91" s="150">
        <v>333</v>
      </c>
      <c r="EL91" s="105">
        <v>218</v>
      </c>
      <c r="EM91" s="18">
        <v>0</v>
      </c>
      <c r="EN91" s="150">
        <v>63</v>
      </c>
      <c r="EO91" s="18">
        <v>0</v>
      </c>
      <c r="EP91" s="18">
        <v>0</v>
      </c>
      <c r="EQ91" s="317">
        <v>0</v>
      </c>
      <c r="ER91" s="83"/>
      <c r="ES91" s="105">
        <v>134</v>
      </c>
      <c r="ET91" s="139">
        <v>1</v>
      </c>
      <c r="EU91" s="150">
        <v>18</v>
      </c>
      <c r="EV91" s="351"/>
      <c r="EW91" s="127"/>
    </row>
    <row r="92" spans="1:153" ht="12.75">
      <c r="A92" s="93">
        <v>43923</v>
      </c>
      <c r="B92" s="440">
        <f t="shared" ref="B92:D92" si="88">SUM(F92,I92,L92,O92,R92,U92,X92,AA92,AD92,AG92,AJ92,AN92,AQ92,AT92,AW92,AZ92,BC92,BF92,BI92,BL92,BO92,BR92,BU92,BX92,CA92,CD92,CG92,CJ92,CM92,CP92,CS92,CV92,CY92,DB92,DE92,DH92,DK92,DN92,DQ92,DT92,DW92,DZ92,EC92,EF92,EI92,EL92,ES92,)</f>
        <v>195998</v>
      </c>
      <c r="C92" s="441">
        <f t="shared" si="88"/>
        <v>7715</v>
      </c>
      <c r="D92" s="442">
        <f t="shared" si="88"/>
        <v>104167</v>
      </c>
      <c r="E92" s="443">
        <f t="shared" si="1"/>
        <v>84116</v>
      </c>
      <c r="F92" s="105">
        <v>1885</v>
      </c>
      <c r="G92" s="139">
        <v>21</v>
      </c>
      <c r="H92" s="150">
        <v>328</v>
      </c>
      <c r="I92" s="105">
        <v>663</v>
      </c>
      <c r="J92" s="139">
        <v>7</v>
      </c>
      <c r="K92" s="150">
        <v>33</v>
      </c>
      <c r="L92" s="105">
        <v>273</v>
      </c>
      <c r="M92" s="139">
        <v>6</v>
      </c>
      <c r="N92" s="150">
        <v>10</v>
      </c>
      <c r="O92" s="105">
        <v>400</v>
      </c>
      <c r="P92" s="139">
        <v>5</v>
      </c>
      <c r="Q92" s="150">
        <v>26</v>
      </c>
      <c r="R92" s="105">
        <v>643</v>
      </c>
      <c r="S92" s="139">
        <v>4</v>
      </c>
      <c r="T92" s="150">
        <v>381</v>
      </c>
      <c r="U92" s="105">
        <v>56</v>
      </c>
      <c r="V92" s="139">
        <v>6</v>
      </c>
      <c r="W92" s="150">
        <v>25</v>
      </c>
      <c r="X92" s="444">
        <v>5</v>
      </c>
      <c r="Y92" s="374">
        <v>0</v>
      </c>
      <c r="Z92" s="150">
        <v>1</v>
      </c>
      <c r="AA92" s="444">
        <v>20</v>
      </c>
      <c r="AB92" s="139">
        <v>1</v>
      </c>
      <c r="AC92" s="375">
        <v>0</v>
      </c>
      <c r="AD92" s="444">
        <v>133</v>
      </c>
      <c r="AE92" s="139">
        <v>1</v>
      </c>
      <c r="AF92" s="150">
        <v>56</v>
      </c>
      <c r="AG92" s="105">
        <v>110</v>
      </c>
      <c r="AH92" s="18">
        <v>0</v>
      </c>
      <c r="AI92" s="150">
        <v>34</v>
      </c>
      <c r="AJ92" s="105">
        <v>82432</v>
      </c>
      <c r="AK92" s="139">
        <v>3322</v>
      </c>
      <c r="AL92" s="397">
        <v>76565</v>
      </c>
      <c r="AM92" s="371">
        <f t="shared" si="2"/>
        <v>2545</v>
      </c>
      <c r="AN92" s="105">
        <v>9976</v>
      </c>
      <c r="AO92" s="139">
        <v>169</v>
      </c>
      <c r="AP92" s="150">
        <v>5828</v>
      </c>
      <c r="AQ92" s="105">
        <v>1024</v>
      </c>
      <c r="AR92" s="139">
        <v>8</v>
      </c>
      <c r="AS92" s="150">
        <v>96</v>
      </c>
      <c r="AT92" s="105">
        <v>134</v>
      </c>
      <c r="AU92" s="18">
        <v>0</v>
      </c>
      <c r="AV92" s="150">
        <v>26</v>
      </c>
      <c r="AW92" s="105">
        <v>118</v>
      </c>
      <c r="AX92" s="139">
        <v>3</v>
      </c>
      <c r="AY92" s="150">
        <v>60</v>
      </c>
      <c r="AZ92" s="105">
        <v>2543</v>
      </c>
      <c r="BA92" s="139">
        <v>72</v>
      </c>
      <c r="BB92" s="150">
        <v>191</v>
      </c>
      <c r="BC92" s="105">
        <v>1790</v>
      </c>
      <c r="BD92" s="139">
        <v>170</v>
      </c>
      <c r="BE92" s="138">
        <v>112</v>
      </c>
      <c r="BF92" s="105">
        <v>772</v>
      </c>
      <c r="BG92" s="139">
        <v>54</v>
      </c>
      <c r="BH92" s="150">
        <v>202</v>
      </c>
      <c r="BI92" s="105">
        <v>50468</v>
      </c>
      <c r="BJ92" s="139">
        <v>3160</v>
      </c>
      <c r="BK92" s="150">
        <v>16711</v>
      </c>
      <c r="BL92" s="105">
        <v>6857</v>
      </c>
      <c r="BM92" s="139">
        <v>36</v>
      </c>
      <c r="BN92" s="150">
        <v>338</v>
      </c>
      <c r="BO92" s="105">
        <v>2384</v>
      </c>
      <c r="BP92" s="139">
        <v>62</v>
      </c>
      <c r="BQ92" s="150">
        <v>472</v>
      </c>
      <c r="BR92" s="105">
        <v>299</v>
      </c>
      <c r="BS92" s="139">
        <v>5</v>
      </c>
      <c r="BT92" s="150">
        <v>45</v>
      </c>
      <c r="BU92" s="105">
        <v>435</v>
      </c>
      <c r="BV92" s="139">
        <v>3</v>
      </c>
      <c r="BW92" s="150">
        <v>27</v>
      </c>
      <c r="BX92" s="105">
        <v>116</v>
      </c>
      <c r="BY92" s="18">
        <v>0</v>
      </c>
      <c r="BZ92" s="150">
        <v>5</v>
      </c>
      <c r="CA92" s="105">
        <v>342</v>
      </c>
      <c r="CB92" s="18">
        <v>0</v>
      </c>
      <c r="CC92" s="150">
        <v>81</v>
      </c>
      <c r="CD92" s="444">
        <v>10</v>
      </c>
      <c r="CE92" s="374">
        <v>0</v>
      </c>
      <c r="CF92" s="375">
        <v>0</v>
      </c>
      <c r="CG92" s="105">
        <v>494</v>
      </c>
      <c r="CH92" s="139">
        <v>16</v>
      </c>
      <c r="CI92" s="150">
        <v>46</v>
      </c>
      <c r="CJ92" s="105">
        <v>42</v>
      </c>
      <c r="CK92" s="18">
        <v>0</v>
      </c>
      <c r="CL92" s="150">
        <v>10</v>
      </c>
      <c r="CM92" s="105">
        <v>3116</v>
      </c>
      <c r="CN92" s="139">
        <v>50</v>
      </c>
      <c r="CO92" s="150">
        <v>767</v>
      </c>
      <c r="CP92" s="444">
        <v>19</v>
      </c>
      <c r="CQ92" s="374">
        <v>0</v>
      </c>
      <c r="CR92" s="150">
        <v>13</v>
      </c>
      <c r="CS92" s="105">
        <v>14</v>
      </c>
      <c r="CT92" s="18">
        <v>0</v>
      </c>
      <c r="CU92" s="150">
        <v>2</v>
      </c>
      <c r="CV92" s="105">
        <v>6</v>
      </c>
      <c r="CW92" s="18">
        <v>0</v>
      </c>
      <c r="CX92" s="150">
        <v>1</v>
      </c>
      <c r="CY92" s="105">
        <v>231</v>
      </c>
      <c r="CZ92" s="139">
        <v>1</v>
      </c>
      <c r="DA92" s="150">
        <v>57</v>
      </c>
      <c r="DB92" s="444">
        <v>205</v>
      </c>
      <c r="DC92" s="139">
        <v>2</v>
      </c>
      <c r="DD92" s="150">
        <v>25</v>
      </c>
      <c r="DE92" s="105">
        <v>2421</v>
      </c>
      <c r="DF92" s="139">
        <v>34</v>
      </c>
      <c r="DG92" s="150">
        <v>125</v>
      </c>
      <c r="DH92" s="87">
        <v>26</v>
      </c>
      <c r="DI92" s="18">
        <v>0</v>
      </c>
      <c r="DJ92" s="317">
        <v>0</v>
      </c>
      <c r="DK92" s="105">
        <v>2633</v>
      </c>
      <c r="DL92" s="139">
        <v>107</v>
      </c>
      <c r="DM92" s="150">
        <v>51</v>
      </c>
      <c r="DN92" s="105">
        <v>949</v>
      </c>
      <c r="DO92" s="139">
        <v>3</v>
      </c>
      <c r="DP92" s="150">
        <v>72</v>
      </c>
      <c r="DQ92" s="105">
        <v>1049</v>
      </c>
      <c r="DR92" s="139">
        <v>4</v>
      </c>
      <c r="DS92" s="150">
        <v>266</v>
      </c>
      <c r="DT92" s="105">
        <v>151</v>
      </c>
      <c r="DU92" s="139">
        <v>4</v>
      </c>
      <c r="DV92" s="150">
        <v>21</v>
      </c>
      <c r="DW92" s="444">
        <v>16</v>
      </c>
      <c r="DX92" s="139">
        <v>2</v>
      </c>
      <c r="DY92" s="375">
        <v>0</v>
      </c>
      <c r="DZ92" s="105">
        <v>339</v>
      </c>
      <c r="EA92" s="139">
        <v>5</v>
      </c>
      <c r="EB92" s="150">
        <v>45</v>
      </c>
      <c r="EC92" s="105">
        <v>1875</v>
      </c>
      <c r="ED92" s="139">
        <v>15</v>
      </c>
      <c r="EE92" s="150">
        <v>505</v>
      </c>
      <c r="EF92" s="105">
        <v>1</v>
      </c>
      <c r="EG92" s="18">
        <v>0</v>
      </c>
      <c r="EH92" s="317">
        <v>0</v>
      </c>
      <c r="EI92" s="87">
        <v>18135</v>
      </c>
      <c r="EJ92" s="139">
        <v>356</v>
      </c>
      <c r="EK92" s="150">
        <v>415</v>
      </c>
      <c r="EL92" s="105">
        <v>227</v>
      </c>
      <c r="EM92" s="18">
        <v>0</v>
      </c>
      <c r="EN92" s="150">
        <v>75</v>
      </c>
      <c r="EO92" s="18">
        <v>0</v>
      </c>
      <c r="EP92" s="18">
        <v>0</v>
      </c>
      <c r="EQ92" s="317">
        <v>0</v>
      </c>
      <c r="ER92" s="83"/>
      <c r="ES92" s="105">
        <v>161</v>
      </c>
      <c r="ET92" s="139">
        <v>1</v>
      </c>
      <c r="EU92" s="150">
        <v>18</v>
      </c>
      <c r="EV92" s="351"/>
      <c r="EW92" s="127"/>
    </row>
    <row r="93" spans="1:153" ht="12.75">
      <c r="A93" s="93">
        <v>43924</v>
      </c>
      <c r="B93" s="440">
        <f t="shared" ref="B93:D93" si="89">SUM(F93,I93,L93,O93,R93,U93,X93,AA93,AD93,AG93,AJ93,AN93,AQ93,AT93,AW93,AZ93,BC93,BF93,BI93,BL93,BO93,BR93,BU93,BX93,CA93,CD93,CG93,CJ93,CM93,CP93,CS93,CV93,CY93,DB93,DE93,DH93,DK93,DN93,DQ93,DT93,DW93,DZ93,EC93,EF93,EI93,EL93,ES93,)</f>
        <v>204617</v>
      </c>
      <c r="C93" s="441">
        <f t="shared" si="89"/>
        <v>7995</v>
      </c>
      <c r="D93" s="442">
        <f t="shared" si="89"/>
        <v>106251</v>
      </c>
      <c r="E93" s="443">
        <f t="shared" si="1"/>
        <v>90371</v>
      </c>
      <c r="F93" s="105">
        <v>2039</v>
      </c>
      <c r="G93" s="139">
        <v>25</v>
      </c>
      <c r="H93" s="150">
        <v>351</v>
      </c>
      <c r="I93" s="105">
        <v>663</v>
      </c>
      <c r="J93" s="139">
        <v>7</v>
      </c>
      <c r="K93" s="150">
        <v>43</v>
      </c>
      <c r="L93" s="105">
        <v>281</v>
      </c>
      <c r="M93" s="139">
        <v>6</v>
      </c>
      <c r="N93" s="150">
        <v>10</v>
      </c>
      <c r="O93" s="105">
        <v>443</v>
      </c>
      <c r="P93" s="139">
        <v>5</v>
      </c>
      <c r="Q93" s="150">
        <v>32</v>
      </c>
      <c r="R93" s="105">
        <v>672</v>
      </c>
      <c r="S93" s="139">
        <v>4</v>
      </c>
      <c r="T93" s="150">
        <v>382</v>
      </c>
      <c r="U93" s="105">
        <v>61</v>
      </c>
      <c r="V93" s="139">
        <v>6</v>
      </c>
      <c r="W93" s="150">
        <v>26</v>
      </c>
      <c r="X93" s="444">
        <v>5</v>
      </c>
      <c r="Y93" s="374">
        <v>0</v>
      </c>
      <c r="Z93" s="150">
        <v>2</v>
      </c>
      <c r="AA93" s="444">
        <v>20</v>
      </c>
      <c r="AB93" s="139">
        <v>1</v>
      </c>
      <c r="AC93" s="375">
        <v>0</v>
      </c>
      <c r="AD93" s="444">
        <v>134</v>
      </c>
      <c r="AE93" s="139">
        <v>1</v>
      </c>
      <c r="AF93" s="150">
        <v>65</v>
      </c>
      <c r="AG93" s="105">
        <v>114</v>
      </c>
      <c r="AH93" s="18">
        <v>0</v>
      </c>
      <c r="AI93" s="150">
        <v>35</v>
      </c>
      <c r="AJ93" s="105">
        <v>82511</v>
      </c>
      <c r="AK93" s="139">
        <v>3326</v>
      </c>
      <c r="AL93" s="397">
        <v>76760</v>
      </c>
      <c r="AM93" s="371">
        <f t="shared" si="2"/>
        <v>2425</v>
      </c>
      <c r="AN93" s="105">
        <v>10062</v>
      </c>
      <c r="AO93" s="139">
        <v>174</v>
      </c>
      <c r="AP93" s="150">
        <v>6021</v>
      </c>
      <c r="AQ93" s="105">
        <v>1264</v>
      </c>
      <c r="AR93" s="139">
        <v>9</v>
      </c>
      <c r="AS93" s="150">
        <v>108</v>
      </c>
      <c r="AT93" s="105">
        <v>155</v>
      </c>
      <c r="AU93" s="18">
        <v>0</v>
      </c>
      <c r="AV93" s="150">
        <v>28</v>
      </c>
      <c r="AW93" s="105">
        <v>118</v>
      </c>
      <c r="AX93" s="139">
        <v>3</v>
      </c>
      <c r="AY93" s="150">
        <v>60</v>
      </c>
      <c r="AZ93" s="105">
        <v>2567</v>
      </c>
      <c r="BA93" s="139">
        <v>72</v>
      </c>
      <c r="BB93" s="150">
        <v>192</v>
      </c>
      <c r="BC93" s="105">
        <v>1986</v>
      </c>
      <c r="BD93" s="139">
        <v>181</v>
      </c>
      <c r="BE93" s="138">
        <v>134</v>
      </c>
      <c r="BF93" s="105">
        <v>820</v>
      </c>
      <c r="BG93" s="139">
        <v>54</v>
      </c>
      <c r="BH93" s="150">
        <v>226</v>
      </c>
      <c r="BI93" s="105">
        <v>53183</v>
      </c>
      <c r="BJ93" s="139">
        <v>3294</v>
      </c>
      <c r="BK93" s="150">
        <v>17935</v>
      </c>
      <c r="BL93" s="105">
        <v>7428</v>
      </c>
      <c r="BM93" s="139">
        <v>40</v>
      </c>
      <c r="BN93" s="150">
        <v>338</v>
      </c>
      <c r="BO93" s="105">
        <v>2617</v>
      </c>
      <c r="BP93" s="139">
        <v>63</v>
      </c>
      <c r="BQ93" s="150">
        <v>514</v>
      </c>
      <c r="BR93" s="105">
        <v>310</v>
      </c>
      <c r="BS93" s="139">
        <v>5</v>
      </c>
      <c r="BT93" s="150">
        <v>58</v>
      </c>
      <c r="BU93" s="105">
        <v>435</v>
      </c>
      <c r="BV93" s="139">
        <v>5</v>
      </c>
      <c r="BW93" s="150">
        <v>29</v>
      </c>
      <c r="BX93" s="105">
        <v>130</v>
      </c>
      <c r="BY93" s="139">
        <v>1</v>
      </c>
      <c r="BZ93" s="150">
        <v>6</v>
      </c>
      <c r="CA93" s="105">
        <v>417</v>
      </c>
      <c r="CB93" s="18">
        <v>0</v>
      </c>
      <c r="CC93" s="150">
        <v>82</v>
      </c>
      <c r="CD93" s="444">
        <v>10</v>
      </c>
      <c r="CE93" s="374">
        <v>0</v>
      </c>
      <c r="CF93" s="375">
        <v>0</v>
      </c>
      <c r="CG93" s="105">
        <v>508</v>
      </c>
      <c r="CH93" s="139">
        <v>17</v>
      </c>
      <c r="CI93" s="150">
        <v>50</v>
      </c>
      <c r="CJ93" s="105">
        <v>42</v>
      </c>
      <c r="CK93" s="18">
        <v>0</v>
      </c>
      <c r="CL93" s="150">
        <v>10</v>
      </c>
      <c r="CM93" s="105">
        <v>3333</v>
      </c>
      <c r="CN93" s="139">
        <v>53</v>
      </c>
      <c r="CO93" s="150">
        <v>827</v>
      </c>
      <c r="CP93" s="444">
        <v>19</v>
      </c>
      <c r="CQ93" s="374">
        <v>0</v>
      </c>
      <c r="CR93" s="150">
        <v>13</v>
      </c>
      <c r="CS93" s="105">
        <v>14</v>
      </c>
      <c r="CT93" s="18">
        <v>0</v>
      </c>
      <c r="CU93" s="150">
        <v>2</v>
      </c>
      <c r="CV93" s="105">
        <v>6</v>
      </c>
      <c r="CW93" s="18">
        <v>0</v>
      </c>
      <c r="CX93" s="150">
        <v>1</v>
      </c>
      <c r="CY93" s="105">
        <v>252</v>
      </c>
      <c r="CZ93" s="139">
        <v>1</v>
      </c>
      <c r="DA93" s="150">
        <v>57</v>
      </c>
      <c r="DB93" s="444">
        <v>227</v>
      </c>
      <c r="DC93" s="139">
        <v>2</v>
      </c>
      <c r="DD93" s="150">
        <v>25</v>
      </c>
      <c r="DE93" s="105">
        <v>2684</v>
      </c>
      <c r="DF93" s="139">
        <v>40</v>
      </c>
      <c r="DG93" s="150">
        <v>126</v>
      </c>
      <c r="DH93" s="87">
        <v>26</v>
      </c>
      <c r="DI93" s="18">
        <v>0</v>
      </c>
      <c r="DJ93" s="317">
        <v>0</v>
      </c>
      <c r="DK93" s="105">
        <v>3018</v>
      </c>
      <c r="DL93" s="139">
        <v>136</v>
      </c>
      <c r="DM93" s="150">
        <v>52</v>
      </c>
      <c r="DN93" s="105">
        <v>1075</v>
      </c>
      <c r="DO93" s="139">
        <v>3</v>
      </c>
      <c r="DP93" s="150">
        <v>93</v>
      </c>
      <c r="DQ93" s="105">
        <v>1114</v>
      </c>
      <c r="DR93" s="139">
        <v>5</v>
      </c>
      <c r="DS93" s="150">
        <v>282</v>
      </c>
      <c r="DT93" s="105">
        <v>159</v>
      </c>
      <c r="DU93" s="139">
        <v>4</v>
      </c>
      <c r="DV93" s="150">
        <v>24</v>
      </c>
      <c r="DW93" s="444">
        <v>16</v>
      </c>
      <c r="DX93" s="139">
        <v>2</v>
      </c>
      <c r="DY93" s="375">
        <v>0</v>
      </c>
      <c r="DZ93" s="105">
        <v>348</v>
      </c>
      <c r="EA93" s="139">
        <v>5</v>
      </c>
      <c r="EB93" s="150">
        <v>50</v>
      </c>
      <c r="EC93" s="105">
        <v>1978</v>
      </c>
      <c r="ED93" s="139">
        <v>19</v>
      </c>
      <c r="EE93" s="150">
        <v>612</v>
      </c>
      <c r="EF93" s="105">
        <v>1</v>
      </c>
      <c r="EG93" s="18">
        <v>0</v>
      </c>
      <c r="EH93" s="317">
        <v>0</v>
      </c>
      <c r="EI93" s="87">
        <v>20921</v>
      </c>
      <c r="EJ93" s="139">
        <v>425</v>
      </c>
      <c r="EK93" s="150">
        <v>484</v>
      </c>
      <c r="EL93" s="105">
        <v>237</v>
      </c>
      <c r="EM93" s="18">
        <v>0</v>
      </c>
      <c r="EN93" s="150">
        <v>85</v>
      </c>
      <c r="EO93" s="18">
        <v>0</v>
      </c>
      <c r="EP93" s="18">
        <v>0</v>
      </c>
      <c r="EQ93" s="317">
        <v>0</v>
      </c>
      <c r="ER93" s="83"/>
      <c r="ES93" s="105">
        <v>194</v>
      </c>
      <c r="ET93" s="139">
        <v>1</v>
      </c>
      <c r="EU93" s="150">
        <v>21</v>
      </c>
      <c r="EV93" s="351" t="s">
        <v>1162</v>
      </c>
      <c r="EW93" s="77" t="s">
        <v>1163</v>
      </c>
    </row>
    <row r="94" spans="1:153" ht="12.75">
      <c r="A94" s="93">
        <v>43925</v>
      </c>
      <c r="B94" s="440">
        <f t="shared" ref="B94:D94" si="90">SUM(F94,I94,L94,O94,R94,U94,X94,AA94,AD94,AG94,AJ94,AN94,AQ94,AT94,AW94,AZ94,BC94,BF94,BI94,BL94,BO94,BR94,BU94,BX94,CA94,CD94,CG94,CJ94,CM94,CP94,CS94,CV94,CY94,DB94,DE94,DH94,DK94,DN94,DQ94,DT94,DW94,DZ94,EC94,EF94,EI94,EL94,ES94,)</f>
        <v>213432</v>
      </c>
      <c r="C94" s="441">
        <f t="shared" si="90"/>
        <v>8299</v>
      </c>
      <c r="D94" s="442">
        <f t="shared" si="90"/>
        <v>109420</v>
      </c>
      <c r="E94" s="443">
        <f t="shared" si="1"/>
        <v>95713</v>
      </c>
      <c r="F94" s="105">
        <v>2179</v>
      </c>
      <c r="G94" s="139">
        <v>29</v>
      </c>
      <c r="H94" s="150">
        <v>420</v>
      </c>
      <c r="I94" s="105">
        <v>770</v>
      </c>
      <c r="J94" s="139">
        <v>7</v>
      </c>
      <c r="K94" s="150">
        <v>43</v>
      </c>
      <c r="L94" s="105">
        <v>299</v>
      </c>
      <c r="M94" s="139">
        <v>7</v>
      </c>
      <c r="N94" s="150">
        <v>10</v>
      </c>
      <c r="O94" s="105">
        <v>521</v>
      </c>
      <c r="P94" s="139">
        <v>5</v>
      </c>
      <c r="Q94" s="150">
        <v>32</v>
      </c>
      <c r="R94" s="105">
        <v>688</v>
      </c>
      <c r="S94" s="139">
        <v>4</v>
      </c>
      <c r="T94" s="150">
        <v>423</v>
      </c>
      <c r="U94" s="105">
        <v>70</v>
      </c>
      <c r="V94" s="139">
        <v>8</v>
      </c>
      <c r="W94" s="150">
        <v>30</v>
      </c>
      <c r="X94" s="444">
        <v>5</v>
      </c>
      <c r="Y94" s="374">
        <v>0</v>
      </c>
      <c r="Z94" s="150">
        <v>2</v>
      </c>
      <c r="AA94" s="444">
        <v>21</v>
      </c>
      <c r="AB94" s="139">
        <v>1</v>
      </c>
      <c r="AC94" s="375">
        <v>0</v>
      </c>
      <c r="AD94" s="444">
        <v>135</v>
      </c>
      <c r="AE94" s="139">
        <v>1</v>
      </c>
      <c r="AF94" s="150">
        <v>66</v>
      </c>
      <c r="AG94" s="105">
        <v>114</v>
      </c>
      <c r="AH94" s="18">
        <v>0</v>
      </c>
      <c r="AI94" s="150">
        <v>50</v>
      </c>
      <c r="AJ94" s="105">
        <v>82543</v>
      </c>
      <c r="AK94" s="139">
        <v>3330</v>
      </c>
      <c r="AL94" s="397">
        <v>76946</v>
      </c>
      <c r="AM94" s="371">
        <f t="shared" si="2"/>
        <v>2267</v>
      </c>
      <c r="AN94" s="105">
        <v>10156</v>
      </c>
      <c r="AO94" s="139">
        <v>177</v>
      </c>
      <c r="AP94" s="150">
        <v>6325</v>
      </c>
      <c r="AQ94" s="105">
        <v>1505</v>
      </c>
      <c r="AR94" s="139">
        <v>10</v>
      </c>
      <c r="AS94" s="150">
        <v>125</v>
      </c>
      <c r="AT94" s="105">
        <v>162</v>
      </c>
      <c r="AU94" s="139">
        <v>1</v>
      </c>
      <c r="AV94" s="150">
        <v>36</v>
      </c>
      <c r="AW94" s="105">
        <v>118</v>
      </c>
      <c r="AX94" s="139">
        <v>3</v>
      </c>
      <c r="AY94" s="150">
        <v>60</v>
      </c>
      <c r="AZ94" s="105">
        <v>3082</v>
      </c>
      <c r="BA94" s="139">
        <v>86</v>
      </c>
      <c r="BB94" s="150">
        <v>229</v>
      </c>
      <c r="BC94" s="105">
        <v>2092</v>
      </c>
      <c r="BD94" s="139">
        <v>191</v>
      </c>
      <c r="BE94" s="138">
        <v>150</v>
      </c>
      <c r="BF94" s="105">
        <v>878</v>
      </c>
      <c r="BG94" s="139">
        <v>56</v>
      </c>
      <c r="BH94" s="150">
        <v>259</v>
      </c>
      <c r="BI94" s="105">
        <v>55743</v>
      </c>
      <c r="BJ94" s="139">
        <v>3452</v>
      </c>
      <c r="BK94" s="150">
        <v>19736</v>
      </c>
      <c r="BL94" s="105">
        <v>7851</v>
      </c>
      <c r="BM94" s="139">
        <v>44</v>
      </c>
      <c r="BN94" s="150">
        <v>427</v>
      </c>
      <c r="BO94" s="105">
        <v>2935</v>
      </c>
      <c r="BP94" s="139">
        <v>69</v>
      </c>
      <c r="BQ94" s="150">
        <v>514</v>
      </c>
      <c r="BR94" s="105">
        <v>323</v>
      </c>
      <c r="BS94" s="139">
        <v>5</v>
      </c>
      <c r="BT94" s="150">
        <v>74</v>
      </c>
      <c r="BU94" s="105">
        <v>531</v>
      </c>
      <c r="BV94" s="139">
        <v>5</v>
      </c>
      <c r="BW94" s="150">
        <v>36</v>
      </c>
      <c r="BX94" s="105">
        <v>144</v>
      </c>
      <c r="BY94" s="139">
        <v>1</v>
      </c>
      <c r="BZ94" s="150">
        <v>9</v>
      </c>
      <c r="CA94" s="105">
        <v>479</v>
      </c>
      <c r="CB94" s="139">
        <v>1</v>
      </c>
      <c r="CC94" s="150">
        <v>93</v>
      </c>
      <c r="CD94" s="444">
        <v>10</v>
      </c>
      <c r="CE94" s="374">
        <v>0</v>
      </c>
      <c r="CF94" s="375">
        <v>0</v>
      </c>
      <c r="CG94" s="105">
        <v>520</v>
      </c>
      <c r="CH94" s="139">
        <v>17</v>
      </c>
      <c r="CI94" s="150">
        <v>54</v>
      </c>
      <c r="CJ94" s="105">
        <v>42</v>
      </c>
      <c r="CK94" s="18">
        <v>0</v>
      </c>
      <c r="CL94" s="150">
        <v>10</v>
      </c>
      <c r="CM94" s="105">
        <v>3483</v>
      </c>
      <c r="CN94" s="139">
        <v>57</v>
      </c>
      <c r="CO94" s="150">
        <v>915</v>
      </c>
      <c r="CP94" s="444">
        <v>19</v>
      </c>
      <c r="CQ94" s="374">
        <v>0</v>
      </c>
      <c r="CR94" s="150">
        <v>13</v>
      </c>
      <c r="CS94" s="105">
        <v>14</v>
      </c>
      <c r="CT94" s="18">
        <v>0</v>
      </c>
      <c r="CU94" s="150">
        <v>2</v>
      </c>
      <c r="CV94" s="105">
        <v>9</v>
      </c>
      <c r="CW94" s="18">
        <v>0</v>
      </c>
      <c r="CX94" s="150">
        <v>1</v>
      </c>
      <c r="CY94" s="105">
        <v>277</v>
      </c>
      <c r="CZ94" s="139">
        <v>2</v>
      </c>
      <c r="DA94" s="150">
        <v>61</v>
      </c>
      <c r="DB94" s="444">
        <v>266</v>
      </c>
      <c r="DC94" s="139">
        <v>2</v>
      </c>
      <c r="DD94" s="150">
        <v>25</v>
      </c>
      <c r="DE94" s="105">
        <v>2818</v>
      </c>
      <c r="DF94" s="139">
        <v>41</v>
      </c>
      <c r="DG94" s="150">
        <v>131</v>
      </c>
      <c r="DH94" s="87">
        <v>26</v>
      </c>
      <c r="DI94" s="18">
        <v>0</v>
      </c>
      <c r="DJ94" s="317">
        <v>0</v>
      </c>
      <c r="DK94" s="105">
        <v>3094</v>
      </c>
      <c r="DL94" s="139">
        <v>144</v>
      </c>
      <c r="DM94" s="150">
        <v>57</v>
      </c>
      <c r="DN94" s="105">
        <v>1325</v>
      </c>
      <c r="DO94" s="139">
        <v>3</v>
      </c>
      <c r="DP94" s="150">
        <v>109</v>
      </c>
      <c r="DQ94" s="105">
        <v>1189</v>
      </c>
      <c r="DR94" s="139">
        <v>6</v>
      </c>
      <c r="DS94" s="150">
        <v>297</v>
      </c>
      <c r="DT94" s="105">
        <v>166</v>
      </c>
      <c r="DU94" s="139">
        <v>5</v>
      </c>
      <c r="DV94" s="150">
        <v>27</v>
      </c>
      <c r="DW94" s="444">
        <v>16</v>
      </c>
      <c r="DX94" s="139">
        <v>2</v>
      </c>
      <c r="DY94" s="150">
        <v>2</v>
      </c>
      <c r="DZ94" s="105">
        <v>355</v>
      </c>
      <c r="EA94" s="139">
        <v>5</v>
      </c>
      <c r="EB94" s="150">
        <v>50</v>
      </c>
      <c r="EC94" s="105">
        <v>2067</v>
      </c>
      <c r="ED94" s="139">
        <v>20</v>
      </c>
      <c r="EE94" s="150">
        <v>674</v>
      </c>
      <c r="EF94" s="105">
        <v>1</v>
      </c>
      <c r="EG94" s="18">
        <v>0</v>
      </c>
      <c r="EH94" s="317">
        <v>0</v>
      </c>
      <c r="EI94" s="87">
        <v>23934</v>
      </c>
      <c r="EJ94" s="139">
        <v>501</v>
      </c>
      <c r="EK94" s="150">
        <v>786</v>
      </c>
      <c r="EL94" s="105">
        <v>240</v>
      </c>
      <c r="EM94" s="18">
        <v>0</v>
      </c>
      <c r="EN94" s="150">
        <v>90</v>
      </c>
      <c r="EO94" s="18">
        <v>0</v>
      </c>
      <c r="EP94" s="18">
        <v>0</v>
      </c>
      <c r="EQ94" s="317">
        <v>0</v>
      </c>
      <c r="ER94" s="83"/>
      <c r="ES94" s="105">
        <v>217</v>
      </c>
      <c r="ET94" s="139">
        <v>1</v>
      </c>
      <c r="EU94" s="150">
        <v>21</v>
      </c>
      <c r="EV94" s="351" t="s">
        <v>1164</v>
      </c>
      <c r="EW94" s="77" t="s">
        <v>1165</v>
      </c>
    </row>
    <row r="95" spans="1:153" ht="12.75">
      <c r="A95" s="93">
        <v>43926</v>
      </c>
      <c r="B95" s="440">
        <f t="shared" ref="B95:D95" si="91">SUM(F95,I95,L95,O95,R95,U95,X95,AA95,AD95,AG95,AJ95,AN95,AQ95,AT95,AW95,AZ95,BC95,BF95,BI95,BL95,BO95,BR95,BU95,BX95,CA95,CD95,CG95,CJ95,CM95,CP95,CS95,CV95,CY95,DB95,DE95,DH95,DK95,DN95,DQ95,DT95,DW95,DZ95,EC95,EF95,EI95,EL95,ES95,)</f>
        <v>222934</v>
      </c>
      <c r="C95" s="441">
        <f t="shared" si="91"/>
        <v>8603</v>
      </c>
      <c r="D95" s="442">
        <f t="shared" si="91"/>
        <v>110670</v>
      </c>
      <c r="E95" s="443">
        <f t="shared" si="1"/>
        <v>103661</v>
      </c>
      <c r="F95" s="105">
        <v>2402</v>
      </c>
      <c r="G95" s="139">
        <v>34</v>
      </c>
      <c r="H95" s="150">
        <v>488</v>
      </c>
      <c r="I95" s="105">
        <v>822</v>
      </c>
      <c r="J95" s="139">
        <v>7</v>
      </c>
      <c r="K95" s="150">
        <v>57</v>
      </c>
      <c r="L95" s="105">
        <v>349</v>
      </c>
      <c r="M95" s="139">
        <v>7</v>
      </c>
      <c r="N95" s="150">
        <v>15</v>
      </c>
      <c r="O95" s="105">
        <v>584</v>
      </c>
      <c r="P95" s="139">
        <v>7</v>
      </c>
      <c r="Q95" s="150">
        <v>32</v>
      </c>
      <c r="R95" s="105">
        <v>700</v>
      </c>
      <c r="S95" s="139">
        <v>4</v>
      </c>
      <c r="T95" s="150">
        <v>431</v>
      </c>
      <c r="U95" s="105">
        <v>88</v>
      </c>
      <c r="V95" s="139">
        <v>9</v>
      </c>
      <c r="W95" s="150">
        <v>33</v>
      </c>
      <c r="X95" s="444">
        <v>5</v>
      </c>
      <c r="Y95" s="374">
        <v>0</v>
      </c>
      <c r="Z95" s="150">
        <v>2</v>
      </c>
      <c r="AA95" s="444">
        <v>21</v>
      </c>
      <c r="AB95" s="139">
        <v>1</v>
      </c>
      <c r="AC95" s="375">
        <v>0</v>
      </c>
      <c r="AD95" s="444">
        <v>135</v>
      </c>
      <c r="AE95" s="139">
        <v>1</v>
      </c>
      <c r="AF95" s="150">
        <v>66</v>
      </c>
      <c r="AG95" s="105">
        <v>114</v>
      </c>
      <c r="AH95" s="18">
        <v>0</v>
      </c>
      <c r="AI95" s="150">
        <v>50</v>
      </c>
      <c r="AJ95" s="105">
        <v>82602</v>
      </c>
      <c r="AK95" s="139">
        <v>3333</v>
      </c>
      <c r="AL95" s="397">
        <v>77207</v>
      </c>
      <c r="AM95" s="371">
        <f t="shared" si="2"/>
        <v>2062</v>
      </c>
      <c r="AN95" s="105">
        <v>10237</v>
      </c>
      <c r="AO95" s="139">
        <v>183</v>
      </c>
      <c r="AP95" s="150">
        <v>6463</v>
      </c>
      <c r="AQ95" s="105">
        <v>1799</v>
      </c>
      <c r="AR95" s="139">
        <v>10</v>
      </c>
      <c r="AS95" s="150">
        <v>144</v>
      </c>
      <c r="AT95" s="105">
        <v>174</v>
      </c>
      <c r="AU95" s="139">
        <v>2</v>
      </c>
      <c r="AV95" s="150">
        <v>36</v>
      </c>
      <c r="AW95" s="105">
        <v>118</v>
      </c>
      <c r="AX95" s="139">
        <v>3</v>
      </c>
      <c r="AY95" s="150">
        <v>60</v>
      </c>
      <c r="AZ95" s="105">
        <v>3588</v>
      </c>
      <c r="BA95" s="139">
        <v>99</v>
      </c>
      <c r="BB95" s="150">
        <v>229</v>
      </c>
      <c r="BC95" s="105">
        <v>2273</v>
      </c>
      <c r="BD95" s="139">
        <v>198</v>
      </c>
      <c r="BE95" s="138">
        <v>164</v>
      </c>
      <c r="BF95" s="105">
        <v>961</v>
      </c>
      <c r="BG95" s="139">
        <v>61</v>
      </c>
      <c r="BH95" s="150">
        <v>279</v>
      </c>
      <c r="BI95" s="105">
        <v>58226</v>
      </c>
      <c r="BJ95" s="139">
        <v>3603</v>
      </c>
      <c r="BK95" s="150">
        <v>19736</v>
      </c>
      <c r="BL95" s="105">
        <v>8430</v>
      </c>
      <c r="BM95" s="139">
        <v>49</v>
      </c>
      <c r="BN95" s="150">
        <v>477</v>
      </c>
      <c r="BO95" s="105">
        <v>3139</v>
      </c>
      <c r="BP95" s="139">
        <v>77</v>
      </c>
      <c r="BQ95" s="150">
        <v>514</v>
      </c>
      <c r="BR95" s="105">
        <v>345</v>
      </c>
      <c r="BS95" s="139">
        <v>5</v>
      </c>
      <c r="BT95" s="150">
        <v>110</v>
      </c>
      <c r="BU95" s="105">
        <v>584</v>
      </c>
      <c r="BV95" s="139">
        <v>6</v>
      </c>
      <c r="BW95" s="150">
        <v>42</v>
      </c>
      <c r="BX95" s="105">
        <v>144</v>
      </c>
      <c r="BY95" s="139">
        <v>1</v>
      </c>
      <c r="BZ95" s="150">
        <v>9</v>
      </c>
      <c r="CA95" s="105">
        <v>556</v>
      </c>
      <c r="CB95" s="139">
        <v>1</v>
      </c>
      <c r="CC95" s="150">
        <v>99</v>
      </c>
      <c r="CD95" s="444">
        <v>11</v>
      </c>
      <c r="CE95" s="374">
        <v>0</v>
      </c>
      <c r="CF95" s="375">
        <v>0</v>
      </c>
      <c r="CG95" s="105">
        <v>527</v>
      </c>
      <c r="CH95" s="139">
        <v>18</v>
      </c>
      <c r="CI95" s="150">
        <v>54</v>
      </c>
      <c r="CJ95" s="105">
        <v>42</v>
      </c>
      <c r="CK95" s="18">
        <v>0</v>
      </c>
      <c r="CL95" s="150">
        <v>10</v>
      </c>
      <c r="CM95" s="105">
        <v>3662</v>
      </c>
      <c r="CN95" s="139">
        <v>61</v>
      </c>
      <c r="CO95" s="150">
        <v>1005</v>
      </c>
      <c r="CP95" s="444">
        <v>19</v>
      </c>
      <c r="CQ95" s="374">
        <v>0</v>
      </c>
      <c r="CR95" s="150">
        <v>13</v>
      </c>
      <c r="CS95" s="105">
        <v>14</v>
      </c>
      <c r="CT95" s="18">
        <v>0</v>
      </c>
      <c r="CU95" s="150">
        <v>2</v>
      </c>
      <c r="CV95" s="105">
        <v>9</v>
      </c>
      <c r="CW95" s="18">
        <v>0</v>
      </c>
      <c r="CX95" s="150">
        <v>1</v>
      </c>
      <c r="CY95" s="105">
        <v>298</v>
      </c>
      <c r="CZ95" s="139">
        <v>2</v>
      </c>
      <c r="DA95" s="150">
        <v>61</v>
      </c>
      <c r="DB95" s="444">
        <v>342</v>
      </c>
      <c r="DC95" s="139">
        <v>2</v>
      </c>
      <c r="DD95" s="150">
        <v>30</v>
      </c>
      <c r="DE95" s="105">
        <v>3157</v>
      </c>
      <c r="DF95" s="139">
        <v>47</v>
      </c>
      <c r="DG95" s="150">
        <v>211</v>
      </c>
      <c r="DH95" s="87">
        <v>26</v>
      </c>
      <c r="DI95" s="18">
        <v>0</v>
      </c>
      <c r="DJ95" s="317">
        <v>0</v>
      </c>
      <c r="DK95" s="105">
        <v>3246</v>
      </c>
      <c r="DL95" s="139">
        <v>152</v>
      </c>
      <c r="DM95" s="150">
        <v>64</v>
      </c>
      <c r="DN95" s="105">
        <v>1604</v>
      </c>
      <c r="DO95" s="139">
        <v>4</v>
      </c>
      <c r="DP95" s="150">
        <v>123</v>
      </c>
      <c r="DQ95" s="105">
        <v>1309</v>
      </c>
      <c r="DR95" s="139">
        <v>6</v>
      </c>
      <c r="DS95" s="150">
        <v>320</v>
      </c>
      <c r="DT95" s="105">
        <v>176</v>
      </c>
      <c r="DU95" s="139">
        <v>5</v>
      </c>
      <c r="DV95" s="150">
        <v>33</v>
      </c>
      <c r="DW95" s="444">
        <v>19</v>
      </c>
      <c r="DX95" s="139">
        <v>2</v>
      </c>
      <c r="DY95" s="150">
        <v>2</v>
      </c>
      <c r="DZ95" s="105">
        <v>363</v>
      </c>
      <c r="EA95" s="139">
        <v>5</v>
      </c>
      <c r="EB95" s="150">
        <v>50</v>
      </c>
      <c r="EC95" s="105">
        <v>2169</v>
      </c>
      <c r="ED95" s="139">
        <v>23</v>
      </c>
      <c r="EE95" s="150">
        <v>793</v>
      </c>
      <c r="EF95" s="105">
        <v>1</v>
      </c>
      <c r="EG95" s="18">
        <v>0</v>
      </c>
      <c r="EH95" s="317">
        <v>0</v>
      </c>
      <c r="EI95" s="87">
        <v>27069</v>
      </c>
      <c r="EJ95" s="139">
        <v>574</v>
      </c>
      <c r="EK95" s="150">
        <v>1042</v>
      </c>
      <c r="EL95" s="105">
        <v>241</v>
      </c>
      <c r="EM95" s="18">
        <v>0</v>
      </c>
      <c r="EN95" s="150">
        <v>90</v>
      </c>
      <c r="EO95" s="18">
        <v>0</v>
      </c>
      <c r="EP95" s="18">
        <v>0</v>
      </c>
      <c r="EQ95" s="317">
        <v>0</v>
      </c>
      <c r="ER95" s="83"/>
      <c r="ES95" s="105">
        <v>234</v>
      </c>
      <c r="ET95" s="139">
        <v>1</v>
      </c>
      <c r="EU95" s="150">
        <v>23</v>
      </c>
      <c r="EV95" s="351"/>
      <c r="EW95" s="127"/>
    </row>
    <row r="96" spans="1:153" ht="12.75">
      <c r="A96" s="93">
        <v>43927</v>
      </c>
      <c r="B96" s="440">
        <f t="shared" ref="B96:D96" si="92">SUM(F96,I96,L96,O96,R96,U96,X96,AA96,AD96,AG96,AJ96,AN96,AQ96,AT96,AW96,AZ96,BC96,BF96,BI96,BL96,BO96,BR96,BU96,BX96,CA96,CD96,CG96,CJ96,CM96,CP96,CS96,CV96,CY96,DB96,DE96,DH96,DK96,DN96,DQ96,DT96,DW96,DZ96,EC96,EF96,EI96,EL96,ES96,)</f>
        <v>233566</v>
      </c>
      <c r="C96" s="441">
        <f t="shared" si="92"/>
        <v>8921</v>
      </c>
      <c r="D96" s="442">
        <f t="shared" si="92"/>
        <v>116644</v>
      </c>
      <c r="E96" s="443">
        <f t="shared" si="1"/>
        <v>108001</v>
      </c>
      <c r="F96" s="105">
        <v>2605</v>
      </c>
      <c r="G96" s="139">
        <v>38</v>
      </c>
      <c r="H96" s="150">
        <v>551</v>
      </c>
      <c r="I96" s="105">
        <v>833</v>
      </c>
      <c r="J96" s="139">
        <v>8</v>
      </c>
      <c r="K96" s="150">
        <v>62</v>
      </c>
      <c r="L96" s="105">
        <v>367</v>
      </c>
      <c r="M96" s="139">
        <v>7</v>
      </c>
      <c r="N96" s="150">
        <v>18</v>
      </c>
      <c r="O96" s="105">
        <v>641</v>
      </c>
      <c r="P96" s="139">
        <v>7</v>
      </c>
      <c r="Q96" s="150">
        <v>44</v>
      </c>
      <c r="R96" s="105">
        <v>756</v>
      </c>
      <c r="S96" s="139">
        <v>4</v>
      </c>
      <c r="T96" s="150">
        <v>458</v>
      </c>
      <c r="U96" s="105">
        <v>123</v>
      </c>
      <c r="V96" s="139">
        <v>12</v>
      </c>
      <c r="W96" s="150">
        <v>33</v>
      </c>
      <c r="X96" s="444">
        <v>5</v>
      </c>
      <c r="Y96" s="374">
        <v>0</v>
      </c>
      <c r="Z96" s="150">
        <v>2</v>
      </c>
      <c r="AA96" s="444">
        <v>22</v>
      </c>
      <c r="AB96" s="139">
        <v>1</v>
      </c>
      <c r="AC96" s="375">
        <v>0</v>
      </c>
      <c r="AD96" s="444">
        <v>135</v>
      </c>
      <c r="AE96" s="139">
        <v>1</v>
      </c>
      <c r="AF96" s="150">
        <v>82</v>
      </c>
      <c r="AG96" s="105">
        <v>114</v>
      </c>
      <c r="AH96" s="18">
        <v>0</v>
      </c>
      <c r="AI96" s="150">
        <v>53</v>
      </c>
      <c r="AJ96" s="105">
        <v>82665</v>
      </c>
      <c r="AK96" s="139">
        <v>3335</v>
      </c>
      <c r="AL96" s="397">
        <v>77310</v>
      </c>
      <c r="AM96" s="371">
        <f t="shared" si="2"/>
        <v>2020</v>
      </c>
      <c r="AN96" s="105">
        <v>10284</v>
      </c>
      <c r="AO96" s="139">
        <v>186</v>
      </c>
      <c r="AP96" s="150">
        <v>6598</v>
      </c>
      <c r="AQ96" s="105">
        <v>2076</v>
      </c>
      <c r="AR96" s="139">
        <v>11</v>
      </c>
      <c r="AS96" s="150">
        <v>167</v>
      </c>
      <c r="AT96" s="105">
        <v>188</v>
      </c>
      <c r="AU96" s="139">
        <v>2</v>
      </c>
      <c r="AV96" s="150">
        <v>36</v>
      </c>
      <c r="AW96" s="105">
        <v>118</v>
      </c>
      <c r="AX96" s="139">
        <v>3</v>
      </c>
      <c r="AY96" s="150">
        <v>60</v>
      </c>
      <c r="AZ96" s="105">
        <v>4778</v>
      </c>
      <c r="BA96" s="139">
        <v>136</v>
      </c>
      <c r="BB96" s="150">
        <v>375</v>
      </c>
      <c r="BC96" s="105">
        <v>2491</v>
      </c>
      <c r="BD96" s="139">
        <v>209</v>
      </c>
      <c r="BE96" s="138">
        <v>192</v>
      </c>
      <c r="BF96" s="105">
        <v>1031</v>
      </c>
      <c r="BG96" s="139">
        <v>64</v>
      </c>
      <c r="BH96" s="150">
        <v>344</v>
      </c>
      <c r="BI96" s="105">
        <v>60500</v>
      </c>
      <c r="BJ96" s="139">
        <v>3739</v>
      </c>
      <c r="BK96" s="150">
        <v>24236</v>
      </c>
      <c r="BL96" s="105">
        <v>8904</v>
      </c>
      <c r="BM96" s="139">
        <v>57</v>
      </c>
      <c r="BN96" s="150">
        <v>585</v>
      </c>
      <c r="BO96" s="105">
        <v>3654</v>
      </c>
      <c r="BP96" s="139">
        <v>85</v>
      </c>
      <c r="BQ96" s="150">
        <v>575</v>
      </c>
      <c r="BR96" s="105">
        <v>349</v>
      </c>
      <c r="BS96" s="139">
        <v>6</v>
      </c>
      <c r="BT96" s="150">
        <v>126</v>
      </c>
      <c r="BU96" s="105">
        <v>662</v>
      </c>
      <c r="BV96" s="139">
        <v>6</v>
      </c>
      <c r="BW96" s="150">
        <v>46</v>
      </c>
      <c r="BX96" s="105">
        <v>216</v>
      </c>
      <c r="BY96" s="139">
        <v>4</v>
      </c>
      <c r="BZ96" s="150">
        <v>33</v>
      </c>
      <c r="CA96" s="105">
        <v>665</v>
      </c>
      <c r="CB96" s="139">
        <v>1</v>
      </c>
      <c r="CC96" s="150">
        <v>103</v>
      </c>
      <c r="CD96" s="444">
        <v>12</v>
      </c>
      <c r="CE96" s="374">
        <v>0</v>
      </c>
      <c r="CF96" s="375">
        <v>0</v>
      </c>
      <c r="CG96" s="105">
        <v>541</v>
      </c>
      <c r="CH96" s="139">
        <v>19</v>
      </c>
      <c r="CI96" s="150">
        <v>54</v>
      </c>
      <c r="CJ96" s="105">
        <v>42</v>
      </c>
      <c r="CK96" s="18">
        <v>0</v>
      </c>
      <c r="CL96" s="150">
        <v>10</v>
      </c>
      <c r="CM96" s="105">
        <v>3793</v>
      </c>
      <c r="CN96" s="139">
        <v>62</v>
      </c>
      <c r="CO96" s="150">
        <v>1241</v>
      </c>
      <c r="CP96" s="444">
        <v>19</v>
      </c>
      <c r="CQ96" s="374">
        <v>0</v>
      </c>
      <c r="CR96" s="150">
        <v>13</v>
      </c>
      <c r="CS96" s="105">
        <v>15</v>
      </c>
      <c r="CT96" s="18">
        <v>0</v>
      </c>
      <c r="CU96" s="150">
        <v>2</v>
      </c>
      <c r="CV96" s="105">
        <v>9</v>
      </c>
      <c r="CW96" s="18">
        <v>0</v>
      </c>
      <c r="CX96" s="150">
        <v>1</v>
      </c>
      <c r="CY96" s="105">
        <v>331</v>
      </c>
      <c r="CZ96" s="139">
        <v>2</v>
      </c>
      <c r="DA96" s="150">
        <v>61</v>
      </c>
      <c r="DB96" s="444">
        <v>457</v>
      </c>
      <c r="DC96" s="139">
        <v>2</v>
      </c>
      <c r="DD96" s="150">
        <v>30</v>
      </c>
      <c r="DE96" s="105">
        <v>3766</v>
      </c>
      <c r="DF96" s="139">
        <v>53</v>
      </c>
      <c r="DG96" s="150">
        <v>259</v>
      </c>
      <c r="DH96" s="87">
        <v>26</v>
      </c>
      <c r="DI96" s="18">
        <v>0</v>
      </c>
      <c r="DJ96" s="317">
        <v>0</v>
      </c>
      <c r="DK96" s="105">
        <v>3660</v>
      </c>
      <c r="DL96" s="139">
        <v>163</v>
      </c>
      <c r="DM96" s="150">
        <v>73</v>
      </c>
      <c r="DN96" s="105">
        <v>1832</v>
      </c>
      <c r="DO96" s="139">
        <v>4</v>
      </c>
      <c r="DP96" s="150">
        <v>131</v>
      </c>
      <c r="DQ96" s="105">
        <v>1375</v>
      </c>
      <c r="DR96" s="139">
        <v>6</v>
      </c>
      <c r="DS96" s="150">
        <v>344</v>
      </c>
      <c r="DT96" s="105">
        <v>178</v>
      </c>
      <c r="DU96" s="139">
        <v>5</v>
      </c>
      <c r="DV96" s="150">
        <v>38</v>
      </c>
      <c r="DW96" s="444">
        <v>19</v>
      </c>
      <c r="DX96" s="139">
        <v>2</v>
      </c>
      <c r="DY96" s="150">
        <v>2</v>
      </c>
      <c r="DZ96" s="105">
        <v>373</v>
      </c>
      <c r="EA96" s="139">
        <v>5</v>
      </c>
      <c r="EB96" s="150">
        <v>57</v>
      </c>
      <c r="EC96" s="105">
        <v>2220</v>
      </c>
      <c r="ED96" s="139">
        <v>26</v>
      </c>
      <c r="EE96" s="150">
        <v>793</v>
      </c>
      <c r="EF96" s="105">
        <v>1</v>
      </c>
      <c r="EG96" s="18">
        <v>0</v>
      </c>
      <c r="EH96" s="317">
        <v>0</v>
      </c>
      <c r="EI96" s="87">
        <v>30217</v>
      </c>
      <c r="EJ96" s="139">
        <v>649</v>
      </c>
      <c r="EK96" s="150">
        <v>1326</v>
      </c>
      <c r="EL96" s="105">
        <v>245</v>
      </c>
      <c r="EM96" s="18">
        <v>0</v>
      </c>
      <c r="EN96" s="150">
        <v>95</v>
      </c>
      <c r="EO96" s="18">
        <v>0</v>
      </c>
      <c r="EP96" s="18">
        <v>0</v>
      </c>
      <c r="EQ96" s="317">
        <v>0</v>
      </c>
      <c r="ER96" s="83"/>
      <c r="ES96" s="105">
        <v>253</v>
      </c>
      <c r="ET96" s="139">
        <v>1</v>
      </c>
      <c r="EU96" s="150">
        <v>25</v>
      </c>
      <c r="EV96" s="351"/>
      <c r="EW96" s="127"/>
    </row>
    <row r="97" spans="1:153" ht="12.75">
      <c r="A97" s="93">
        <v>43928</v>
      </c>
      <c r="B97" s="440">
        <f t="shared" ref="B97:D97" si="93">SUM(F97,I97,L97,O97,R97,U97,X97,AA97,AD97,AG97,AJ97,AN97,AQ97,AT97,AW97,AZ97,BC97,BF97,BI97,BL97,BO97,BR97,BU97,BX97,CA97,CD97,CG97,CJ97,CM97,CP97,CS97,CV97,CY97,DB97,DE97,DH97,DK97,DN97,DQ97,DT97,DW97,DZ97,EC97,EF97,EI97,EL97,ES97,)</f>
        <v>242977</v>
      </c>
      <c r="C97" s="441">
        <f t="shared" si="93"/>
        <v>9219</v>
      </c>
      <c r="D97" s="442">
        <f t="shared" si="93"/>
        <v>120807</v>
      </c>
      <c r="E97" s="443">
        <f t="shared" si="1"/>
        <v>112951</v>
      </c>
      <c r="F97" s="105">
        <v>2795</v>
      </c>
      <c r="G97" s="139">
        <v>41</v>
      </c>
      <c r="H97" s="150">
        <v>615</v>
      </c>
      <c r="I97" s="105">
        <v>853</v>
      </c>
      <c r="J97" s="139">
        <v>8</v>
      </c>
      <c r="K97" s="150">
        <v>87</v>
      </c>
      <c r="L97" s="105">
        <v>423</v>
      </c>
      <c r="M97" s="139">
        <v>14</v>
      </c>
      <c r="N97" s="150">
        <v>18</v>
      </c>
      <c r="O97" s="105">
        <v>717</v>
      </c>
      <c r="P97" s="139">
        <v>8</v>
      </c>
      <c r="Q97" s="150">
        <v>44</v>
      </c>
      <c r="R97" s="105">
        <v>811</v>
      </c>
      <c r="S97" s="139">
        <v>5</v>
      </c>
      <c r="T97" s="150">
        <v>458</v>
      </c>
      <c r="U97" s="105">
        <v>164</v>
      </c>
      <c r="V97" s="139">
        <v>17</v>
      </c>
      <c r="W97" s="150">
        <v>33</v>
      </c>
      <c r="X97" s="444">
        <v>5</v>
      </c>
      <c r="Y97" s="374">
        <v>0</v>
      </c>
      <c r="Z97" s="150">
        <v>2</v>
      </c>
      <c r="AA97" s="444">
        <v>22</v>
      </c>
      <c r="AB97" s="139">
        <v>1</v>
      </c>
      <c r="AC97" s="375">
        <v>0</v>
      </c>
      <c r="AD97" s="444">
        <v>135</v>
      </c>
      <c r="AE97" s="139">
        <v>1</v>
      </c>
      <c r="AF97" s="150">
        <v>85</v>
      </c>
      <c r="AG97" s="105">
        <v>115</v>
      </c>
      <c r="AH97" s="18">
        <v>0</v>
      </c>
      <c r="AI97" s="150">
        <v>58</v>
      </c>
      <c r="AJ97" s="105">
        <v>82718</v>
      </c>
      <c r="AK97" s="139">
        <v>3335</v>
      </c>
      <c r="AL97" s="397">
        <v>77410</v>
      </c>
      <c r="AM97" s="371">
        <f t="shared" si="2"/>
        <v>1973</v>
      </c>
      <c r="AN97" s="105">
        <v>10331</v>
      </c>
      <c r="AO97" s="139">
        <v>192</v>
      </c>
      <c r="AP97" s="150">
        <v>6694</v>
      </c>
      <c r="AQ97" s="105">
        <v>2359</v>
      </c>
      <c r="AR97" s="139">
        <v>12</v>
      </c>
      <c r="AS97" s="150">
        <v>186</v>
      </c>
      <c r="AT97" s="105">
        <v>196</v>
      </c>
      <c r="AU97" s="139">
        <v>3</v>
      </c>
      <c r="AV97" s="150">
        <v>46</v>
      </c>
      <c r="AW97" s="105">
        <v>118</v>
      </c>
      <c r="AX97" s="139">
        <v>3</v>
      </c>
      <c r="AY97" s="150">
        <v>60</v>
      </c>
      <c r="AZ97" s="105">
        <v>5311</v>
      </c>
      <c r="BA97" s="139">
        <v>150</v>
      </c>
      <c r="BB97" s="150">
        <v>421</v>
      </c>
      <c r="BC97" s="105">
        <v>2738</v>
      </c>
      <c r="BD97" s="139">
        <v>221</v>
      </c>
      <c r="BE97" s="138">
        <v>204</v>
      </c>
      <c r="BF97" s="105">
        <v>1122</v>
      </c>
      <c r="BG97" s="139">
        <v>65</v>
      </c>
      <c r="BH97" s="150">
        <v>373</v>
      </c>
      <c r="BI97" s="105">
        <v>62589</v>
      </c>
      <c r="BJ97" s="139">
        <v>3872</v>
      </c>
      <c r="BK97" s="150">
        <v>27039</v>
      </c>
      <c r="BL97" s="105">
        <v>9248</v>
      </c>
      <c r="BM97" s="139">
        <v>65</v>
      </c>
      <c r="BN97" s="150">
        <v>770</v>
      </c>
      <c r="BO97" s="105">
        <v>3906</v>
      </c>
      <c r="BP97" s="139">
        <v>92</v>
      </c>
      <c r="BQ97" s="150">
        <v>592</v>
      </c>
      <c r="BR97" s="105">
        <v>353</v>
      </c>
      <c r="BS97" s="139">
        <v>6</v>
      </c>
      <c r="BT97" s="150">
        <v>138</v>
      </c>
      <c r="BU97" s="105">
        <v>697</v>
      </c>
      <c r="BV97" s="139">
        <v>6</v>
      </c>
      <c r="BW97" s="150">
        <v>51</v>
      </c>
      <c r="BX97" s="105">
        <v>228</v>
      </c>
      <c r="BY97" s="139">
        <v>4</v>
      </c>
      <c r="BZ97" s="150">
        <v>33</v>
      </c>
      <c r="CA97" s="105">
        <v>743</v>
      </c>
      <c r="CB97" s="139">
        <v>1</v>
      </c>
      <c r="CC97" s="150">
        <v>105</v>
      </c>
      <c r="CD97" s="444">
        <v>14</v>
      </c>
      <c r="CE97" s="374">
        <v>0</v>
      </c>
      <c r="CF97" s="375">
        <v>0</v>
      </c>
      <c r="CG97" s="105">
        <v>548</v>
      </c>
      <c r="CH97" s="139">
        <v>19</v>
      </c>
      <c r="CI97" s="150">
        <v>62</v>
      </c>
      <c r="CJ97" s="105">
        <v>42</v>
      </c>
      <c r="CK97" s="18">
        <v>0</v>
      </c>
      <c r="CL97" s="150">
        <v>10</v>
      </c>
      <c r="CM97" s="105">
        <v>3963</v>
      </c>
      <c r="CN97" s="139">
        <v>63</v>
      </c>
      <c r="CO97" s="150">
        <v>1321</v>
      </c>
      <c r="CP97" s="444">
        <v>19</v>
      </c>
      <c r="CQ97" s="374">
        <v>0</v>
      </c>
      <c r="CR97" s="150">
        <v>13</v>
      </c>
      <c r="CS97" s="105">
        <v>15</v>
      </c>
      <c r="CT97" s="18">
        <v>0</v>
      </c>
      <c r="CU97" s="150">
        <v>4</v>
      </c>
      <c r="CV97" s="105">
        <v>9</v>
      </c>
      <c r="CW97" s="18">
        <v>0</v>
      </c>
      <c r="CX97" s="150">
        <v>1</v>
      </c>
      <c r="CY97" s="105">
        <v>371</v>
      </c>
      <c r="CZ97" s="139">
        <v>2</v>
      </c>
      <c r="DA97" s="150">
        <v>67</v>
      </c>
      <c r="DB97" s="444">
        <v>504</v>
      </c>
      <c r="DC97" s="139">
        <v>2</v>
      </c>
      <c r="DD97" s="150">
        <v>30</v>
      </c>
      <c r="DE97" s="105">
        <v>4009</v>
      </c>
      <c r="DF97" s="139">
        <v>56</v>
      </c>
      <c r="DG97" s="150">
        <v>429</v>
      </c>
      <c r="DH97" s="87">
        <v>26</v>
      </c>
      <c r="DI97" s="18">
        <v>0</v>
      </c>
      <c r="DJ97" s="317">
        <v>0</v>
      </c>
      <c r="DK97" s="105">
        <v>3764</v>
      </c>
      <c r="DL97" s="139">
        <v>177</v>
      </c>
      <c r="DM97" s="150">
        <v>84</v>
      </c>
      <c r="DN97" s="105">
        <v>2057</v>
      </c>
      <c r="DO97" s="139">
        <v>6</v>
      </c>
      <c r="DP97" s="150">
        <v>150</v>
      </c>
      <c r="DQ97" s="105">
        <v>1481</v>
      </c>
      <c r="DR97" s="139">
        <v>6</v>
      </c>
      <c r="DS97" s="150">
        <v>377</v>
      </c>
      <c r="DT97" s="105">
        <v>185</v>
      </c>
      <c r="DU97" s="139">
        <v>6</v>
      </c>
      <c r="DV97" s="150">
        <v>42</v>
      </c>
      <c r="DW97" s="444">
        <v>19</v>
      </c>
      <c r="DX97" s="139">
        <v>2</v>
      </c>
      <c r="DY97" s="150">
        <v>3</v>
      </c>
      <c r="DZ97" s="105">
        <v>376</v>
      </c>
      <c r="EA97" s="139">
        <v>5</v>
      </c>
      <c r="EB97" s="150">
        <v>57</v>
      </c>
      <c r="EC97" s="105">
        <v>2258</v>
      </c>
      <c r="ED97" s="139">
        <v>27</v>
      </c>
      <c r="EE97" s="150">
        <v>888</v>
      </c>
      <c r="EF97" s="105">
        <v>1</v>
      </c>
      <c r="EG97" s="18">
        <v>0</v>
      </c>
      <c r="EH97" s="317">
        <v>0</v>
      </c>
      <c r="EI97" s="87">
        <v>34109</v>
      </c>
      <c r="EJ97" s="139">
        <v>725</v>
      </c>
      <c r="EK97" s="150">
        <v>1582</v>
      </c>
      <c r="EL97" s="105">
        <v>249</v>
      </c>
      <c r="EM97" s="18">
        <v>0</v>
      </c>
      <c r="EN97" s="150">
        <v>123</v>
      </c>
      <c r="EO97" s="18">
        <v>0</v>
      </c>
      <c r="EP97" s="18">
        <v>0</v>
      </c>
      <c r="EQ97" s="317">
        <v>0</v>
      </c>
      <c r="ER97" s="83"/>
      <c r="ES97" s="105">
        <v>261</v>
      </c>
      <c r="ET97" s="139">
        <v>1</v>
      </c>
      <c r="EU97" s="150">
        <v>42</v>
      </c>
      <c r="EV97" s="351"/>
      <c r="EW97" s="127"/>
    </row>
    <row r="98" spans="1:153" ht="12.75">
      <c r="A98" s="93">
        <v>43929</v>
      </c>
      <c r="B98" s="440">
        <f t="shared" ref="B98:D98" si="94">SUM(F98,I98,L98,O98,R98,U98,X98,AA98,AD98,AG98,AJ98,AN98,AQ98,AT98,AW98,AZ98,BC98,BF98,BI98,BL98,BO98,BR98,BU98,BX98,CA98,CD98,CG98,CJ98,CM98,CP98,CS98,CV98,CY98,DB98,DE98,DH98,DK98,DN98,DQ98,DT98,DW98,DZ98,EC98,EF98,EI98,EL98,ES98,)</f>
        <v>252560</v>
      </c>
      <c r="C98" s="441">
        <f t="shared" si="94"/>
        <v>9518</v>
      </c>
      <c r="D98" s="442">
        <f t="shared" si="94"/>
        <v>124796</v>
      </c>
      <c r="E98" s="443">
        <f t="shared" si="1"/>
        <v>118246</v>
      </c>
      <c r="F98" s="105">
        <v>2932</v>
      </c>
      <c r="G98" s="139">
        <v>41</v>
      </c>
      <c r="H98" s="150">
        <v>631</v>
      </c>
      <c r="I98" s="105">
        <v>881</v>
      </c>
      <c r="J98" s="139">
        <v>9</v>
      </c>
      <c r="K98" s="150">
        <v>114</v>
      </c>
      <c r="L98" s="105">
        <v>444</v>
      </c>
      <c r="M98" s="139">
        <v>14</v>
      </c>
      <c r="N98" s="150">
        <v>29</v>
      </c>
      <c r="O98" s="105">
        <v>822</v>
      </c>
      <c r="P98" s="139">
        <v>8</v>
      </c>
      <c r="Q98" s="150">
        <v>63</v>
      </c>
      <c r="R98" s="105">
        <v>823</v>
      </c>
      <c r="S98" s="139">
        <v>5</v>
      </c>
      <c r="T98" s="150">
        <v>477</v>
      </c>
      <c r="U98" s="105">
        <v>218</v>
      </c>
      <c r="V98" s="139">
        <v>20</v>
      </c>
      <c r="W98" s="150">
        <v>33</v>
      </c>
      <c r="X98" s="444">
        <v>5</v>
      </c>
      <c r="Y98" s="374">
        <v>0</v>
      </c>
      <c r="Z98" s="150">
        <v>2</v>
      </c>
      <c r="AA98" s="444">
        <v>22</v>
      </c>
      <c r="AB98" s="139">
        <v>3</v>
      </c>
      <c r="AC98" s="375">
        <v>0</v>
      </c>
      <c r="AD98" s="444">
        <v>135</v>
      </c>
      <c r="AE98" s="139">
        <v>1</v>
      </c>
      <c r="AF98" s="150">
        <v>91</v>
      </c>
      <c r="AG98" s="105">
        <v>117</v>
      </c>
      <c r="AH98" s="18">
        <v>0</v>
      </c>
      <c r="AI98" s="150">
        <v>62</v>
      </c>
      <c r="AJ98" s="105">
        <v>82809</v>
      </c>
      <c r="AK98" s="139">
        <v>3337</v>
      </c>
      <c r="AL98" s="397">
        <v>77567</v>
      </c>
      <c r="AM98" s="371">
        <f t="shared" si="2"/>
        <v>1905</v>
      </c>
      <c r="AN98" s="105">
        <v>10384</v>
      </c>
      <c r="AO98" s="139">
        <v>200</v>
      </c>
      <c r="AP98" s="150">
        <v>6776</v>
      </c>
      <c r="AQ98" s="105">
        <v>2659</v>
      </c>
      <c r="AR98" s="139">
        <v>12</v>
      </c>
      <c r="AS98" s="150">
        <v>239</v>
      </c>
      <c r="AT98" s="105">
        <v>211</v>
      </c>
      <c r="AU98" s="139">
        <v>3</v>
      </c>
      <c r="AV98" s="150">
        <v>50</v>
      </c>
      <c r="AW98" s="105">
        <v>118</v>
      </c>
      <c r="AX98" s="139">
        <v>3</v>
      </c>
      <c r="AY98" s="150">
        <v>60</v>
      </c>
      <c r="AZ98" s="105">
        <v>5916</v>
      </c>
      <c r="BA98" s="139">
        <v>178</v>
      </c>
      <c r="BB98" s="150">
        <v>506</v>
      </c>
      <c r="BC98" s="105">
        <v>2956</v>
      </c>
      <c r="BD98" s="139">
        <v>240</v>
      </c>
      <c r="BE98" s="138">
        <v>222</v>
      </c>
      <c r="BF98" s="105">
        <v>1202</v>
      </c>
      <c r="BG98" s="139">
        <v>69</v>
      </c>
      <c r="BH98" s="150">
        <v>452</v>
      </c>
      <c r="BI98" s="105">
        <v>64586</v>
      </c>
      <c r="BJ98" s="139">
        <v>3993</v>
      </c>
      <c r="BK98" s="150">
        <v>29812</v>
      </c>
      <c r="BL98" s="105">
        <v>9404</v>
      </c>
      <c r="BM98" s="139">
        <v>73</v>
      </c>
      <c r="BN98" s="150">
        <v>801</v>
      </c>
      <c r="BO98" s="105">
        <v>4257</v>
      </c>
      <c r="BP98" s="139">
        <v>93</v>
      </c>
      <c r="BQ98" s="150">
        <v>622</v>
      </c>
      <c r="BR98" s="105">
        <v>358</v>
      </c>
      <c r="BS98" s="139">
        <v>6</v>
      </c>
      <c r="BT98" s="150">
        <v>150</v>
      </c>
      <c r="BU98" s="105">
        <v>727</v>
      </c>
      <c r="BV98" s="139">
        <v>7</v>
      </c>
      <c r="BW98" s="150">
        <v>54</v>
      </c>
      <c r="BX98" s="105">
        <v>270</v>
      </c>
      <c r="BY98" s="139">
        <v>4</v>
      </c>
      <c r="BZ98" s="150">
        <v>33</v>
      </c>
      <c r="CA98" s="105">
        <v>855</v>
      </c>
      <c r="CB98" s="139">
        <v>1</v>
      </c>
      <c r="CC98" s="150">
        <v>111</v>
      </c>
      <c r="CD98" s="444">
        <v>15</v>
      </c>
      <c r="CE98" s="374">
        <v>0</v>
      </c>
      <c r="CF98" s="375">
        <v>0</v>
      </c>
      <c r="CG98" s="105">
        <v>576</v>
      </c>
      <c r="CH98" s="139">
        <v>19</v>
      </c>
      <c r="CI98" s="150">
        <v>62</v>
      </c>
      <c r="CJ98" s="105">
        <v>42</v>
      </c>
      <c r="CK98" s="18">
        <v>0</v>
      </c>
      <c r="CL98" s="150">
        <v>10</v>
      </c>
      <c r="CM98" s="105">
        <v>4119</v>
      </c>
      <c r="CN98" s="139">
        <v>65</v>
      </c>
      <c r="CO98" s="150">
        <v>1487</v>
      </c>
      <c r="CP98" s="444">
        <v>19</v>
      </c>
      <c r="CQ98" s="374">
        <v>0</v>
      </c>
      <c r="CR98" s="150">
        <v>13</v>
      </c>
      <c r="CS98" s="105">
        <v>16</v>
      </c>
      <c r="CT98" s="18">
        <v>0</v>
      </c>
      <c r="CU98" s="150">
        <v>4</v>
      </c>
      <c r="CV98" s="105">
        <v>9</v>
      </c>
      <c r="CW98" s="18">
        <v>0</v>
      </c>
      <c r="CX98" s="150">
        <v>1</v>
      </c>
      <c r="CY98" s="105">
        <v>419</v>
      </c>
      <c r="CZ98" s="139">
        <v>2</v>
      </c>
      <c r="DA98" s="150">
        <v>72</v>
      </c>
      <c r="DB98" s="444">
        <v>545</v>
      </c>
      <c r="DC98" s="139">
        <v>3</v>
      </c>
      <c r="DD98" s="150">
        <v>30</v>
      </c>
      <c r="DE98" s="105">
        <v>4263</v>
      </c>
      <c r="DF98" s="139">
        <v>61</v>
      </c>
      <c r="DG98" s="150">
        <v>467</v>
      </c>
      <c r="DH98" s="87">
        <v>26</v>
      </c>
      <c r="DI98" s="18">
        <v>0</v>
      </c>
      <c r="DJ98" s="317">
        <v>0</v>
      </c>
      <c r="DK98" s="105">
        <v>3870</v>
      </c>
      <c r="DL98" s="139">
        <v>182</v>
      </c>
      <c r="DM98" s="150">
        <v>96</v>
      </c>
      <c r="DN98" s="105">
        <v>2210</v>
      </c>
      <c r="DO98" s="139">
        <v>6</v>
      </c>
      <c r="DP98" s="150">
        <v>178</v>
      </c>
      <c r="DQ98" s="105">
        <v>1623</v>
      </c>
      <c r="DR98" s="139">
        <v>6</v>
      </c>
      <c r="DS98" s="150">
        <v>406</v>
      </c>
      <c r="DT98" s="105">
        <v>189</v>
      </c>
      <c r="DU98" s="139">
        <v>7</v>
      </c>
      <c r="DV98" s="150">
        <v>44</v>
      </c>
      <c r="DW98" s="444">
        <v>19</v>
      </c>
      <c r="DX98" s="139">
        <v>2</v>
      </c>
      <c r="DY98" s="150">
        <v>4</v>
      </c>
      <c r="DZ98" s="105">
        <v>379</v>
      </c>
      <c r="EA98" s="139">
        <v>5</v>
      </c>
      <c r="EB98" s="150">
        <v>61</v>
      </c>
      <c r="EC98" s="105">
        <v>2369</v>
      </c>
      <c r="ED98" s="139">
        <v>27</v>
      </c>
      <c r="EE98" s="150">
        <v>888</v>
      </c>
      <c r="EF98" s="105">
        <v>1</v>
      </c>
      <c r="EG98" s="18">
        <v>0</v>
      </c>
      <c r="EH98" s="317">
        <v>0</v>
      </c>
      <c r="EI98" s="87">
        <v>38226</v>
      </c>
      <c r="EJ98" s="139">
        <v>812</v>
      </c>
      <c r="EK98" s="150">
        <v>1846</v>
      </c>
      <c r="EL98" s="105">
        <v>251</v>
      </c>
      <c r="EM98" s="18">
        <v>0</v>
      </c>
      <c r="EN98" s="150">
        <v>126</v>
      </c>
      <c r="EO98" s="18">
        <v>0</v>
      </c>
      <c r="EP98" s="18">
        <v>0</v>
      </c>
      <c r="EQ98" s="317">
        <v>0</v>
      </c>
      <c r="ER98" s="83"/>
      <c r="ES98" s="105">
        <v>263</v>
      </c>
      <c r="ET98" s="139">
        <v>1</v>
      </c>
      <c r="EU98" s="150">
        <v>44</v>
      </c>
      <c r="EV98" s="351"/>
      <c r="EW98" s="127"/>
    </row>
    <row r="99" spans="1:153" ht="12.75">
      <c r="A99" s="93">
        <v>43930</v>
      </c>
      <c r="B99" s="440">
        <f t="shared" ref="B99:D99" si="95">SUM(F99,I99,L99,O99,R99,U99,X99,AA99,AD99,AG99,AJ99,AN99,AQ99,AT99,AW99,AZ99,BC99,BF99,BI99,BL99,BO99,BR99,BU99,BX99,CA99,CD99,CG99,CJ99,CM99,CP99,CS99,CV99,CY99,DB99,DE99,DH99,DK99,DN99,DQ99,DT99,DW99,DZ99,EC99,EF99,EI99,EL99,ES99,)</f>
        <v>262838</v>
      </c>
      <c r="C99" s="441">
        <f t="shared" si="95"/>
        <v>9882</v>
      </c>
      <c r="D99" s="442">
        <f t="shared" si="95"/>
        <v>128951</v>
      </c>
      <c r="E99" s="443">
        <f t="shared" si="1"/>
        <v>124005</v>
      </c>
      <c r="F99" s="105">
        <v>3287</v>
      </c>
      <c r="G99" s="139">
        <v>44</v>
      </c>
      <c r="H99" s="150">
        <v>666</v>
      </c>
      <c r="I99" s="105">
        <v>921</v>
      </c>
      <c r="J99" s="139">
        <v>10</v>
      </c>
      <c r="K99" s="150">
        <v>138</v>
      </c>
      <c r="L99" s="105">
        <v>484</v>
      </c>
      <c r="M99" s="139">
        <v>15</v>
      </c>
      <c r="N99" s="150">
        <v>32</v>
      </c>
      <c r="O99" s="105">
        <v>926</v>
      </c>
      <c r="P99" s="139">
        <v>9</v>
      </c>
      <c r="Q99" s="150">
        <v>101</v>
      </c>
      <c r="R99" s="105">
        <v>887</v>
      </c>
      <c r="S99" s="139">
        <v>5</v>
      </c>
      <c r="T99" s="150">
        <v>519</v>
      </c>
      <c r="U99" s="105">
        <v>330</v>
      </c>
      <c r="V99" s="139">
        <v>21</v>
      </c>
      <c r="W99" s="150">
        <v>33</v>
      </c>
      <c r="X99" s="444">
        <v>5</v>
      </c>
      <c r="Y99" s="374">
        <v>0</v>
      </c>
      <c r="Z99" s="150">
        <v>2</v>
      </c>
      <c r="AA99" s="444">
        <v>23</v>
      </c>
      <c r="AB99" s="139">
        <v>3</v>
      </c>
      <c r="AC99" s="150">
        <v>2</v>
      </c>
      <c r="AD99" s="444">
        <v>135</v>
      </c>
      <c r="AE99" s="139">
        <v>1</v>
      </c>
      <c r="AF99" s="150">
        <v>92</v>
      </c>
      <c r="AG99" s="105">
        <v>119</v>
      </c>
      <c r="AH99" s="18">
        <v>0</v>
      </c>
      <c r="AI99" s="150">
        <v>62</v>
      </c>
      <c r="AJ99" s="105">
        <v>82883</v>
      </c>
      <c r="AK99" s="139">
        <v>3339</v>
      </c>
      <c r="AL99" s="397">
        <v>77679</v>
      </c>
      <c r="AM99" s="371">
        <f t="shared" si="2"/>
        <v>1865</v>
      </c>
      <c r="AN99" s="105">
        <v>10423</v>
      </c>
      <c r="AO99" s="139">
        <v>204</v>
      </c>
      <c r="AP99" s="150">
        <v>6973</v>
      </c>
      <c r="AQ99" s="105">
        <v>2990</v>
      </c>
      <c r="AR99" s="139">
        <v>14</v>
      </c>
      <c r="AS99" s="150">
        <v>268</v>
      </c>
      <c r="AT99" s="105">
        <v>218</v>
      </c>
      <c r="AU99" s="139">
        <v>3</v>
      </c>
      <c r="AV99" s="150">
        <v>51</v>
      </c>
      <c r="AW99" s="105">
        <v>118</v>
      </c>
      <c r="AX99" s="139">
        <v>3</v>
      </c>
      <c r="AY99" s="150">
        <v>60</v>
      </c>
      <c r="AZ99" s="105">
        <v>6725</v>
      </c>
      <c r="BA99" s="139">
        <v>226</v>
      </c>
      <c r="BB99" s="150">
        <v>620</v>
      </c>
      <c r="BC99" s="105">
        <v>3293</v>
      </c>
      <c r="BD99" s="139">
        <v>280</v>
      </c>
      <c r="BE99" s="138">
        <v>252</v>
      </c>
      <c r="BF99" s="105">
        <v>1232</v>
      </c>
      <c r="BG99" s="139">
        <v>69</v>
      </c>
      <c r="BH99" s="150">
        <v>496</v>
      </c>
      <c r="BI99" s="105">
        <v>66220</v>
      </c>
      <c r="BJ99" s="139">
        <v>4110</v>
      </c>
      <c r="BK99" s="150">
        <v>32309</v>
      </c>
      <c r="BL99" s="105">
        <v>9968</v>
      </c>
      <c r="BM99" s="139">
        <v>86</v>
      </c>
      <c r="BN99" s="150">
        <v>1011</v>
      </c>
      <c r="BO99" s="105">
        <v>4667</v>
      </c>
      <c r="BP99" s="139">
        <v>94</v>
      </c>
      <c r="BQ99" s="150">
        <v>632</v>
      </c>
      <c r="BR99" s="105">
        <v>372</v>
      </c>
      <c r="BS99" s="139">
        <v>7</v>
      </c>
      <c r="BT99" s="150">
        <v>161</v>
      </c>
      <c r="BU99" s="105">
        <v>781</v>
      </c>
      <c r="BV99" s="139">
        <v>7</v>
      </c>
      <c r="BW99" s="150">
        <v>60</v>
      </c>
      <c r="BX99" s="105">
        <v>280</v>
      </c>
      <c r="BY99" s="139">
        <v>4</v>
      </c>
      <c r="BZ99" s="150">
        <v>35</v>
      </c>
      <c r="CA99" s="105">
        <v>910</v>
      </c>
      <c r="CB99" s="139">
        <v>1</v>
      </c>
      <c r="CC99" s="150">
        <v>111</v>
      </c>
      <c r="CD99" s="444">
        <v>16</v>
      </c>
      <c r="CE99" s="374">
        <v>0</v>
      </c>
      <c r="CF99" s="375">
        <v>0</v>
      </c>
      <c r="CG99" s="105">
        <v>582</v>
      </c>
      <c r="CH99" s="139">
        <v>19</v>
      </c>
      <c r="CI99" s="150">
        <v>67</v>
      </c>
      <c r="CJ99" s="105">
        <v>42</v>
      </c>
      <c r="CK99" s="18">
        <v>0</v>
      </c>
      <c r="CL99" s="150">
        <v>10</v>
      </c>
      <c r="CM99" s="105">
        <v>4228</v>
      </c>
      <c r="CN99" s="139">
        <v>67</v>
      </c>
      <c r="CO99" s="150">
        <v>1608</v>
      </c>
      <c r="CP99" s="444">
        <v>19</v>
      </c>
      <c r="CQ99" s="374">
        <v>0</v>
      </c>
      <c r="CR99" s="150">
        <v>13</v>
      </c>
      <c r="CS99" s="105">
        <v>16</v>
      </c>
      <c r="CT99" s="18">
        <v>0</v>
      </c>
      <c r="CU99" s="150">
        <v>4</v>
      </c>
      <c r="CV99" s="105">
        <v>9</v>
      </c>
      <c r="CW99" s="18">
        <v>0</v>
      </c>
      <c r="CX99" s="150">
        <v>1</v>
      </c>
      <c r="CY99" s="105">
        <v>457</v>
      </c>
      <c r="CZ99" s="139">
        <v>3</v>
      </c>
      <c r="DA99" s="150">
        <v>109</v>
      </c>
      <c r="DB99" s="444">
        <v>582</v>
      </c>
      <c r="DC99" s="139">
        <v>3</v>
      </c>
      <c r="DD99" s="150">
        <v>38</v>
      </c>
      <c r="DE99" s="105">
        <v>4489</v>
      </c>
      <c r="DF99" s="139">
        <v>65</v>
      </c>
      <c r="DG99" s="150">
        <v>572</v>
      </c>
      <c r="DH99" s="87">
        <v>26</v>
      </c>
      <c r="DI99" s="18">
        <v>0</v>
      </c>
      <c r="DJ99" s="317">
        <v>0</v>
      </c>
      <c r="DK99" s="105">
        <v>4076</v>
      </c>
      <c r="DL99" s="139">
        <v>203</v>
      </c>
      <c r="DM99" s="150">
        <v>124</v>
      </c>
      <c r="DN99" s="105">
        <v>2376</v>
      </c>
      <c r="DO99" s="139">
        <v>6</v>
      </c>
      <c r="DP99" s="150">
        <v>206</v>
      </c>
      <c r="DQ99" s="105">
        <v>1910</v>
      </c>
      <c r="DR99" s="139">
        <v>6</v>
      </c>
      <c r="DS99" s="150">
        <v>460</v>
      </c>
      <c r="DT99" s="105">
        <v>190</v>
      </c>
      <c r="DU99" s="139">
        <v>7</v>
      </c>
      <c r="DV99" s="150">
        <v>49</v>
      </c>
      <c r="DW99" s="444">
        <v>19</v>
      </c>
      <c r="DX99" s="139">
        <v>2</v>
      </c>
      <c r="DY99" s="150">
        <v>4</v>
      </c>
      <c r="DZ99" s="105">
        <v>380</v>
      </c>
      <c r="EA99" s="139">
        <v>5</v>
      </c>
      <c r="EB99" s="150">
        <v>67</v>
      </c>
      <c r="EC99" s="105">
        <v>2423</v>
      </c>
      <c r="ED99" s="139">
        <v>32</v>
      </c>
      <c r="EE99" s="150">
        <v>940</v>
      </c>
      <c r="EF99" s="105">
        <v>1</v>
      </c>
      <c r="EG99" s="18">
        <v>0</v>
      </c>
      <c r="EH99" s="317">
        <v>0</v>
      </c>
      <c r="EI99" s="87">
        <v>42282</v>
      </c>
      <c r="EJ99" s="139">
        <v>908</v>
      </c>
      <c r="EK99" s="150">
        <v>2142</v>
      </c>
      <c r="EL99" s="105">
        <v>255</v>
      </c>
      <c r="EM99" s="18">
        <v>0</v>
      </c>
      <c r="EN99" s="150">
        <v>128</v>
      </c>
      <c r="EO99" s="18">
        <v>0</v>
      </c>
      <c r="EP99" s="18">
        <v>0</v>
      </c>
      <c r="EQ99" s="317">
        <v>0</v>
      </c>
      <c r="ER99" s="83"/>
      <c r="ES99" s="105">
        <v>263</v>
      </c>
      <c r="ET99" s="139">
        <v>1</v>
      </c>
      <c r="EU99" s="150">
        <v>44</v>
      </c>
      <c r="EV99" s="351"/>
      <c r="EW99" s="127"/>
    </row>
    <row r="100" spans="1:153" ht="12.75">
      <c r="A100" s="93">
        <v>43931</v>
      </c>
      <c r="B100" s="440">
        <f t="shared" ref="B100:D100" si="96">SUM(F100,I100,L100,O100,R100,U100,X100,AA100,AD100,AG100,AJ100,AN100,AQ100,AT100,AW100,AZ100,BC100,BF100,BI100,BL100,BO100,BR100,BU100,BX100,CA100,CD100,CG100,CJ100,CM100,CP100,CS100,CV100,CY100,DB100,DE100,DH100,DK100,DN100,DQ100,DT100,DW100,DZ100,EC100,EF100,EI100,EL100,ES100,)</f>
        <v>274153</v>
      </c>
      <c r="C100" s="441">
        <f t="shared" si="96"/>
        <v>10212</v>
      </c>
      <c r="D100" s="442">
        <f t="shared" si="96"/>
        <v>133988</v>
      </c>
      <c r="E100" s="443">
        <f t="shared" si="1"/>
        <v>129953</v>
      </c>
      <c r="F100" s="105">
        <v>3651</v>
      </c>
      <c r="G100" s="139">
        <v>47</v>
      </c>
      <c r="H100" s="150">
        <v>685</v>
      </c>
      <c r="I100" s="105">
        <v>937</v>
      </c>
      <c r="J100" s="139">
        <v>10</v>
      </c>
      <c r="K100" s="150">
        <v>149</v>
      </c>
      <c r="L100" s="105">
        <v>521</v>
      </c>
      <c r="M100" s="139">
        <v>15</v>
      </c>
      <c r="N100" s="150">
        <v>32</v>
      </c>
      <c r="O100" s="105">
        <v>991</v>
      </c>
      <c r="P100" s="139">
        <v>10</v>
      </c>
      <c r="Q100" s="150">
        <v>159</v>
      </c>
      <c r="R100" s="105">
        <v>925</v>
      </c>
      <c r="S100" s="139">
        <v>6</v>
      </c>
      <c r="T100" s="150">
        <v>539</v>
      </c>
      <c r="U100" s="105">
        <v>424</v>
      </c>
      <c r="V100" s="139">
        <v>27</v>
      </c>
      <c r="W100" s="150">
        <v>33</v>
      </c>
      <c r="X100" s="444">
        <v>5</v>
      </c>
      <c r="Y100" s="374">
        <v>0</v>
      </c>
      <c r="Z100" s="150">
        <v>2</v>
      </c>
      <c r="AA100" s="444">
        <v>27</v>
      </c>
      <c r="AB100" s="139">
        <v>3</v>
      </c>
      <c r="AC100" s="150">
        <v>2</v>
      </c>
      <c r="AD100" s="444">
        <v>136</v>
      </c>
      <c r="AE100" s="139">
        <v>1</v>
      </c>
      <c r="AF100" s="150">
        <v>99</v>
      </c>
      <c r="AG100" s="105">
        <v>119</v>
      </c>
      <c r="AH100" s="18">
        <v>0</v>
      </c>
      <c r="AI100" s="150">
        <v>72</v>
      </c>
      <c r="AJ100" s="105">
        <v>82941</v>
      </c>
      <c r="AK100" s="139">
        <v>3340</v>
      </c>
      <c r="AL100" s="397">
        <v>77791</v>
      </c>
      <c r="AM100" s="371">
        <f t="shared" si="2"/>
        <v>1810</v>
      </c>
      <c r="AN100" s="105">
        <v>10450</v>
      </c>
      <c r="AO100" s="139">
        <v>208</v>
      </c>
      <c r="AP100" s="150">
        <v>7117</v>
      </c>
      <c r="AQ100" s="105">
        <v>3360</v>
      </c>
      <c r="AR100" s="139">
        <v>16</v>
      </c>
      <c r="AS100" s="150">
        <v>418</v>
      </c>
      <c r="AT100" s="105">
        <v>234</v>
      </c>
      <c r="AU100" s="139">
        <v>3</v>
      </c>
      <c r="AV100" s="150">
        <v>54</v>
      </c>
      <c r="AW100" s="105">
        <v>118</v>
      </c>
      <c r="AX100" s="139">
        <v>3</v>
      </c>
      <c r="AY100" s="150">
        <v>60</v>
      </c>
      <c r="AZ100" s="105">
        <v>7598</v>
      </c>
      <c r="BA100" s="139">
        <v>246</v>
      </c>
      <c r="BB100" s="150">
        <v>774</v>
      </c>
      <c r="BC100" s="105">
        <v>3512</v>
      </c>
      <c r="BD100" s="139">
        <v>306</v>
      </c>
      <c r="BE100" s="138">
        <v>282</v>
      </c>
      <c r="BF100" s="105">
        <v>1279</v>
      </c>
      <c r="BG100" s="139">
        <v>70</v>
      </c>
      <c r="BH100" s="150">
        <v>550</v>
      </c>
      <c r="BI100" s="105">
        <v>68192</v>
      </c>
      <c r="BJ100" s="139">
        <v>4232</v>
      </c>
      <c r="BK100" s="150">
        <v>35465</v>
      </c>
      <c r="BL100" s="105">
        <v>10408</v>
      </c>
      <c r="BM100" s="139">
        <v>95</v>
      </c>
      <c r="BN100" s="150">
        <v>1183</v>
      </c>
      <c r="BO100" s="105">
        <v>5530</v>
      </c>
      <c r="BP100" s="139">
        <v>99</v>
      </c>
      <c r="BQ100" s="150">
        <v>685</v>
      </c>
      <c r="BR100" s="105">
        <v>372</v>
      </c>
      <c r="BS100" s="139">
        <v>7</v>
      </c>
      <c r="BT100" s="150">
        <v>170</v>
      </c>
      <c r="BU100" s="105">
        <v>812</v>
      </c>
      <c r="BV100" s="139">
        <v>10</v>
      </c>
      <c r="BW100" s="150">
        <v>64</v>
      </c>
      <c r="BX100" s="105">
        <v>298</v>
      </c>
      <c r="BY100" s="139">
        <v>5</v>
      </c>
      <c r="BZ100" s="150">
        <v>35</v>
      </c>
      <c r="CA100" s="105">
        <v>993</v>
      </c>
      <c r="CB100" s="139">
        <v>1</v>
      </c>
      <c r="CC100" s="150">
        <v>123</v>
      </c>
      <c r="CD100" s="444">
        <v>16</v>
      </c>
      <c r="CE100" s="374">
        <v>0</v>
      </c>
      <c r="CF100" s="375">
        <v>0</v>
      </c>
      <c r="CG100" s="105">
        <v>609</v>
      </c>
      <c r="CH100" s="139">
        <v>20</v>
      </c>
      <c r="CI100" s="150">
        <v>76</v>
      </c>
      <c r="CJ100" s="105">
        <v>42</v>
      </c>
      <c r="CK100" s="18">
        <v>0</v>
      </c>
      <c r="CL100" s="150">
        <v>10</v>
      </c>
      <c r="CM100" s="105">
        <v>4346</v>
      </c>
      <c r="CN100" s="139">
        <v>70</v>
      </c>
      <c r="CO100" s="150">
        <v>1830</v>
      </c>
      <c r="CP100" s="444">
        <v>19</v>
      </c>
      <c r="CQ100" s="374">
        <v>0</v>
      </c>
      <c r="CR100" s="150">
        <v>13</v>
      </c>
      <c r="CS100" s="105">
        <v>16</v>
      </c>
      <c r="CT100" s="18">
        <v>0</v>
      </c>
      <c r="CU100" s="150">
        <v>4</v>
      </c>
      <c r="CV100" s="105">
        <v>9</v>
      </c>
      <c r="CW100" s="18">
        <v>0</v>
      </c>
      <c r="CX100" s="150">
        <v>1</v>
      </c>
      <c r="CY100" s="105">
        <v>484</v>
      </c>
      <c r="CZ100" s="139">
        <v>3</v>
      </c>
      <c r="DA100" s="150">
        <v>109</v>
      </c>
      <c r="DB100" s="444">
        <v>624</v>
      </c>
      <c r="DC100" s="139">
        <v>3</v>
      </c>
      <c r="DD100" s="150">
        <v>42</v>
      </c>
      <c r="DE100" s="105">
        <v>4695</v>
      </c>
      <c r="DF100" s="139">
        <v>66</v>
      </c>
      <c r="DG100" s="150">
        <v>727</v>
      </c>
      <c r="DH100" s="87">
        <v>26</v>
      </c>
      <c r="DI100" s="18">
        <v>0</v>
      </c>
      <c r="DJ100" s="317">
        <v>0</v>
      </c>
      <c r="DK100" s="105">
        <v>4195</v>
      </c>
      <c r="DL100" s="139">
        <v>221</v>
      </c>
      <c r="DM100" s="150">
        <v>140</v>
      </c>
      <c r="DN100" s="105">
        <v>2512</v>
      </c>
      <c r="DO100" s="139">
        <v>6</v>
      </c>
      <c r="DP100" s="150">
        <v>227</v>
      </c>
      <c r="DQ100" s="105">
        <v>2108</v>
      </c>
      <c r="DR100" s="139">
        <v>7</v>
      </c>
      <c r="DS100" s="150">
        <v>492</v>
      </c>
      <c r="DT100" s="105">
        <v>190</v>
      </c>
      <c r="DU100" s="139">
        <v>7</v>
      </c>
      <c r="DV100" s="150">
        <v>54</v>
      </c>
      <c r="DW100" s="444">
        <v>19</v>
      </c>
      <c r="DX100" s="139">
        <v>2</v>
      </c>
      <c r="DY100" s="150">
        <v>4</v>
      </c>
      <c r="DZ100" s="105">
        <v>382</v>
      </c>
      <c r="EA100" s="139">
        <v>6</v>
      </c>
      <c r="EB100" s="150">
        <v>91</v>
      </c>
      <c r="EC100" s="105">
        <v>2473</v>
      </c>
      <c r="ED100" s="139">
        <v>33</v>
      </c>
      <c r="EE100" s="150">
        <v>1013</v>
      </c>
      <c r="EF100" s="105">
        <v>2</v>
      </c>
      <c r="EG100" s="18">
        <v>0</v>
      </c>
      <c r="EH100" s="317">
        <v>0</v>
      </c>
      <c r="EI100" s="87">
        <v>47029</v>
      </c>
      <c r="EJ100" s="139">
        <v>1006</v>
      </c>
      <c r="EK100" s="150">
        <v>2423</v>
      </c>
      <c r="EL100" s="105">
        <v>257</v>
      </c>
      <c r="EM100" s="18">
        <v>0</v>
      </c>
      <c r="EN100" s="150">
        <v>144</v>
      </c>
      <c r="EO100" s="105">
        <v>1</v>
      </c>
      <c r="EP100" s="18">
        <v>0</v>
      </c>
      <c r="EQ100" s="317">
        <v>0</v>
      </c>
      <c r="ER100" s="83"/>
      <c r="ES100" s="105">
        <v>267</v>
      </c>
      <c r="ET100" s="139">
        <v>2</v>
      </c>
      <c r="EU100" s="150">
        <v>45</v>
      </c>
      <c r="EV100" s="351" t="s">
        <v>1167</v>
      </c>
      <c r="EW100" s="77" t="s">
        <v>307</v>
      </c>
    </row>
    <row r="101" spans="1:153" ht="12.75">
      <c r="A101" s="93">
        <v>43932</v>
      </c>
      <c r="B101" s="440">
        <f t="shared" ref="B101:D101" si="97">SUM(F101,I101,L101,O101,R101,U101,X101,AA101,AD101,AG101,AJ101,AN101,AQ101,AT101,AW101,AZ101,BC101,BF101,BI101,BL101,BO101,BR101,BU101,BX101,CA101,CD101,CG101,CJ101,CM101,CP101,CS101,CV101,CY101,DB101,DE101,DH101,DK101,DN101,DQ101,DT101,DW101,DZ101,EC101,EF101,EI101,EL101,ES101,)</f>
        <v>286025</v>
      </c>
      <c r="C101" s="441">
        <f t="shared" si="97"/>
        <v>10581</v>
      </c>
      <c r="D101" s="442">
        <f t="shared" si="97"/>
        <v>142472</v>
      </c>
      <c r="E101" s="443">
        <f t="shared" si="1"/>
        <v>132972</v>
      </c>
      <c r="F101" s="105">
        <v>4033</v>
      </c>
      <c r="G101" s="139">
        <v>52</v>
      </c>
      <c r="H101" s="150">
        <v>720</v>
      </c>
      <c r="I101" s="105">
        <v>967</v>
      </c>
      <c r="J101" s="139">
        <v>13</v>
      </c>
      <c r="K101" s="150">
        <v>173</v>
      </c>
      <c r="L101" s="105">
        <v>555</v>
      </c>
      <c r="M101" s="139">
        <v>18</v>
      </c>
      <c r="N101" s="150">
        <v>32</v>
      </c>
      <c r="O101" s="105">
        <v>1058</v>
      </c>
      <c r="P101" s="139">
        <v>11</v>
      </c>
      <c r="Q101" s="150">
        <v>200</v>
      </c>
      <c r="R101" s="105">
        <v>1040</v>
      </c>
      <c r="S101" s="139">
        <v>6</v>
      </c>
      <c r="T101" s="150">
        <v>555</v>
      </c>
      <c r="U101" s="105">
        <v>482</v>
      </c>
      <c r="V101" s="139">
        <v>30</v>
      </c>
      <c r="W101" s="150">
        <v>36</v>
      </c>
      <c r="X101" s="444">
        <v>5</v>
      </c>
      <c r="Y101" s="374">
        <v>0</v>
      </c>
      <c r="Z101" s="150">
        <v>2</v>
      </c>
      <c r="AA101" s="444">
        <v>38</v>
      </c>
      <c r="AB101" s="139">
        <v>3</v>
      </c>
      <c r="AC101" s="150">
        <v>2</v>
      </c>
      <c r="AD101" s="444">
        <v>136</v>
      </c>
      <c r="AE101" s="139">
        <v>1</v>
      </c>
      <c r="AF101" s="150">
        <v>104</v>
      </c>
      <c r="AG101" s="105">
        <v>120</v>
      </c>
      <c r="AH101" s="18">
        <v>0</v>
      </c>
      <c r="AI101" s="150">
        <v>75</v>
      </c>
      <c r="AJ101" s="105">
        <v>83014</v>
      </c>
      <c r="AK101" s="139">
        <v>3343</v>
      </c>
      <c r="AL101" s="397">
        <v>77877</v>
      </c>
      <c r="AM101" s="371">
        <f t="shared" si="2"/>
        <v>1794</v>
      </c>
      <c r="AN101" s="105">
        <v>10480</v>
      </c>
      <c r="AO101" s="139">
        <v>211</v>
      </c>
      <c r="AP101" s="150">
        <v>7243</v>
      </c>
      <c r="AQ101" s="105">
        <v>3736</v>
      </c>
      <c r="AR101" s="139">
        <v>20</v>
      </c>
      <c r="AS101" s="150">
        <v>588</v>
      </c>
      <c r="AT101" s="105">
        <v>242</v>
      </c>
      <c r="AU101" s="139">
        <v>3</v>
      </c>
      <c r="AV101" s="150">
        <v>60</v>
      </c>
      <c r="AW101" s="105">
        <v>118</v>
      </c>
      <c r="AX101" s="139">
        <v>3</v>
      </c>
      <c r="AY101" s="150">
        <v>60</v>
      </c>
      <c r="AZ101" s="105">
        <v>8446</v>
      </c>
      <c r="BA101" s="139">
        <v>288</v>
      </c>
      <c r="BB101" s="150">
        <v>969</v>
      </c>
      <c r="BC101" s="105">
        <v>3842</v>
      </c>
      <c r="BD101" s="139">
        <v>327</v>
      </c>
      <c r="BE101" s="138">
        <v>286</v>
      </c>
      <c r="BF101" s="105">
        <v>1318</v>
      </c>
      <c r="BG101" s="139">
        <v>72</v>
      </c>
      <c r="BH101" s="150">
        <v>601</v>
      </c>
      <c r="BI101" s="105">
        <v>70029</v>
      </c>
      <c r="BJ101" s="139">
        <v>4357</v>
      </c>
      <c r="BK101" s="150">
        <v>41947</v>
      </c>
      <c r="BL101" s="105">
        <v>10743</v>
      </c>
      <c r="BM101" s="139">
        <v>101</v>
      </c>
      <c r="BN101" s="150">
        <v>1341</v>
      </c>
      <c r="BO101" s="105">
        <v>6005</v>
      </c>
      <c r="BP101" s="139">
        <v>99</v>
      </c>
      <c r="BQ101" s="150">
        <v>762</v>
      </c>
      <c r="BR101" s="105">
        <v>381</v>
      </c>
      <c r="BS101" s="139">
        <v>7</v>
      </c>
      <c r="BT101" s="150">
        <v>177</v>
      </c>
      <c r="BU101" s="105">
        <v>865</v>
      </c>
      <c r="BV101" s="139">
        <v>10</v>
      </c>
      <c r="BW101" s="150">
        <v>81</v>
      </c>
      <c r="BX101" s="105">
        <v>339</v>
      </c>
      <c r="BY101" s="139">
        <v>5</v>
      </c>
      <c r="BZ101" s="150">
        <v>44</v>
      </c>
      <c r="CA101" s="105">
        <v>1154</v>
      </c>
      <c r="CB101" s="139">
        <v>1</v>
      </c>
      <c r="CC101" s="150">
        <v>133</v>
      </c>
      <c r="CD101" s="444">
        <v>18</v>
      </c>
      <c r="CE101" s="374">
        <v>0</v>
      </c>
      <c r="CF101" s="375">
        <v>0</v>
      </c>
      <c r="CG101" s="105">
        <v>619</v>
      </c>
      <c r="CH101" s="139">
        <v>20</v>
      </c>
      <c r="CI101" s="150">
        <v>77</v>
      </c>
      <c r="CJ101" s="105">
        <v>42</v>
      </c>
      <c r="CK101" s="18">
        <v>0</v>
      </c>
      <c r="CL101" s="150">
        <v>10</v>
      </c>
      <c r="CM101" s="105">
        <v>4530</v>
      </c>
      <c r="CN101" s="139">
        <v>73</v>
      </c>
      <c r="CO101" s="150">
        <v>1995</v>
      </c>
      <c r="CP101" s="444">
        <v>19</v>
      </c>
      <c r="CQ101" s="374">
        <v>0</v>
      </c>
      <c r="CR101" s="150">
        <v>13</v>
      </c>
      <c r="CS101" s="105">
        <v>16</v>
      </c>
      <c r="CT101" s="18">
        <v>0</v>
      </c>
      <c r="CU101" s="150">
        <v>4</v>
      </c>
      <c r="CV101" s="105">
        <v>9</v>
      </c>
      <c r="CW101" s="18">
        <v>0</v>
      </c>
      <c r="CX101" s="150">
        <v>1</v>
      </c>
      <c r="CY101" s="105">
        <v>546</v>
      </c>
      <c r="CZ101" s="139">
        <v>3</v>
      </c>
      <c r="DA101" s="150">
        <v>109</v>
      </c>
      <c r="DB101" s="444">
        <v>767</v>
      </c>
      <c r="DC101" s="139">
        <v>4</v>
      </c>
      <c r="DD101" s="150">
        <v>42</v>
      </c>
      <c r="DE101" s="105">
        <v>5011</v>
      </c>
      <c r="DF101" s="139">
        <v>86</v>
      </c>
      <c r="DG101" s="150">
        <v>762</v>
      </c>
      <c r="DH101" s="87">
        <v>26</v>
      </c>
      <c r="DI101" s="18">
        <v>0</v>
      </c>
      <c r="DJ101" s="317">
        <v>0</v>
      </c>
      <c r="DK101" s="105">
        <v>4428</v>
      </c>
      <c r="DL101" s="139">
        <v>247</v>
      </c>
      <c r="DM101" s="150">
        <v>157</v>
      </c>
      <c r="DN101" s="105">
        <v>2728</v>
      </c>
      <c r="DO101" s="139">
        <v>6</v>
      </c>
      <c r="DP101" s="150">
        <v>247</v>
      </c>
      <c r="DQ101" s="105">
        <v>2299</v>
      </c>
      <c r="DR101" s="139">
        <v>8</v>
      </c>
      <c r="DS101" s="150">
        <v>528</v>
      </c>
      <c r="DT101" s="105">
        <v>198</v>
      </c>
      <c r="DU101" s="139">
        <v>7</v>
      </c>
      <c r="DV101" s="150">
        <v>54</v>
      </c>
      <c r="DW101" s="444">
        <v>25</v>
      </c>
      <c r="DX101" s="139">
        <v>2</v>
      </c>
      <c r="DY101" s="150">
        <v>5</v>
      </c>
      <c r="DZ101" s="105">
        <v>385</v>
      </c>
      <c r="EA101" s="139">
        <v>6</v>
      </c>
      <c r="EB101" s="150">
        <v>99</v>
      </c>
      <c r="EC101" s="105">
        <v>2518</v>
      </c>
      <c r="ED101" s="139">
        <v>35</v>
      </c>
      <c r="EE101" s="150">
        <v>1135</v>
      </c>
      <c r="EF101" s="105">
        <v>2</v>
      </c>
      <c r="EG101" s="18">
        <v>0</v>
      </c>
      <c r="EH101" s="317">
        <v>0</v>
      </c>
      <c r="EI101" s="87">
        <v>52167</v>
      </c>
      <c r="EJ101" s="139">
        <v>1101</v>
      </c>
      <c r="EK101" s="150">
        <v>2965</v>
      </c>
      <c r="EL101" s="105">
        <v>258</v>
      </c>
      <c r="EM101" s="18">
        <v>0</v>
      </c>
      <c r="EN101" s="150">
        <v>144</v>
      </c>
      <c r="EO101" s="105">
        <v>1</v>
      </c>
      <c r="EP101" s="18">
        <v>0</v>
      </c>
      <c r="EQ101" s="317">
        <v>0</v>
      </c>
      <c r="ER101" s="83"/>
      <c r="ES101" s="105">
        <v>268</v>
      </c>
      <c r="ET101" s="139">
        <v>2</v>
      </c>
      <c r="EU101" s="150">
        <v>57</v>
      </c>
      <c r="EV101" s="351"/>
      <c r="EW101" s="127"/>
    </row>
    <row r="102" spans="1:153" ht="12.75">
      <c r="A102" s="93">
        <v>43933</v>
      </c>
      <c r="B102" s="440">
        <f t="shared" ref="B102:D102" si="98">SUM(F102,I102,L102,O102,R102,U102,X102,AA102,AD102,AG102,AJ102,AN102,AQ102,AT102,AW102,AZ102,BC102,BF102,BI102,BL102,BO102,BR102,BU102,BX102,CA102,CD102,CG102,CJ102,CM102,CP102,CS102,CV102,CY102,DB102,DE102,DH102,DK102,DN102,DQ102,DT102,DW102,DZ102,EC102,EF102,EI102,EL102,ES102,)</f>
        <v>297696</v>
      </c>
      <c r="C102" s="441">
        <f t="shared" si="98"/>
        <v>10979</v>
      </c>
      <c r="D102" s="442">
        <f t="shared" si="98"/>
        <v>145919</v>
      </c>
      <c r="E102" s="443">
        <f t="shared" si="1"/>
        <v>140798</v>
      </c>
      <c r="F102" s="105">
        <v>4462</v>
      </c>
      <c r="G102" s="139">
        <v>59</v>
      </c>
      <c r="H102" s="150">
        <v>761</v>
      </c>
      <c r="I102" s="105">
        <v>1013</v>
      </c>
      <c r="J102" s="139">
        <v>13</v>
      </c>
      <c r="K102" s="150">
        <v>197</v>
      </c>
      <c r="L102" s="105">
        <v>607</v>
      </c>
      <c r="M102" s="139">
        <v>18</v>
      </c>
      <c r="N102" s="150">
        <v>32</v>
      </c>
      <c r="O102" s="105">
        <v>1098</v>
      </c>
      <c r="P102" s="139">
        <v>11</v>
      </c>
      <c r="Q102" s="150">
        <v>250</v>
      </c>
      <c r="R102" s="105">
        <v>1136</v>
      </c>
      <c r="S102" s="139">
        <v>6</v>
      </c>
      <c r="T102" s="150">
        <v>558</v>
      </c>
      <c r="U102" s="105">
        <v>621</v>
      </c>
      <c r="V102" s="139">
        <v>34</v>
      </c>
      <c r="W102" s="150">
        <v>39</v>
      </c>
      <c r="X102" s="444">
        <v>5</v>
      </c>
      <c r="Y102" s="374">
        <v>0</v>
      </c>
      <c r="Z102" s="150">
        <v>2</v>
      </c>
      <c r="AA102" s="444">
        <v>41</v>
      </c>
      <c r="AB102" s="139">
        <v>4</v>
      </c>
      <c r="AC102" s="150">
        <v>2</v>
      </c>
      <c r="AD102" s="444">
        <v>136</v>
      </c>
      <c r="AE102" s="139">
        <v>1</v>
      </c>
      <c r="AF102" s="150">
        <v>106</v>
      </c>
      <c r="AG102" s="105">
        <v>122</v>
      </c>
      <c r="AH102" s="18">
        <v>0</v>
      </c>
      <c r="AI102" s="150">
        <v>77</v>
      </c>
      <c r="AJ102" s="105">
        <v>83134</v>
      </c>
      <c r="AK102" s="139">
        <v>3343</v>
      </c>
      <c r="AL102" s="397">
        <v>77956</v>
      </c>
      <c r="AM102" s="371">
        <f t="shared" si="2"/>
        <v>1835</v>
      </c>
      <c r="AN102" s="105">
        <v>10512</v>
      </c>
      <c r="AO102" s="139">
        <v>214</v>
      </c>
      <c r="AP102" s="150">
        <v>7368</v>
      </c>
      <c r="AQ102" s="105">
        <v>4123</v>
      </c>
      <c r="AR102" s="139">
        <v>22</v>
      </c>
      <c r="AS102" s="150">
        <v>680</v>
      </c>
      <c r="AT102" s="105">
        <v>257</v>
      </c>
      <c r="AU102" s="139">
        <v>3</v>
      </c>
      <c r="AV102" s="150">
        <v>67</v>
      </c>
      <c r="AW102" s="105">
        <v>118</v>
      </c>
      <c r="AX102" s="139">
        <v>3</v>
      </c>
      <c r="AY102" s="150">
        <v>60</v>
      </c>
      <c r="AZ102" s="105">
        <v>9205</v>
      </c>
      <c r="BA102" s="139">
        <v>331</v>
      </c>
      <c r="BB102" s="150">
        <v>1080</v>
      </c>
      <c r="BC102" s="105">
        <v>4241</v>
      </c>
      <c r="BD102" s="139">
        <v>373</v>
      </c>
      <c r="BE102" s="138">
        <v>286</v>
      </c>
      <c r="BF102" s="105">
        <v>1352</v>
      </c>
      <c r="BG102" s="139">
        <v>76</v>
      </c>
      <c r="BH102" s="150">
        <v>640</v>
      </c>
      <c r="BI102" s="105">
        <v>71686</v>
      </c>
      <c r="BJ102" s="139">
        <v>4474</v>
      </c>
      <c r="BK102" s="150">
        <v>43894</v>
      </c>
      <c r="BL102" s="105">
        <v>11145</v>
      </c>
      <c r="BM102" s="139">
        <v>103</v>
      </c>
      <c r="BN102" s="150">
        <v>1627</v>
      </c>
      <c r="BO102" s="105">
        <v>6748</v>
      </c>
      <c r="BP102" s="139">
        <v>108</v>
      </c>
      <c r="BQ102" s="150">
        <v>762</v>
      </c>
      <c r="BR102" s="105">
        <v>389</v>
      </c>
      <c r="BS102" s="139">
        <v>7</v>
      </c>
      <c r="BT102" s="150">
        <v>201</v>
      </c>
      <c r="BU102" s="105">
        <v>951</v>
      </c>
      <c r="BV102" s="139">
        <v>10</v>
      </c>
      <c r="BW102" s="150">
        <v>99</v>
      </c>
      <c r="BX102" s="105">
        <v>377</v>
      </c>
      <c r="BY102" s="139">
        <v>5</v>
      </c>
      <c r="BZ102" s="150">
        <v>54</v>
      </c>
      <c r="CA102" s="105">
        <v>1234</v>
      </c>
      <c r="CB102" s="139">
        <v>1</v>
      </c>
      <c r="CC102" s="150">
        <v>142</v>
      </c>
      <c r="CD102" s="444">
        <v>19</v>
      </c>
      <c r="CE102" s="374">
        <v>0</v>
      </c>
      <c r="CF102" s="375">
        <v>0</v>
      </c>
      <c r="CG102" s="105">
        <v>630</v>
      </c>
      <c r="CH102" s="139">
        <v>20</v>
      </c>
      <c r="CI102" s="150">
        <v>80</v>
      </c>
      <c r="CJ102" s="105">
        <v>42</v>
      </c>
      <c r="CK102" s="18">
        <v>0</v>
      </c>
      <c r="CL102" s="150">
        <v>10</v>
      </c>
      <c r="CM102" s="105">
        <v>4683</v>
      </c>
      <c r="CN102" s="139">
        <v>76</v>
      </c>
      <c r="CO102" s="150">
        <v>2108</v>
      </c>
      <c r="CP102" s="444">
        <v>20</v>
      </c>
      <c r="CQ102" s="374">
        <v>0</v>
      </c>
      <c r="CR102" s="150">
        <v>14</v>
      </c>
      <c r="CS102" s="105">
        <v>16</v>
      </c>
      <c r="CT102" s="18">
        <v>0</v>
      </c>
      <c r="CU102" s="150">
        <v>4</v>
      </c>
      <c r="CV102" s="105">
        <v>12</v>
      </c>
      <c r="CW102" s="18">
        <v>0</v>
      </c>
      <c r="CX102" s="150">
        <v>1</v>
      </c>
      <c r="CY102" s="105">
        <v>599</v>
      </c>
      <c r="CZ102" s="139">
        <v>4</v>
      </c>
      <c r="DA102" s="150">
        <v>109</v>
      </c>
      <c r="DB102" s="444">
        <v>865</v>
      </c>
      <c r="DC102" s="139">
        <v>4</v>
      </c>
      <c r="DD102" s="150">
        <v>66</v>
      </c>
      <c r="DE102" s="105">
        <v>5230</v>
      </c>
      <c r="DF102" s="139">
        <v>91</v>
      </c>
      <c r="DG102" s="150">
        <v>1028</v>
      </c>
      <c r="DH102" s="87">
        <v>26</v>
      </c>
      <c r="DI102" s="18">
        <v>0</v>
      </c>
      <c r="DJ102" s="317">
        <v>0</v>
      </c>
      <c r="DK102" s="105">
        <v>4648</v>
      </c>
      <c r="DL102" s="139">
        <v>297</v>
      </c>
      <c r="DM102" s="150">
        <v>197</v>
      </c>
      <c r="DN102" s="105">
        <v>2979</v>
      </c>
      <c r="DO102" s="139">
        <v>7</v>
      </c>
      <c r="DP102" s="150">
        <v>247</v>
      </c>
      <c r="DQ102" s="105">
        <v>2532</v>
      </c>
      <c r="DR102" s="139">
        <v>8</v>
      </c>
      <c r="DS102" s="150">
        <v>560</v>
      </c>
      <c r="DT102" s="105">
        <v>210</v>
      </c>
      <c r="DU102" s="139">
        <v>7</v>
      </c>
      <c r="DV102" s="150">
        <v>56</v>
      </c>
      <c r="DW102" s="444">
        <v>25</v>
      </c>
      <c r="DX102" s="139">
        <v>2</v>
      </c>
      <c r="DY102" s="150">
        <v>5</v>
      </c>
      <c r="DZ102" s="105">
        <v>388</v>
      </c>
      <c r="EA102" s="139">
        <v>6</v>
      </c>
      <c r="EB102" s="150">
        <v>109</v>
      </c>
      <c r="EC102" s="105">
        <v>2551</v>
      </c>
      <c r="ED102" s="139">
        <v>38</v>
      </c>
      <c r="EE102" s="150">
        <v>1218</v>
      </c>
      <c r="EF102" s="105">
        <v>2</v>
      </c>
      <c r="EG102" s="18">
        <v>0</v>
      </c>
      <c r="EH102" s="317">
        <v>0</v>
      </c>
      <c r="EI102" s="87">
        <v>56956</v>
      </c>
      <c r="EJ102" s="139">
        <v>1198</v>
      </c>
      <c r="EK102" s="150">
        <v>2965</v>
      </c>
      <c r="EL102" s="105">
        <v>260</v>
      </c>
      <c r="EM102" s="18">
        <v>0</v>
      </c>
      <c r="EN102" s="150">
        <v>144</v>
      </c>
      <c r="EO102" s="105">
        <v>1</v>
      </c>
      <c r="EP102" s="18">
        <v>0</v>
      </c>
      <c r="EQ102" s="317">
        <v>0</v>
      </c>
      <c r="ER102" s="83"/>
      <c r="ES102" s="105">
        <v>290</v>
      </c>
      <c r="ET102" s="139">
        <v>2</v>
      </c>
      <c r="EU102" s="150">
        <v>58</v>
      </c>
      <c r="EV102" s="351"/>
      <c r="EW102" s="127"/>
    </row>
    <row r="103" spans="1:153" ht="12.75">
      <c r="A103" s="93">
        <v>43934</v>
      </c>
      <c r="B103" s="440">
        <f t="shared" ref="B103:D103" si="99">SUM(F103,I103,L103,O103,R103,U103,X103,AA103,AD103,AG103,AJ103,AN103,AQ103,AT103,AW103,AZ103,BC103,BF103,BI103,BL103,BO103,BR103,BU103,BX103,CA103,CD103,CG103,CJ103,CM103,CP103,CS103,CV103,CY103,DB103,DE103,DH103,DK103,DN103,DQ103,DT103,DW103,DZ103,EC103,EF103,EI103,EL103,ES103,)</f>
        <v>309513</v>
      </c>
      <c r="C103" s="441">
        <f t="shared" si="99"/>
        <v>11322</v>
      </c>
      <c r="D103" s="442">
        <f t="shared" si="99"/>
        <v>150565</v>
      </c>
      <c r="E103" s="443">
        <f t="shared" si="1"/>
        <v>147626</v>
      </c>
      <c r="F103" s="105">
        <v>4934</v>
      </c>
      <c r="G103" s="139">
        <v>65</v>
      </c>
      <c r="H103" s="150">
        <v>805</v>
      </c>
      <c r="I103" s="105">
        <v>1039</v>
      </c>
      <c r="J103" s="139">
        <v>14</v>
      </c>
      <c r="K103" s="150">
        <v>211</v>
      </c>
      <c r="L103" s="105">
        <v>665</v>
      </c>
      <c r="M103" s="139">
        <v>21</v>
      </c>
      <c r="N103" s="150">
        <v>32</v>
      </c>
      <c r="O103" s="105">
        <v>1148</v>
      </c>
      <c r="P103" s="139">
        <v>12</v>
      </c>
      <c r="Q103" s="150">
        <v>289</v>
      </c>
      <c r="R103" s="105">
        <v>1361</v>
      </c>
      <c r="S103" s="139">
        <v>6</v>
      </c>
      <c r="T103" s="150">
        <v>591</v>
      </c>
      <c r="U103" s="105">
        <v>803</v>
      </c>
      <c r="V103" s="139">
        <v>39</v>
      </c>
      <c r="W103" s="150">
        <v>42</v>
      </c>
      <c r="X103" s="444">
        <v>5</v>
      </c>
      <c r="Y103" s="374">
        <v>0</v>
      </c>
      <c r="Z103" s="150">
        <v>2</v>
      </c>
      <c r="AA103" s="444">
        <v>62</v>
      </c>
      <c r="AB103" s="139">
        <v>4</v>
      </c>
      <c r="AC103" s="150">
        <v>2</v>
      </c>
      <c r="AD103" s="444">
        <v>136</v>
      </c>
      <c r="AE103" s="139">
        <v>1</v>
      </c>
      <c r="AF103" s="150">
        <v>107</v>
      </c>
      <c r="AG103" s="105">
        <v>122</v>
      </c>
      <c r="AH103" s="18">
        <v>0</v>
      </c>
      <c r="AI103" s="150">
        <v>77</v>
      </c>
      <c r="AJ103" s="105">
        <v>83213</v>
      </c>
      <c r="AK103" s="139">
        <v>3345</v>
      </c>
      <c r="AL103" s="397">
        <v>78039</v>
      </c>
      <c r="AM103" s="371">
        <f t="shared" si="2"/>
        <v>1829</v>
      </c>
      <c r="AN103" s="105">
        <v>10537</v>
      </c>
      <c r="AO103" s="139">
        <v>217</v>
      </c>
      <c r="AP103" s="150">
        <v>7447</v>
      </c>
      <c r="AQ103" s="105">
        <v>4521</v>
      </c>
      <c r="AR103" s="139">
        <v>25</v>
      </c>
      <c r="AS103" s="150">
        <v>852</v>
      </c>
      <c r="AT103" s="105">
        <v>272</v>
      </c>
      <c r="AU103" s="139">
        <v>3</v>
      </c>
      <c r="AV103" s="150">
        <v>68</v>
      </c>
      <c r="AW103" s="105">
        <v>118</v>
      </c>
      <c r="AX103" s="139">
        <v>3</v>
      </c>
      <c r="AY103" s="150">
        <v>60</v>
      </c>
      <c r="AZ103" s="105">
        <v>10453</v>
      </c>
      <c r="BA103" s="139">
        <v>358</v>
      </c>
      <c r="BB103" s="150">
        <v>1181</v>
      </c>
      <c r="BC103" s="105">
        <v>4557</v>
      </c>
      <c r="BD103" s="139">
        <v>399</v>
      </c>
      <c r="BE103" s="138">
        <v>380</v>
      </c>
      <c r="BF103" s="105">
        <v>1378</v>
      </c>
      <c r="BG103" s="139">
        <v>78</v>
      </c>
      <c r="BH103" s="150">
        <v>717</v>
      </c>
      <c r="BI103" s="105">
        <v>73303</v>
      </c>
      <c r="BJ103" s="139">
        <v>4585</v>
      </c>
      <c r="BK103" s="150">
        <v>45983</v>
      </c>
      <c r="BL103" s="105">
        <v>11586</v>
      </c>
      <c r="BM103" s="139">
        <v>116</v>
      </c>
      <c r="BN103" s="150">
        <v>1855</v>
      </c>
      <c r="BO103" s="105">
        <v>7370</v>
      </c>
      <c r="BP103" s="139">
        <v>123</v>
      </c>
      <c r="BQ103" s="150">
        <v>784</v>
      </c>
      <c r="BR103" s="105">
        <v>391</v>
      </c>
      <c r="BS103" s="139">
        <v>7</v>
      </c>
      <c r="BT103" s="150">
        <v>215</v>
      </c>
      <c r="BU103" s="105">
        <v>1091</v>
      </c>
      <c r="BV103" s="139">
        <v>12</v>
      </c>
      <c r="BW103" s="150">
        <v>138</v>
      </c>
      <c r="BX103" s="105">
        <v>419</v>
      </c>
      <c r="BY103" s="139">
        <v>5</v>
      </c>
      <c r="BZ103" s="150">
        <v>67</v>
      </c>
      <c r="CA103" s="105">
        <v>1300</v>
      </c>
      <c r="CB103" s="139">
        <v>2</v>
      </c>
      <c r="CC103" s="150">
        <v>150</v>
      </c>
      <c r="CD103" s="444">
        <v>19</v>
      </c>
      <c r="CE103" s="374">
        <v>0</v>
      </c>
      <c r="CF103" s="375">
        <v>0</v>
      </c>
      <c r="CG103" s="105">
        <v>632</v>
      </c>
      <c r="CH103" s="139">
        <v>20</v>
      </c>
      <c r="CI103" s="150">
        <v>80</v>
      </c>
      <c r="CJ103" s="105">
        <v>42</v>
      </c>
      <c r="CK103" s="18">
        <v>0</v>
      </c>
      <c r="CL103" s="150">
        <v>10</v>
      </c>
      <c r="CM103" s="105">
        <v>4817</v>
      </c>
      <c r="CN103" s="139">
        <v>77</v>
      </c>
      <c r="CO103" s="150">
        <v>2276</v>
      </c>
      <c r="CP103" s="444">
        <v>20</v>
      </c>
      <c r="CQ103" s="374">
        <v>0</v>
      </c>
      <c r="CR103" s="150">
        <v>14</v>
      </c>
      <c r="CS103" s="105">
        <v>17</v>
      </c>
      <c r="CT103" s="18">
        <v>0</v>
      </c>
      <c r="CU103" s="150">
        <v>4</v>
      </c>
      <c r="CV103" s="105">
        <v>14</v>
      </c>
      <c r="CW103" s="18">
        <v>0</v>
      </c>
      <c r="CX103" s="150">
        <v>1</v>
      </c>
      <c r="CY103" s="105">
        <v>727</v>
      </c>
      <c r="CZ103" s="139">
        <v>4</v>
      </c>
      <c r="DA103" s="150">
        <v>124</v>
      </c>
      <c r="DB103" s="444">
        <v>998</v>
      </c>
      <c r="DC103" s="139">
        <v>4</v>
      </c>
      <c r="DD103" s="150">
        <v>85</v>
      </c>
      <c r="DE103" s="105">
        <v>5496</v>
      </c>
      <c r="DF103" s="139">
        <v>93</v>
      </c>
      <c r="DG103" s="150">
        <v>1095</v>
      </c>
      <c r="DH103" s="87">
        <v>26</v>
      </c>
      <c r="DI103" s="18">
        <v>0</v>
      </c>
      <c r="DJ103" s="317">
        <v>0</v>
      </c>
      <c r="DK103" s="105">
        <v>4932</v>
      </c>
      <c r="DL103" s="139">
        <v>315</v>
      </c>
      <c r="DM103" s="150">
        <v>242</v>
      </c>
      <c r="DN103" s="105">
        <v>3231</v>
      </c>
      <c r="DO103" s="139">
        <v>7</v>
      </c>
      <c r="DP103" s="150">
        <v>334</v>
      </c>
      <c r="DQ103" s="105">
        <v>2918</v>
      </c>
      <c r="DR103" s="139">
        <v>9</v>
      </c>
      <c r="DS103" s="150">
        <v>586</v>
      </c>
      <c r="DT103" s="105">
        <v>217</v>
      </c>
      <c r="DU103" s="139">
        <v>7</v>
      </c>
      <c r="DV103" s="150">
        <v>56</v>
      </c>
      <c r="DW103" s="444">
        <v>25</v>
      </c>
      <c r="DX103" s="139">
        <v>2</v>
      </c>
      <c r="DY103" s="150">
        <v>5</v>
      </c>
      <c r="DZ103" s="105">
        <v>393</v>
      </c>
      <c r="EA103" s="139">
        <v>6</v>
      </c>
      <c r="EB103" s="150">
        <v>109</v>
      </c>
      <c r="EC103" s="105">
        <v>2579</v>
      </c>
      <c r="ED103" s="139">
        <v>40</v>
      </c>
      <c r="EE103" s="150">
        <v>1288</v>
      </c>
      <c r="EF103" s="105">
        <v>4</v>
      </c>
      <c r="EG103" s="18">
        <v>0</v>
      </c>
      <c r="EH103" s="150">
        <v>1</v>
      </c>
      <c r="EI103" s="87">
        <v>61049</v>
      </c>
      <c r="EJ103" s="139">
        <v>1296</v>
      </c>
      <c r="EK103" s="150">
        <v>3957</v>
      </c>
      <c r="EL103" s="105">
        <v>265</v>
      </c>
      <c r="EM103" s="18">
        <v>0</v>
      </c>
      <c r="EN103" s="150">
        <v>146</v>
      </c>
      <c r="EO103" s="105">
        <v>1</v>
      </c>
      <c r="EP103" s="18">
        <v>0</v>
      </c>
      <c r="EQ103" s="317">
        <v>0</v>
      </c>
      <c r="ER103" s="83"/>
      <c r="ES103" s="105">
        <v>308</v>
      </c>
      <c r="ET103" s="139">
        <v>2</v>
      </c>
      <c r="EU103" s="150">
        <v>58</v>
      </c>
      <c r="EV103" s="351"/>
      <c r="EW103" s="127"/>
    </row>
    <row r="104" spans="1:153" ht="12.75">
      <c r="A104" s="93">
        <v>43935</v>
      </c>
      <c r="B104" s="440">
        <f t="shared" ref="B104:D104" si="100">SUM(F104,I104,L104,O104,R104,U104,X104,AA104,AD104,AG104,AJ104,AN104,AQ104,AT104,AW104,AZ104,BC104,BF104,BI104,BL104,BO104,BR104,BU104,BX104,CA104,CD104,CG104,CJ104,CM104,CP104,CS104,CV104,CY104,DB104,DE104,DH104,DK104,DN104,DQ104,DT104,DW104,DZ104,EC104,EF104,EI104,EL104,ES104,)</f>
        <v>320600</v>
      </c>
      <c r="C104" s="441">
        <f t="shared" si="100"/>
        <v>11712</v>
      </c>
      <c r="D104" s="442">
        <f t="shared" si="100"/>
        <v>155686</v>
      </c>
      <c r="E104" s="443">
        <f t="shared" si="1"/>
        <v>153202</v>
      </c>
      <c r="F104" s="105">
        <v>5369</v>
      </c>
      <c r="G104" s="139">
        <v>73</v>
      </c>
      <c r="H104" s="150">
        <v>889</v>
      </c>
      <c r="I104" s="105">
        <v>1067</v>
      </c>
      <c r="J104" s="139">
        <v>16</v>
      </c>
      <c r="K104" s="150">
        <v>265</v>
      </c>
      <c r="L104" s="105">
        <v>714</v>
      </c>
      <c r="M104" s="139">
        <v>23</v>
      </c>
      <c r="N104" s="150">
        <v>40</v>
      </c>
      <c r="O104" s="105">
        <v>1197</v>
      </c>
      <c r="P104" s="139">
        <v>13</v>
      </c>
      <c r="Q104" s="150">
        <v>351</v>
      </c>
      <c r="R104" s="105">
        <v>1528</v>
      </c>
      <c r="S104" s="139">
        <v>7</v>
      </c>
      <c r="T104" s="150">
        <v>645</v>
      </c>
      <c r="U104" s="105">
        <v>1012</v>
      </c>
      <c r="V104" s="139">
        <v>46</v>
      </c>
      <c r="W104" s="150">
        <v>42</v>
      </c>
      <c r="X104" s="444">
        <v>5</v>
      </c>
      <c r="Y104" s="374">
        <v>0</v>
      </c>
      <c r="Z104" s="150">
        <v>2</v>
      </c>
      <c r="AA104" s="444">
        <v>63</v>
      </c>
      <c r="AB104" s="139">
        <v>4</v>
      </c>
      <c r="AC104" s="150">
        <v>2</v>
      </c>
      <c r="AD104" s="444">
        <v>136</v>
      </c>
      <c r="AE104" s="139">
        <v>1</v>
      </c>
      <c r="AF104" s="150">
        <v>107</v>
      </c>
      <c r="AG104" s="105">
        <v>122</v>
      </c>
      <c r="AH104" s="18">
        <v>0</v>
      </c>
      <c r="AI104" s="150">
        <v>91</v>
      </c>
      <c r="AJ104" s="105">
        <v>83306</v>
      </c>
      <c r="AK104" s="139">
        <v>3345</v>
      </c>
      <c r="AL104" s="397">
        <v>78200</v>
      </c>
      <c r="AM104" s="371">
        <f t="shared" si="2"/>
        <v>1761</v>
      </c>
      <c r="AN104" s="105">
        <v>10564</v>
      </c>
      <c r="AO104" s="139">
        <v>222</v>
      </c>
      <c r="AP104" s="150">
        <v>7534</v>
      </c>
      <c r="AQ104" s="105">
        <v>4933</v>
      </c>
      <c r="AR104" s="139">
        <v>28</v>
      </c>
      <c r="AS104" s="150">
        <v>933</v>
      </c>
      <c r="AT104" s="105">
        <v>300</v>
      </c>
      <c r="AU104" s="139">
        <v>3</v>
      </c>
      <c r="AV104" s="150">
        <v>69</v>
      </c>
      <c r="AW104" s="105">
        <v>118</v>
      </c>
      <c r="AX104" s="139">
        <v>3</v>
      </c>
      <c r="AY104" s="150">
        <v>60</v>
      </c>
      <c r="AZ104" s="105">
        <v>11487</v>
      </c>
      <c r="BA104" s="139">
        <v>393</v>
      </c>
      <c r="BB104" s="150">
        <v>1359</v>
      </c>
      <c r="BC104" s="105">
        <v>4839</v>
      </c>
      <c r="BD104" s="139">
        <v>459</v>
      </c>
      <c r="BE104" s="138">
        <v>426</v>
      </c>
      <c r="BF104" s="105">
        <v>1400</v>
      </c>
      <c r="BG104" s="139">
        <v>78</v>
      </c>
      <c r="BH104" s="150">
        <v>766</v>
      </c>
      <c r="BI104" s="105">
        <v>74877</v>
      </c>
      <c r="BJ104" s="139">
        <v>4683</v>
      </c>
      <c r="BK104" s="150">
        <v>48129</v>
      </c>
      <c r="BL104" s="105">
        <v>12046</v>
      </c>
      <c r="BM104" s="139">
        <v>123</v>
      </c>
      <c r="BN104" s="150">
        <v>2195</v>
      </c>
      <c r="BO104" s="105">
        <v>7645</v>
      </c>
      <c r="BP104" s="139">
        <v>143</v>
      </c>
      <c r="BQ104" s="150">
        <v>799</v>
      </c>
      <c r="BR104" s="105">
        <v>397</v>
      </c>
      <c r="BS104" s="139">
        <v>7</v>
      </c>
      <c r="BT104" s="150">
        <v>235</v>
      </c>
      <c r="BU104" s="105">
        <v>1232</v>
      </c>
      <c r="BV104" s="139">
        <v>14</v>
      </c>
      <c r="BW104" s="150">
        <v>203</v>
      </c>
      <c r="BX104" s="105">
        <v>430</v>
      </c>
      <c r="BY104" s="139">
        <v>5</v>
      </c>
      <c r="BZ104" s="150">
        <v>71</v>
      </c>
      <c r="CA104" s="105">
        <v>1355</v>
      </c>
      <c r="CB104" s="139">
        <v>3</v>
      </c>
      <c r="CC104" s="150">
        <v>176</v>
      </c>
      <c r="CD104" s="444">
        <v>19</v>
      </c>
      <c r="CE104" s="374">
        <v>0</v>
      </c>
      <c r="CF104" s="150">
        <v>1</v>
      </c>
      <c r="CG104" s="105">
        <v>641</v>
      </c>
      <c r="CH104" s="139">
        <v>21</v>
      </c>
      <c r="CI104" s="150">
        <v>80</v>
      </c>
      <c r="CJ104" s="105">
        <v>42</v>
      </c>
      <c r="CK104" s="18">
        <v>0</v>
      </c>
      <c r="CL104" s="150">
        <v>10</v>
      </c>
      <c r="CM104" s="105">
        <v>4987</v>
      </c>
      <c r="CN104" s="139">
        <v>82</v>
      </c>
      <c r="CO104" s="150">
        <v>2478</v>
      </c>
      <c r="CP104" s="444">
        <v>20</v>
      </c>
      <c r="CQ104" s="374">
        <v>0</v>
      </c>
      <c r="CR104" s="150">
        <v>16</v>
      </c>
      <c r="CS104" s="105">
        <v>30</v>
      </c>
      <c r="CT104" s="18">
        <v>0</v>
      </c>
      <c r="CU104" s="150">
        <v>4</v>
      </c>
      <c r="CV104" s="105">
        <v>16</v>
      </c>
      <c r="CW104" s="18">
        <v>0</v>
      </c>
      <c r="CX104" s="150">
        <v>1</v>
      </c>
      <c r="CY104" s="105">
        <v>813</v>
      </c>
      <c r="CZ104" s="139">
        <v>4</v>
      </c>
      <c r="DA104" s="150">
        <v>130</v>
      </c>
      <c r="DB104" s="444">
        <v>1165</v>
      </c>
      <c r="DC104" s="139">
        <v>4</v>
      </c>
      <c r="DD104" s="150">
        <v>99</v>
      </c>
      <c r="DE104" s="105">
        <v>5837</v>
      </c>
      <c r="DF104" s="139">
        <v>96</v>
      </c>
      <c r="DG104" s="150">
        <v>1378</v>
      </c>
      <c r="DH104" s="87">
        <v>26</v>
      </c>
      <c r="DI104" s="18">
        <v>0</v>
      </c>
      <c r="DJ104" s="317">
        <v>0</v>
      </c>
      <c r="DK104" s="105">
        <v>5223</v>
      </c>
      <c r="DL104" s="139">
        <v>335</v>
      </c>
      <c r="DM104" s="150">
        <v>295</v>
      </c>
      <c r="DN104" s="105">
        <v>3428</v>
      </c>
      <c r="DO104" s="139">
        <v>7</v>
      </c>
      <c r="DP104" s="150">
        <v>373</v>
      </c>
      <c r="DQ104" s="105">
        <v>3252</v>
      </c>
      <c r="DR104" s="139">
        <v>10</v>
      </c>
      <c r="DS104" s="150">
        <v>611</v>
      </c>
      <c r="DT104" s="105">
        <v>233</v>
      </c>
      <c r="DU104" s="139">
        <v>7</v>
      </c>
      <c r="DV104" s="150">
        <v>56</v>
      </c>
      <c r="DW104" s="444">
        <v>29</v>
      </c>
      <c r="DX104" s="139">
        <v>2</v>
      </c>
      <c r="DY104" s="150">
        <v>5</v>
      </c>
      <c r="DZ104" s="105">
        <v>393</v>
      </c>
      <c r="EA104" s="139">
        <v>6</v>
      </c>
      <c r="EB104" s="150">
        <v>124</v>
      </c>
      <c r="EC104" s="105">
        <v>2613</v>
      </c>
      <c r="ED104" s="139">
        <v>41</v>
      </c>
      <c r="EE104" s="150">
        <v>1405</v>
      </c>
      <c r="EF104" s="105">
        <v>6</v>
      </c>
      <c r="EG104" s="18">
        <v>0</v>
      </c>
      <c r="EH104" s="150">
        <v>1</v>
      </c>
      <c r="EI104" s="87">
        <v>65111</v>
      </c>
      <c r="EJ104" s="139">
        <v>1403</v>
      </c>
      <c r="EK104" s="150">
        <v>4799</v>
      </c>
      <c r="EL104" s="105">
        <v>266</v>
      </c>
      <c r="EM104" s="18">
        <v>0</v>
      </c>
      <c r="EN104" s="150">
        <v>169</v>
      </c>
      <c r="EO104" s="105">
        <v>1</v>
      </c>
      <c r="EP104" s="18">
        <v>0</v>
      </c>
      <c r="EQ104" s="317">
        <v>0</v>
      </c>
      <c r="ER104" s="83"/>
      <c r="ES104" s="105">
        <v>308</v>
      </c>
      <c r="ET104" s="139">
        <v>2</v>
      </c>
      <c r="EU104" s="150">
        <v>62</v>
      </c>
      <c r="EV104" s="351"/>
      <c r="EW104" s="127"/>
    </row>
    <row r="105" spans="1:153" ht="12.75">
      <c r="A105" s="93">
        <v>43936</v>
      </c>
      <c r="B105" s="440">
        <f t="shared" ref="B105:D105" si="101">SUM(F105,I105,L105,O105,R105,U105,X105,AA105,AD105,AG105,AJ105,AN105,AQ105,AT105,AW105,AZ105,BC105,BF105,BI105,BL105,BO105,BR105,BU105,BX105,CA105,CD105,CG105,CJ105,CM105,CP105,CS105,CV105,CY105,DB105,DE105,DH105,DK105,DN105,DQ105,DT105,DW105,DZ105,EC105,EF105,EI105,EL105,ES105,)</f>
        <v>332025</v>
      </c>
      <c r="C105" s="441">
        <f t="shared" si="101"/>
        <v>12010</v>
      </c>
      <c r="D105" s="442">
        <f t="shared" si="101"/>
        <v>159958</v>
      </c>
      <c r="E105" s="443">
        <f t="shared" si="1"/>
        <v>160057</v>
      </c>
      <c r="F105" s="105">
        <v>5862</v>
      </c>
      <c r="G105" s="139">
        <v>79</v>
      </c>
      <c r="H105" s="150">
        <v>931</v>
      </c>
      <c r="I105" s="105">
        <v>1111</v>
      </c>
      <c r="J105" s="139">
        <v>17</v>
      </c>
      <c r="K105" s="150">
        <v>297</v>
      </c>
      <c r="L105" s="105">
        <v>784</v>
      </c>
      <c r="M105" s="139">
        <v>25</v>
      </c>
      <c r="N105" s="150">
        <v>43</v>
      </c>
      <c r="O105" s="105">
        <v>1253</v>
      </c>
      <c r="P105" s="139">
        <v>13</v>
      </c>
      <c r="Q105" s="150">
        <v>404</v>
      </c>
      <c r="R105" s="105">
        <v>1671</v>
      </c>
      <c r="S105" s="139">
        <v>7</v>
      </c>
      <c r="T105" s="150">
        <v>663</v>
      </c>
      <c r="U105" s="105">
        <v>1231</v>
      </c>
      <c r="V105" s="139">
        <v>50</v>
      </c>
      <c r="W105" s="150">
        <v>49</v>
      </c>
      <c r="X105" s="444">
        <v>5</v>
      </c>
      <c r="Y105" s="374">
        <v>0</v>
      </c>
      <c r="Z105" s="150">
        <v>2</v>
      </c>
      <c r="AA105" s="444">
        <v>74</v>
      </c>
      <c r="AB105" s="139">
        <v>4</v>
      </c>
      <c r="AC105" s="150">
        <v>2</v>
      </c>
      <c r="AD105" s="444">
        <v>136</v>
      </c>
      <c r="AE105" s="139">
        <v>1</v>
      </c>
      <c r="AF105" s="150">
        <v>108</v>
      </c>
      <c r="AG105" s="105">
        <v>122</v>
      </c>
      <c r="AH105" s="18">
        <v>0</v>
      </c>
      <c r="AI105" s="150">
        <v>96</v>
      </c>
      <c r="AJ105" s="105">
        <v>83356</v>
      </c>
      <c r="AK105" s="139">
        <v>3346</v>
      </c>
      <c r="AL105" s="397">
        <v>78311</v>
      </c>
      <c r="AM105" s="371">
        <f t="shared" si="2"/>
        <v>1699</v>
      </c>
      <c r="AN105" s="105">
        <v>10591</v>
      </c>
      <c r="AO105" s="139">
        <v>225</v>
      </c>
      <c r="AP105" s="150">
        <v>7616</v>
      </c>
      <c r="AQ105" s="105">
        <v>5365</v>
      </c>
      <c r="AR105" s="139">
        <v>33</v>
      </c>
      <c r="AS105" s="150">
        <v>1034</v>
      </c>
      <c r="AT105" s="105">
        <v>306</v>
      </c>
      <c r="AU105" s="139">
        <v>3</v>
      </c>
      <c r="AV105" s="150">
        <v>71</v>
      </c>
      <c r="AW105" s="105">
        <v>118</v>
      </c>
      <c r="AX105" s="139">
        <v>3</v>
      </c>
      <c r="AY105" s="150">
        <v>60</v>
      </c>
      <c r="AZ105" s="105">
        <v>12322</v>
      </c>
      <c r="BA105" s="139">
        <v>405</v>
      </c>
      <c r="BB105" s="150">
        <v>1432</v>
      </c>
      <c r="BC105" s="105">
        <v>5136</v>
      </c>
      <c r="BD105" s="139">
        <v>469</v>
      </c>
      <c r="BE105" s="138">
        <v>446</v>
      </c>
      <c r="BF105" s="105">
        <v>1415</v>
      </c>
      <c r="BG105" s="139">
        <v>79</v>
      </c>
      <c r="BH105" s="150">
        <v>812</v>
      </c>
      <c r="BI105" s="105">
        <v>76389</v>
      </c>
      <c r="BJ105" s="139">
        <v>4777</v>
      </c>
      <c r="BK105" s="150">
        <v>49933</v>
      </c>
      <c r="BL105" s="105">
        <v>12501</v>
      </c>
      <c r="BM105" s="139">
        <v>130</v>
      </c>
      <c r="BN105" s="150">
        <v>2563</v>
      </c>
      <c r="BO105" s="105">
        <v>8100</v>
      </c>
      <c r="BP105" s="139">
        <v>146</v>
      </c>
      <c r="BQ105" s="150">
        <v>853</v>
      </c>
      <c r="BR105" s="105">
        <v>401</v>
      </c>
      <c r="BS105" s="139">
        <v>7</v>
      </c>
      <c r="BT105" s="150">
        <v>250</v>
      </c>
      <c r="BU105" s="105">
        <v>1295</v>
      </c>
      <c r="BV105" s="139">
        <v>16</v>
      </c>
      <c r="BW105" s="150">
        <v>240</v>
      </c>
      <c r="BX105" s="105">
        <v>449</v>
      </c>
      <c r="BY105" s="139">
        <v>5</v>
      </c>
      <c r="BZ105" s="150">
        <v>78</v>
      </c>
      <c r="CA105" s="105">
        <v>1405</v>
      </c>
      <c r="CB105" s="139">
        <v>3</v>
      </c>
      <c r="CC105" s="150">
        <v>206</v>
      </c>
      <c r="CD105" s="444">
        <v>19</v>
      </c>
      <c r="CE105" s="374">
        <v>0</v>
      </c>
      <c r="CF105" s="150">
        <v>1</v>
      </c>
      <c r="CG105" s="105">
        <v>658</v>
      </c>
      <c r="CH105" s="139">
        <v>21</v>
      </c>
      <c r="CI105" s="150">
        <v>85</v>
      </c>
      <c r="CJ105" s="105">
        <v>42</v>
      </c>
      <c r="CK105" s="18">
        <v>0</v>
      </c>
      <c r="CL105" s="150">
        <v>10</v>
      </c>
      <c r="CM105" s="105">
        <v>5072</v>
      </c>
      <c r="CN105" s="139">
        <v>83</v>
      </c>
      <c r="CO105" s="150">
        <v>2647</v>
      </c>
      <c r="CP105" s="444">
        <v>22</v>
      </c>
      <c r="CQ105" s="374">
        <v>0</v>
      </c>
      <c r="CR105" s="150">
        <v>16</v>
      </c>
      <c r="CS105" s="105">
        <v>30</v>
      </c>
      <c r="CT105" s="18">
        <v>0</v>
      </c>
      <c r="CU105" s="150">
        <v>5</v>
      </c>
      <c r="CV105" s="105">
        <v>16</v>
      </c>
      <c r="CW105" s="18">
        <v>0</v>
      </c>
      <c r="CX105" s="150">
        <v>1</v>
      </c>
      <c r="CY105" s="105">
        <v>910</v>
      </c>
      <c r="CZ105" s="139">
        <v>4</v>
      </c>
      <c r="DA105" s="150">
        <v>131</v>
      </c>
      <c r="DB105" s="444">
        <v>1302</v>
      </c>
      <c r="DC105" s="139">
        <v>4</v>
      </c>
      <c r="DD105" s="150">
        <v>107</v>
      </c>
      <c r="DE105" s="105">
        <v>6383</v>
      </c>
      <c r="DF105" s="139">
        <v>111</v>
      </c>
      <c r="DG105" s="150">
        <v>1446</v>
      </c>
      <c r="DH105" s="87">
        <v>26</v>
      </c>
      <c r="DI105" s="18">
        <v>0</v>
      </c>
      <c r="DJ105" s="317">
        <v>0</v>
      </c>
      <c r="DK105" s="105">
        <v>5453</v>
      </c>
      <c r="DL105" s="139">
        <v>349</v>
      </c>
      <c r="DM105" s="150">
        <v>353</v>
      </c>
      <c r="DN105" s="105">
        <v>3711</v>
      </c>
      <c r="DO105" s="139">
        <v>7</v>
      </c>
      <c r="DP105" s="150">
        <v>406</v>
      </c>
      <c r="DQ105" s="105">
        <v>3699</v>
      </c>
      <c r="DR105" s="139">
        <v>10</v>
      </c>
      <c r="DS105" s="150">
        <v>652</v>
      </c>
      <c r="DT105" s="105">
        <v>238</v>
      </c>
      <c r="DU105" s="139">
        <v>7</v>
      </c>
      <c r="DV105" s="150">
        <v>63</v>
      </c>
      <c r="DW105" s="444">
        <v>33</v>
      </c>
      <c r="DX105" s="139">
        <v>2</v>
      </c>
      <c r="DY105" s="150">
        <v>5</v>
      </c>
      <c r="DZ105" s="105">
        <v>395</v>
      </c>
      <c r="EA105" s="139">
        <v>6</v>
      </c>
      <c r="EB105" s="150">
        <v>124</v>
      </c>
      <c r="EC105" s="105">
        <v>2643</v>
      </c>
      <c r="ED105" s="139">
        <v>43</v>
      </c>
      <c r="EE105" s="150">
        <v>1497</v>
      </c>
      <c r="EF105" s="105">
        <v>8</v>
      </c>
      <c r="EG105" s="18">
        <v>0</v>
      </c>
      <c r="EH105" s="150">
        <v>1</v>
      </c>
      <c r="EI105" s="87">
        <v>69392</v>
      </c>
      <c r="EJ105" s="139">
        <v>1518</v>
      </c>
      <c r="EK105" s="150">
        <v>5674</v>
      </c>
      <c r="EL105" s="105">
        <v>267</v>
      </c>
      <c r="EM105" s="18">
        <v>0</v>
      </c>
      <c r="EN105" s="150">
        <v>171</v>
      </c>
      <c r="EO105" s="105">
        <v>1</v>
      </c>
      <c r="EP105" s="18">
        <v>0</v>
      </c>
      <c r="EQ105" s="317">
        <v>0</v>
      </c>
      <c r="ER105" s="83"/>
      <c r="ES105" s="105">
        <v>308</v>
      </c>
      <c r="ET105" s="139">
        <v>2</v>
      </c>
      <c r="EU105" s="150">
        <v>63</v>
      </c>
      <c r="EV105" s="351"/>
      <c r="EW105" s="127"/>
    </row>
    <row r="106" spans="1:153" ht="15" customHeight="1">
      <c r="A106" s="93">
        <v>43937</v>
      </c>
      <c r="B106" s="440">
        <f t="shared" ref="B106:D106" si="102">SUM(F106,I106,L106,O106,R106,U106,X106,AA106,AD106,AG106,AJ106,AN106,AQ106,AT106,AW106,AZ106,BC106,BF106,BI106,BL106,BO106,BR106,BU106,BX106,CA106,CD106,CG106,CJ106,CM106,CP106,CS106,CV106,CY106,DB106,DE106,DH106,DK106,DN106,DQ106,DT106,DW106,DZ106,EC106,EF106,EI106,EL106,ES106,)</f>
        <v>344143</v>
      </c>
      <c r="C106" s="441">
        <f t="shared" si="102"/>
        <v>12380</v>
      </c>
      <c r="D106" s="442">
        <f t="shared" si="102"/>
        <v>165440</v>
      </c>
      <c r="E106" s="443">
        <f t="shared" si="1"/>
        <v>166323</v>
      </c>
      <c r="F106" s="105">
        <v>6380</v>
      </c>
      <c r="G106" s="139">
        <v>83</v>
      </c>
      <c r="H106" s="150">
        <v>990</v>
      </c>
      <c r="I106" s="105">
        <v>1159</v>
      </c>
      <c r="J106" s="139">
        <v>18</v>
      </c>
      <c r="K106" s="150">
        <v>358</v>
      </c>
      <c r="L106" s="105">
        <v>840</v>
      </c>
      <c r="M106" s="139">
        <v>30</v>
      </c>
      <c r="N106" s="150">
        <v>54</v>
      </c>
      <c r="O106" s="105">
        <v>1283</v>
      </c>
      <c r="P106" s="139">
        <v>15</v>
      </c>
      <c r="Q106" s="150">
        <v>460</v>
      </c>
      <c r="R106" s="105">
        <v>1700</v>
      </c>
      <c r="S106" s="139">
        <v>7</v>
      </c>
      <c r="T106" s="150">
        <v>703</v>
      </c>
      <c r="U106" s="105">
        <v>1572</v>
      </c>
      <c r="V106" s="139">
        <v>60</v>
      </c>
      <c r="W106" s="150">
        <v>49</v>
      </c>
      <c r="X106" s="444">
        <v>5</v>
      </c>
      <c r="Y106" s="374">
        <v>0</v>
      </c>
      <c r="Z106" s="150">
        <v>2</v>
      </c>
      <c r="AA106" s="444">
        <v>85</v>
      </c>
      <c r="AB106" s="139">
        <v>4</v>
      </c>
      <c r="AC106" s="150">
        <v>2</v>
      </c>
      <c r="AD106" s="444">
        <v>136</v>
      </c>
      <c r="AE106" s="139">
        <v>1</v>
      </c>
      <c r="AF106" s="150">
        <v>108</v>
      </c>
      <c r="AG106" s="105">
        <v>122</v>
      </c>
      <c r="AH106" s="18">
        <v>0</v>
      </c>
      <c r="AI106" s="150">
        <v>96</v>
      </c>
      <c r="AJ106" s="105">
        <v>83403</v>
      </c>
      <c r="AK106" s="139">
        <v>3346</v>
      </c>
      <c r="AL106" s="397">
        <v>78401</v>
      </c>
      <c r="AM106" s="371">
        <f t="shared" si="2"/>
        <v>1656</v>
      </c>
      <c r="AN106" s="105">
        <v>10613</v>
      </c>
      <c r="AO106" s="139">
        <v>229</v>
      </c>
      <c r="AP106" s="150">
        <v>7747</v>
      </c>
      <c r="AQ106" s="105">
        <v>5825</v>
      </c>
      <c r="AR106" s="139">
        <v>35</v>
      </c>
      <c r="AS106" s="150">
        <v>1095</v>
      </c>
      <c r="AT106" s="105">
        <v>348</v>
      </c>
      <c r="AU106" s="139">
        <v>3</v>
      </c>
      <c r="AV106" s="150">
        <v>76</v>
      </c>
      <c r="AW106" s="105">
        <v>118</v>
      </c>
      <c r="AX106" s="139">
        <v>3</v>
      </c>
      <c r="AY106" s="150">
        <v>60</v>
      </c>
      <c r="AZ106" s="105">
        <v>12759</v>
      </c>
      <c r="BA106" s="139">
        <v>423</v>
      </c>
      <c r="BB106" s="150">
        <v>1514</v>
      </c>
      <c r="BC106" s="105">
        <v>5516</v>
      </c>
      <c r="BD106" s="139">
        <v>496</v>
      </c>
      <c r="BE106" s="138">
        <v>548</v>
      </c>
      <c r="BF106" s="105">
        <v>1434</v>
      </c>
      <c r="BG106" s="139">
        <v>80</v>
      </c>
      <c r="BH106" s="150">
        <v>856</v>
      </c>
      <c r="BI106" s="105">
        <v>77995</v>
      </c>
      <c r="BJ106" s="139">
        <v>4869</v>
      </c>
      <c r="BK106" s="150">
        <v>52229</v>
      </c>
      <c r="BL106" s="105">
        <v>12758</v>
      </c>
      <c r="BM106" s="139">
        <v>142</v>
      </c>
      <c r="BN106" s="150">
        <v>2818</v>
      </c>
      <c r="BO106" s="105">
        <v>8626</v>
      </c>
      <c r="BP106" s="139">
        <v>178</v>
      </c>
      <c r="BQ106" s="150">
        <v>901</v>
      </c>
      <c r="BR106" s="105">
        <v>402</v>
      </c>
      <c r="BS106" s="139">
        <v>7</v>
      </c>
      <c r="BT106" s="150">
        <v>259</v>
      </c>
      <c r="BU106" s="105">
        <v>1402</v>
      </c>
      <c r="BV106" s="139">
        <v>17</v>
      </c>
      <c r="BW106" s="150">
        <v>277</v>
      </c>
      <c r="BX106" s="105">
        <v>466</v>
      </c>
      <c r="BY106" s="139">
        <v>5</v>
      </c>
      <c r="BZ106" s="150">
        <v>91</v>
      </c>
      <c r="CA106" s="105">
        <v>1524</v>
      </c>
      <c r="CB106" s="139">
        <v>3</v>
      </c>
      <c r="CC106" s="150">
        <v>225</v>
      </c>
      <c r="CD106" s="444">
        <v>19</v>
      </c>
      <c r="CE106" s="374">
        <v>0</v>
      </c>
      <c r="CF106" s="150">
        <v>2</v>
      </c>
      <c r="CG106" s="105">
        <v>663</v>
      </c>
      <c r="CH106" s="139">
        <v>21</v>
      </c>
      <c r="CI106" s="150">
        <v>86</v>
      </c>
      <c r="CJ106" s="105">
        <v>42</v>
      </c>
      <c r="CK106" s="18">
        <v>0</v>
      </c>
      <c r="CL106" s="150">
        <v>10</v>
      </c>
      <c r="CM106" s="105">
        <v>5182</v>
      </c>
      <c r="CN106" s="139">
        <v>84</v>
      </c>
      <c r="CO106" s="150">
        <v>2766</v>
      </c>
      <c r="CP106" s="444">
        <v>25</v>
      </c>
      <c r="CQ106" s="374">
        <v>0</v>
      </c>
      <c r="CR106" s="150">
        <v>16</v>
      </c>
      <c r="CS106" s="105">
        <v>31</v>
      </c>
      <c r="CT106" s="18">
        <v>0</v>
      </c>
      <c r="CU106" s="150">
        <v>5</v>
      </c>
      <c r="CV106" s="105">
        <v>16</v>
      </c>
      <c r="CW106" s="18">
        <v>0</v>
      </c>
      <c r="CX106" s="150">
        <v>2</v>
      </c>
      <c r="CY106" s="105">
        <v>1019</v>
      </c>
      <c r="CZ106" s="139">
        <v>4</v>
      </c>
      <c r="DA106" s="150">
        <v>176</v>
      </c>
      <c r="DB106" s="444">
        <v>1349</v>
      </c>
      <c r="DC106" s="139">
        <v>4</v>
      </c>
      <c r="DD106" s="150">
        <v>129</v>
      </c>
      <c r="DE106" s="105">
        <v>6919</v>
      </c>
      <c r="DF106" s="139">
        <v>128</v>
      </c>
      <c r="DG106" s="150">
        <v>1645</v>
      </c>
      <c r="DH106" s="87">
        <v>26</v>
      </c>
      <c r="DI106" s="18">
        <v>0</v>
      </c>
      <c r="DJ106" s="317">
        <v>0</v>
      </c>
      <c r="DK106" s="105">
        <v>5660</v>
      </c>
      <c r="DL106" s="139">
        <v>362</v>
      </c>
      <c r="DM106" s="150">
        <v>435</v>
      </c>
      <c r="DN106" s="105">
        <v>4103</v>
      </c>
      <c r="DO106" s="139">
        <v>7</v>
      </c>
      <c r="DP106" s="150">
        <v>415</v>
      </c>
      <c r="DQ106" s="105">
        <v>4427</v>
      </c>
      <c r="DR106" s="139">
        <v>10</v>
      </c>
      <c r="DS106" s="150">
        <v>683</v>
      </c>
      <c r="DT106" s="105">
        <v>238</v>
      </c>
      <c r="DU106" s="139">
        <v>7</v>
      </c>
      <c r="DV106" s="150">
        <v>68</v>
      </c>
      <c r="DW106" s="444">
        <v>33</v>
      </c>
      <c r="DX106" s="139">
        <v>2</v>
      </c>
      <c r="DY106" s="150">
        <v>5</v>
      </c>
      <c r="DZ106" s="105">
        <v>395</v>
      </c>
      <c r="EA106" s="139">
        <v>6</v>
      </c>
      <c r="EB106" s="150">
        <v>155</v>
      </c>
      <c r="EC106" s="105">
        <v>2672</v>
      </c>
      <c r="ED106" s="139">
        <v>46</v>
      </c>
      <c r="EE106" s="150">
        <v>1593</v>
      </c>
      <c r="EF106" s="105">
        <v>18</v>
      </c>
      <c r="EG106" s="18">
        <v>0</v>
      </c>
      <c r="EH106" s="150">
        <v>1</v>
      </c>
      <c r="EI106" s="87">
        <v>74193</v>
      </c>
      <c r="EJ106" s="139">
        <v>1643</v>
      </c>
      <c r="EK106" s="150">
        <v>7089</v>
      </c>
      <c r="EL106" s="105">
        <v>268</v>
      </c>
      <c r="EM106" s="18">
        <v>0</v>
      </c>
      <c r="EN106" s="150">
        <v>177</v>
      </c>
      <c r="EO106" s="105">
        <v>1</v>
      </c>
      <c r="EP106" s="18">
        <v>0</v>
      </c>
      <c r="EQ106" s="317">
        <v>0</v>
      </c>
      <c r="ER106" s="83"/>
      <c r="ES106" s="105">
        <v>374</v>
      </c>
      <c r="ET106" s="139">
        <v>2</v>
      </c>
      <c r="EU106" s="150">
        <v>63</v>
      </c>
      <c r="EV106" s="351"/>
      <c r="EW106" s="127"/>
    </row>
    <row r="107" spans="1:153" ht="15" customHeight="1">
      <c r="A107" s="93">
        <v>43938</v>
      </c>
      <c r="B107" s="440">
        <f t="shared" ref="B107:D107" si="103">SUM(F107,I107,L107,O107,R107,U107,X107,AA107,AD107,AG107,AJ107,AN107,AQ107,AT107,AW107,AZ107,BC107,BF107,BI107,BL107,BO107,BR107,BU107,BX107,CA107,CD107,CG107,CJ107,CM107,CP107,CS107,CV107,CY107,DB107,DE107,DH107,DK107,DN107,DQ107,DT107,DW107,DZ107,EC107,EF107,EI107,EL107,ES107,)</f>
        <v>357619</v>
      </c>
      <c r="C107" s="441">
        <f t="shared" si="103"/>
        <v>14057</v>
      </c>
      <c r="D107" s="442">
        <f t="shared" si="103"/>
        <v>169927</v>
      </c>
      <c r="E107" s="443">
        <f t="shared" si="1"/>
        <v>173635</v>
      </c>
      <c r="F107" s="105">
        <v>7142</v>
      </c>
      <c r="G107" s="139">
        <v>87</v>
      </c>
      <c r="H107" s="150">
        <v>1049</v>
      </c>
      <c r="I107" s="105">
        <v>1201</v>
      </c>
      <c r="J107" s="139">
        <v>19</v>
      </c>
      <c r="K107" s="150">
        <v>402</v>
      </c>
      <c r="L107" s="105">
        <v>906</v>
      </c>
      <c r="M107" s="139">
        <v>30</v>
      </c>
      <c r="N107" s="150">
        <v>99</v>
      </c>
      <c r="O107" s="105">
        <v>1340</v>
      </c>
      <c r="P107" s="139">
        <v>15</v>
      </c>
      <c r="Q107" s="150">
        <v>528</v>
      </c>
      <c r="R107" s="105">
        <v>1740</v>
      </c>
      <c r="S107" s="139">
        <v>7</v>
      </c>
      <c r="T107" s="150">
        <v>725</v>
      </c>
      <c r="U107" s="105">
        <v>1838</v>
      </c>
      <c r="V107" s="139">
        <v>75</v>
      </c>
      <c r="W107" s="150">
        <v>58</v>
      </c>
      <c r="X107" s="444">
        <v>5</v>
      </c>
      <c r="Y107" s="374">
        <v>0</v>
      </c>
      <c r="Z107" s="150">
        <v>2</v>
      </c>
      <c r="AA107" s="444">
        <v>88</v>
      </c>
      <c r="AB107" s="139">
        <v>4</v>
      </c>
      <c r="AC107" s="150">
        <v>5</v>
      </c>
      <c r="AD107" s="444">
        <v>136</v>
      </c>
      <c r="AE107" s="139">
        <v>1</v>
      </c>
      <c r="AF107" s="150">
        <v>112</v>
      </c>
      <c r="AG107" s="105">
        <v>122</v>
      </c>
      <c r="AH107" s="18">
        <v>0</v>
      </c>
      <c r="AI107" s="150">
        <v>98</v>
      </c>
      <c r="AJ107" s="105">
        <v>83760</v>
      </c>
      <c r="AK107" s="139">
        <v>4636</v>
      </c>
      <c r="AL107" s="397">
        <v>77614</v>
      </c>
      <c r="AM107" s="371">
        <f t="shared" si="2"/>
        <v>1510</v>
      </c>
      <c r="AN107" s="105">
        <v>10635</v>
      </c>
      <c r="AO107" s="139">
        <v>230</v>
      </c>
      <c r="AP107" s="150">
        <v>7829</v>
      </c>
      <c r="AQ107" s="105">
        <v>6302</v>
      </c>
      <c r="AR107" s="139">
        <v>37</v>
      </c>
      <c r="AS107" s="150">
        <v>1188</v>
      </c>
      <c r="AT107" s="105">
        <v>370</v>
      </c>
      <c r="AU107" s="139">
        <v>3</v>
      </c>
      <c r="AV107" s="150">
        <v>79</v>
      </c>
      <c r="AW107" s="105">
        <v>118</v>
      </c>
      <c r="AX107" s="139">
        <v>3</v>
      </c>
      <c r="AY107" s="150">
        <v>60</v>
      </c>
      <c r="AZ107" s="105">
        <v>14352</v>
      </c>
      <c r="BA107" s="139">
        <v>486</v>
      </c>
      <c r="BB107" s="150">
        <v>1777</v>
      </c>
      <c r="BC107" s="105">
        <v>5923</v>
      </c>
      <c r="BD107" s="139">
        <v>520</v>
      </c>
      <c r="BE107" s="138">
        <v>607</v>
      </c>
      <c r="BF107" s="105">
        <v>1482</v>
      </c>
      <c r="BG107" s="139">
        <v>81</v>
      </c>
      <c r="BH107" s="150">
        <v>906</v>
      </c>
      <c r="BI107" s="105">
        <v>79494</v>
      </c>
      <c r="BJ107" s="139">
        <v>4958</v>
      </c>
      <c r="BK107" s="150">
        <v>54064</v>
      </c>
      <c r="BL107" s="105">
        <v>12982</v>
      </c>
      <c r="BM107" s="139">
        <v>151</v>
      </c>
      <c r="BN107" s="150">
        <v>3126</v>
      </c>
      <c r="BO107" s="105">
        <v>9787</v>
      </c>
      <c r="BP107" s="139">
        <v>190</v>
      </c>
      <c r="BQ107" s="150">
        <v>935</v>
      </c>
      <c r="BR107" s="105">
        <v>407</v>
      </c>
      <c r="BS107" s="139">
        <v>7</v>
      </c>
      <c r="BT107" s="150">
        <v>265</v>
      </c>
      <c r="BU107" s="105">
        <v>1546</v>
      </c>
      <c r="BV107" s="139">
        <v>17</v>
      </c>
      <c r="BW107" s="150">
        <v>347</v>
      </c>
      <c r="BX107" s="105">
        <v>489</v>
      </c>
      <c r="BY107" s="139">
        <v>5</v>
      </c>
      <c r="BZ107" s="150">
        <v>114</v>
      </c>
      <c r="CA107" s="105">
        <v>1658</v>
      </c>
      <c r="CB107" s="139">
        <v>5</v>
      </c>
      <c r="CC107" s="150">
        <v>258</v>
      </c>
      <c r="CD107" s="444">
        <v>19</v>
      </c>
      <c r="CE107" s="374">
        <v>0</v>
      </c>
      <c r="CF107" s="150">
        <v>2</v>
      </c>
      <c r="CG107" s="105">
        <v>668</v>
      </c>
      <c r="CH107" s="139">
        <v>21</v>
      </c>
      <c r="CI107" s="150">
        <v>86</v>
      </c>
      <c r="CJ107" s="105">
        <v>42</v>
      </c>
      <c r="CK107" s="18">
        <v>0</v>
      </c>
      <c r="CL107" s="150">
        <v>10</v>
      </c>
      <c r="CM107" s="105">
        <v>5251</v>
      </c>
      <c r="CN107" s="139">
        <v>86</v>
      </c>
      <c r="CO107" s="150">
        <v>2967</v>
      </c>
      <c r="CP107" s="444">
        <v>28</v>
      </c>
      <c r="CQ107" s="374">
        <v>0</v>
      </c>
      <c r="CR107" s="150">
        <v>16</v>
      </c>
      <c r="CS107" s="105">
        <v>31</v>
      </c>
      <c r="CT107" s="18">
        <v>0</v>
      </c>
      <c r="CU107" s="150">
        <v>5</v>
      </c>
      <c r="CV107" s="105">
        <v>30</v>
      </c>
      <c r="CW107" s="18">
        <v>0</v>
      </c>
      <c r="CX107" s="150">
        <v>2</v>
      </c>
      <c r="CY107" s="105">
        <v>1069</v>
      </c>
      <c r="CZ107" s="139">
        <v>6</v>
      </c>
      <c r="DA107" s="150">
        <v>176</v>
      </c>
      <c r="DB107" s="444">
        <v>1405</v>
      </c>
      <c r="DC107" s="139">
        <v>4</v>
      </c>
      <c r="DD107" s="150">
        <v>156</v>
      </c>
      <c r="DE107" s="105">
        <v>7025</v>
      </c>
      <c r="DF107" s="139">
        <v>135</v>
      </c>
      <c r="DG107" s="150">
        <v>1765</v>
      </c>
      <c r="DH107" s="87">
        <v>26</v>
      </c>
      <c r="DI107" s="18">
        <v>0</v>
      </c>
      <c r="DJ107" s="317">
        <v>0</v>
      </c>
      <c r="DK107" s="105">
        <v>5878</v>
      </c>
      <c r="DL107" s="139">
        <v>387</v>
      </c>
      <c r="DM107" s="150">
        <v>487</v>
      </c>
      <c r="DN107" s="105">
        <v>4663</v>
      </c>
      <c r="DO107" s="139">
        <v>7</v>
      </c>
      <c r="DP107" s="150">
        <v>464</v>
      </c>
      <c r="DQ107" s="105">
        <v>5050</v>
      </c>
      <c r="DR107" s="139">
        <v>11</v>
      </c>
      <c r="DS107" s="150">
        <v>708</v>
      </c>
      <c r="DT107" s="105">
        <v>244</v>
      </c>
      <c r="DU107" s="139">
        <v>7</v>
      </c>
      <c r="DV107" s="150">
        <v>77</v>
      </c>
      <c r="DW107" s="444">
        <v>38</v>
      </c>
      <c r="DX107" s="139">
        <v>2</v>
      </c>
      <c r="DY107" s="150">
        <v>5</v>
      </c>
      <c r="DZ107" s="105">
        <v>395</v>
      </c>
      <c r="EA107" s="139">
        <v>6</v>
      </c>
      <c r="EB107" s="150">
        <v>166</v>
      </c>
      <c r="EC107" s="105">
        <v>2700</v>
      </c>
      <c r="ED107" s="139">
        <v>47</v>
      </c>
      <c r="EE107" s="150">
        <v>1689</v>
      </c>
      <c r="EF107" s="105">
        <v>18</v>
      </c>
      <c r="EG107" s="18">
        <v>0</v>
      </c>
      <c r="EH107" s="150">
        <v>1</v>
      </c>
      <c r="EI107" s="87">
        <v>78546</v>
      </c>
      <c r="EJ107" s="139">
        <v>1769</v>
      </c>
      <c r="EK107" s="150">
        <v>8631</v>
      </c>
      <c r="EL107" s="105">
        <v>268</v>
      </c>
      <c r="EM107" s="18">
        <v>0</v>
      </c>
      <c r="EN107" s="150">
        <v>198</v>
      </c>
      <c r="EO107" s="105">
        <v>1</v>
      </c>
      <c r="EP107" s="18">
        <v>0</v>
      </c>
      <c r="EQ107" s="317">
        <v>0</v>
      </c>
      <c r="ER107" s="83"/>
      <c r="ES107" s="105">
        <v>402</v>
      </c>
      <c r="ET107" s="139">
        <v>2</v>
      </c>
      <c r="EU107" s="150">
        <v>69</v>
      </c>
      <c r="EV107" s="351"/>
      <c r="EW107" s="127"/>
    </row>
    <row r="108" spans="1:153" ht="15" customHeight="1">
      <c r="A108" s="93">
        <v>43939</v>
      </c>
      <c r="B108" s="440">
        <f t="shared" ref="B108:D108" si="104">SUM(F108,I108,L108,O108,R108,U108,X108,AA108,AD108,AG108,AJ108,AN108,AQ108,AT108,AW108,AZ108,BC108,BF108,BI108,BL108,BO108,BR108,BU108,BX108,CA108,CD108,CG108,CJ108,CM108,CP108,CS108,CV108,CY108,DB108,DE108,DH108,DK108,DN108,DQ108,DT108,DW108,DZ108,EC108,EF108,EI108,EL108,ES108,)</f>
        <v>368125</v>
      </c>
      <c r="C108" s="441">
        <f t="shared" si="104"/>
        <v>14327</v>
      </c>
      <c r="D108" s="442">
        <f t="shared" si="104"/>
        <v>175530</v>
      </c>
      <c r="E108" s="443">
        <f t="shared" si="1"/>
        <v>178268</v>
      </c>
      <c r="F108" s="105">
        <v>8274</v>
      </c>
      <c r="G108" s="139">
        <v>92</v>
      </c>
      <c r="H108" s="150">
        <v>1329</v>
      </c>
      <c r="I108" s="105">
        <v>1248</v>
      </c>
      <c r="J108" s="139">
        <v>20</v>
      </c>
      <c r="K108" s="150">
        <v>523</v>
      </c>
      <c r="L108" s="105">
        <v>933</v>
      </c>
      <c r="M108" s="139">
        <v>30</v>
      </c>
      <c r="N108" s="150">
        <v>112</v>
      </c>
      <c r="O108" s="105">
        <v>1373</v>
      </c>
      <c r="P108" s="139">
        <v>18</v>
      </c>
      <c r="Q108" s="150">
        <v>590</v>
      </c>
      <c r="R108" s="105">
        <v>1773</v>
      </c>
      <c r="S108" s="139">
        <v>7</v>
      </c>
      <c r="T108" s="150">
        <v>755</v>
      </c>
      <c r="U108" s="105">
        <v>2144</v>
      </c>
      <c r="V108" s="139">
        <v>84</v>
      </c>
      <c r="W108" s="150">
        <v>66</v>
      </c>
      <c r="X108" s="444">
        <v>5</v>
      </c>
      <c r="Y108" s="374">
        <v>0</v>
      </c>
      <c r="Z108" s="150">
        <v>2</v>
      </c>
      <c r="AA108" s="444">
        <v>98</v>
      </c>
      <c r="AB108" s="139">
        <v>5</v>
      </c>
      <c r="AC108" s="150">
        <v>5</v>
      </c>
      <c r="AD108" s="444">
        <v>137</v>
      </c>
      <c r="AE108" s="139">
        <v>1</v>
      </c>
      <c r="AF108" s="150">
        <v>113</v>
      </c>
      <c r="AG108" s="105">
        <v>122</v>
      </c>
      <c r="AH108" s="18">
        <v>0</v>
      </c>
      <c r="AI108" s="150">
        <v>103</v>
      </c>
      <c r="AJ108" s="105">
        <v>83787</v>
      </c>
      <c r="AK108" s="139">
        <v>4636</v>
      </c>
      <c r="AL108" s="397">
        <v>77614</v>
      </c>
      <c r="AM108" s="371">
        <f t="shared" si="2"/>
        <v>1537</v>
      </c>
      <c r="AN108" s="105">
        <v>10653</v>
      </c>
      <c r="AO108" s="139">
        <v>232</v>
      </c>
      <c r="AP108" s="150">
        <v>7937</v>
      </c>
      <c r="AQ108" s="105">
        <v>6302</v>
      </c>
      <c r="AR108" s="139">
        <v>37</v>
      </c>
      <c r="AS108" s="150">
        <v>1188</v>
      </c>
      <c r="AT108" s="105">
        <v>388</v>
      </c>
      <c r="AU108" s="139">
        <v>4</v>
      </c>
      <c r="AV108" s="150">
        <v>86</v>
      </c>
      <c r="AW108" s="105">
        <v>118</v>
      </c>
      <c r="AX108" s="139">
        <v>3</v>
      </c>
      <c r="AY108" s="150">
        <v>60</v>
      </c>
      <c r="AZ108" s="105">
        <v>14792</v>
      </c>
      <c r="BA108" s="139">
        <v>488</v>
      </c>
      <c r="BB108" s="150">
        <v>2045</v>
      </c>
      <c r="BC108" s="105">
        <v>6248</v>
      </c>
      <c r="BD108" s="139">
        <v>535</v>
      </c>
      <c r="BE108" s="138">
        <v>631</v>
      </c>
      <c r="BF108" s="105">
        <v>1513</v>
      </c>
      <c r="BG108" s="139">
        <v>82</v>
      </c>
      <c r="BH108" s="150">
        <v>953</v>
      </c>
      <c r="BI108" s="105">
        <v>80868</v>
      </c>
      <c r="BJ108" s="139">
        <v>5031</v>
      </c>
      <c r="BK108" s="150">
        <v>55987</v>
      </c>
      <c r="BL108" s="105">
        <v>13265</v>
      </c>
      <c r="BM108" s="139">
        <v>164</v>
      </c>
      <c r="BN108" s="150">
        <v>3456</v>
      </c>
      <c r="BO108" s="105">
        <v>9787</v>
      </c>
      <c r="BP108" s="139">
        <v>190</v>
      </c>
      <c r="BQ108" s="150">
        <v>935</v>
      </c>
      <c r="BR108" s="105">
        <v>413</v>
      </c>
      <c r="BS108" s="139">
        <v>7</v>
      </c>
      <c r="BT108" s="150">
        <v>269</v>
      </c>
      <c r="BU108" s="105">
        <v>1615</v>
      </c>
      <c r="BV108" s="139">
        <v>17</v>
      </c>
      <c r="BW108" s="150">
        <v>377</v>
      </c>
      <c r="BX108" s="105">
        <v>506</v>
      </c>
      <c r="BY108" s="139">
        <v>5</v>
      </c>
      <c r="BZ108" s="150">
        <v>130</v>
      </c>
      <c r="CA108" s="105">
        <v>1751</v>
      </c>
      <c r="CB108" s="139">
        <v>6</v>
      </c>
      <c r="CC108" s="150">
        <v>280</v>
      </c>
      <c r="CD108" s="444">
        <v>19</v>
      </c>
      <c r="CE108" s="374">
        <v>0</v>
      </c>
      <c r="CF108" s="150">
        <v>2</v>
      </c>
      <c r="CG108" s="105">
        <v>672</v>
      </c>
      <c r="CH108" s="139">
        <v>21</v>
      </c>
      <c r="CI108" s="150">
        <v>99</v>
      </c>
      <c r="CJ108" s="105">
        <v>42</v>
      </c>
      <c r="CK108" s="18">
        <v>0</v>
      </c>
      <c r="CL108" s="150">
        <v>10</v>
      </c>
      <c r="CM108" s="105">
        <v>5305</v>
      </c>
      <c r="CN108" s="139">
        <v>88</v>
      </c>
      <c r="CO108" s="150">
        <v>3102</v>
      </c>
      <c r="CP108" s="444">
        <v>35</v>
      </c>
      <c r="CQ108" s="374">
        <v>0</v>
      </c>
      <c r="CR108" s="150">
        <v>16</v>
      </c>
      <c r="CS108" s="105">
        <v>31</v>
      </c>
      <c r="CT108" s="18">
        <v>0</v>
      </c>
      <c r="CU108" s="150">
        <v>5</v>
      </c>
      <c r="CV108" s="105">
        <v>31</v>
      </c>
      <c r="CW108" s="18">
        <v>0</v>
      </c>
      <c r="CX108" s="150">
        <v>2</v>
      </c>
      <c r="CY108" s="105">
        <v>1180</v>
      </c>
      <c r="CZ108" s="139">
        <v>6</v>
      </c>
      <c r="DA108" s="150">
        <v>176</v>
      </c>
      <c r="DB108" s="444">
        <v>1490</v>
      </c>
      <c r="DC108" s="139">
        <v>5</v>
      </c>
      <c r="DD108" s="150">
        <v>194</v>
      </c>
      <c r="DE108" s="105">
        <v>7638</v>
      </c>
      <c r="DF108" s="139">
        <v>143</v>
      </c>
      <c r="DG108" s="150">
        <v>1832</v>
      </c>
      <c r="DH108" s="87">
        <v>26</v>
      </c>
      <c r="DI108" s="18">
        <v>0</v>
      </c>
      <c r="DJ108" s="317">
        <v>0</v>
      </c>
      <c r="DK108" s="105">
        <v>6087</v>
      </c>
      <c r="DL108" s="139">
        <v>397</v>
      </c>
      <c r="DM108" s="150">
        <v>516</v>
      </c>
      <c r="DN108" s="105">
        <v>5008</v>
      </c>
      <c r="DO108" s="139">
        <v>8</v>
      </c>
      <c r="DP108" s="150">
        <v>510</v>
      </c>
      <c r="DQ108" s="105">
        <v>5992</v>
      </c>
      <c r="DR108" s="139">
        <v>11</v>
      </c>
      <c r="DS108" s="150">
        <v>740</v>
      </c>
      <c r="DT108" s="105">
        <v>254</v>
      </c>
      <c r="DU108" s="139">
        <v>7</v>
      </c>
      <c r="DV108" s="150">
        <v>86</v>
      </c>
      <c r="DW108" s="444">
        <v>38</v>
      </c>
      <c r="DX108" s="139">
        <v>2</v>
      </c>
      <c r="DY108" s="150">
        <v>5</v>
      </c>
      <c r="DZ108" s="105">
        <v>398</v>
      </c>
      <c r="EA108" s="139">
        <v>6</v>
      </c>
      <c r="EB108" s="150">
        <v>178</v>
      </c>
      <c r="EC108" s="105">
        <v>2733</v>
      </c>
      <c r="ED108" s="139">
        <v>47</v>
      </c>
      <c r="EE108" s="150">
        <v>1787</v>
      </c>
      <c r="EF108" s="105">
        <v>18</v>
      </c>
      <c r="EG108" s="18">
        <v>0</v>
      </c>
      <c r="EH108" s="150">
        <v>1</v>
      </c>
      <c r="EI108" s="87">
        <v>82329</v>
      </c>
      <c r="EJ108" s="139">
        <v>1890</v>
      </c>
      <c r="EK108" s="150">
        <v>10453</v>
      </c>
      <c r="EL108" s="105">
        <v>268</v>
      </c>
      <c r="EM108" s="18">
        <v>0</v>
      </c>
      <c r="EN108" s="150">
        <v>201</v>
      </c>
      <c r="EO108" s="105">
        <v>1</v>
      </c>
      <c r="EP108" s="18">
        <v>0</v>
      </c>
      <c r="EQ108" s="317">
        <v>0</v>
      </c>
      <c r="ER108" s="83"/>
      <c r="ES108" s="105">
        <v>418</v>
      </c>
      <c r="ET108" s="139">
        <v>2</v>
      </c>
      <c r="EU108" s="150">
        <v>69</v>
      </c>
      <c r="EV108" s="351"/>
      <c r="EW108" s="127"/>
    </row>
    <row r="109" spans="1:153" ht="15" customHeight="1">
      <c r="A109" s="93">
        <v>43940</v>
      </c>
      <c r="B109" s="440">
        <f t="shared" ref="B109:D109" si="105">SUM(F109,I109,L109,O109,R109,U109,X109,AA109,AD109,AG109,AJ109,AN109,AQ109,AT109,AW109,AZ109,BC109,BF109,BI109,BL109,BO109,BR109,BU109,BX109,CA109,CD109,CG109,CJ109,CM109,CP109,CS109,CV109,CY109,DB109,DE109,DH109,DK109,DN109,DQ109,DT109,DW109,DZ109,EC109,EF109,EI109,EL109,ES109,)</f>
        <v>382572</v>
      </c>
      <c r="C109" s="441">
        <f t="shared" si="105"/>
        <v>14777</v>
      </c>
      <c r="D109" s="442">
        <f t="shared" si="105"/>
        <v>180610</v>
      </c>
      <c r="E109" s="443">
        <f t="shared" si="1"/>
        <v>187185</v>
      </c>
      <c r="F109" s="105">
        <v>9362</v>
      </c>
      <c r="G109" s="139">
        <v>97</v>
      </c>
      <c r="H109" s="150">
        <v>1398</v>
      </c>
      <c r="I109" s="105">
        <v>1291</v>
      </c>
      <c r="J109" s="139">
        <v>20</v>
      </c>
      <c r="K109" s="150">
        <v>545</v>
      </c>
      <c r="L109" s="105">
        <v>996</v>
      </c>
      <c r="M109" s="139">
        <v>33</v>
      </c>
      <c r="N109" s="150">
        <v>131</v>
      </c>
      <c r="O109" s="105">
        <v>1398</v>
      </c>
      <c r="P109" s="139">
        <v>19</v>
      </c>
      <c r="Q109" s="150">
        <v>712</v>
      </c>
      <c r="R109" s="105">
        <v>1881</v>
      </c>
      <c r="S109" s="139">
        <v>7</v>
      </c>
      <c r="T109" s="150">
        <v>759</v>
      </c>
      <c r="U109" s="105">
        <v>2456</v>
      </c>
      <c r="V109" s="139">
        <v>91</v>
      </c>
      <c r="W109" s="150">
        <v>75</v>
      </c>
      <c r="X109" s="444">
        <v>5</v>
      </c>
      <c r="Y109" s="374">
        <v>0</v>
      </c>
      <c r="Z109" s="150">
        <v>2</v>
      </c>
      <c r="AA109" s="444">
        <v>111</v>
      </c>
      <c r="AB109" s="139">
        <v>5</v>
      </c>
      <c r="AC109" s="150">
        <v>7</v>
      </c>
      <c r="AD109" s="444">
        <v>138</v>
      </c>
      <c r="AE109" s="139">
        <v>1</v>
      </c>
      <c r="AF109" s="150">
        <v>115</v>
      </c>
      <c r="AG109" s="105">
        <v>122</v>
      </c>
      <c r="AH109" s="18">
        <v>0</v>
      </c>
      <c r="AI109" s="150">
        <v>105</v>
      </c>
      <c r="AJ109" s="105">
        <v>83805</v>
      </c>
      <c r="AK109" s="139">
        <v>4636</v>
      </c>
      <c r="AL109" s="397">
        <v>77690</v>
      </c>
      <c r="AM109" s="371">
        <f t="shared" si="2"/>
        <v>1479</v>
      </c>
      <c r="AN109" s="105">
        <v>10661</v>
      </c>
      <c r="AO109" s="139">
        <v>234</v>
      </c>
      <c r="AP109" s="150">
        <v>8042</v>
      </c>
      <c r="AQ109" s="105">
        <v>6781</v>
      </c>
      <c r="AR109" s="139">
        <v>41</v>
      </c>
      <c r="AS109" s="150">
        <v>1286</v>
      </c>
      <c r="AT109" s="105">
        <v>394</v>
      </c>
      <c r="AU109" s="139">
        <v>4</v>
      </c>
      <c r="AV109" s="150">
        <v>93</v>
      </c>
      <c r="AW109" s="105">
        <v>118</v>
      </c>
      <c r="AX109" s="139">
        <v>3</v>
      </c>
      <c r="AY109" s="150">
        <v>60</v>
      </c>
      <c r="AZ109" s="105">
        <v>17615</v>
      </c>
      <c r="BA109" s="139">
        <v>559</v>
      </c>
      <c r="BB109" s="150">
        <v>2854</v>
      </c>
      <c r="BC109" s="105">
        <v>6575</v>
      </c>
      <c r="BD109" s="139">
        <v>582</v>
      </c>
      <c r="BE109" s="138">
        <v>686</v>
      </c>
      <c r="BF109" s="105">
        <v>1539</v>
      </c>
      <c r="BG109" s="139">
        <v>82</v>
      </c>
      <c r="BH109" s="150">
        <v>1009</v>
      </c>
      <c r="BI109" s="105">
        <v>82211</v>
      </c>
      <c r="BJ109" s="139">
        <v>5118</v>
      </c>
      <c r="BK109" s="150">
        <v>57023</v>
      </c>
      <c r="BL109" s="105">
        <v>13491</v>
      </c>
      <c r="BM109" s="139">
        <v>172</v>
      </c>
      <c r="BN109" s="150">
        <v>3754</v>
      </c>
      <c r="BO109" s="105">
        <v>10797</v>
      </c>
      <c r="BP109" s="139">
        <v>236</v>
      </c>
      <c r="BQ109" s="150">
        <v>1159</v>
      </c>
      <c r="BR109" s="105">
        <v>417</v>
      </c>
      <c r="BS109" s="139">
        <v>7</v>
      </c>
      <c r="BT109" s="150">
        <v>276</v>
      </c>
      <c r="BU109" s="105">
        <v>1676</v>
      </c>
      <c r="BV109" s="139">
        <v>17</v>
      </c>
      <c r="BW109" s="150">
        <v>400</v>
      </c>
      <c r="BX109" s="105">
        <v>554</v>
      </c>
      <c r="BY109" s="139">
        <v>5</v>
      </c>
      <c r="BZ109" s="150">
        <v>133</v>
      </c>
      <c r="CA109" s="105">
        <v>1915</v>
      </c>
      <c r="CB109" s="139">
        <v>7</v>
      </c>
      <c r="CC109" s="150">
        <v>305</v>
      </c>
      <c r="CD109" s="444">
        <v>19</v>
      </c>
      <c r="CE109" s="374">
        <v>0</v>
      </c>
      <c r="CF109" s="150">
        <v>2</v>
      </c>
      <c r="CG109" s="105">
        <v>673</v>
      </c>
      <c r="CH109" s="139">
        <v>21</v>
      </c>
      <c r="CI109" s="150">
        <v>102</v>
      </c>
      <c r="CJ109" s="105">
        <v>42</v>
      </c>
      <c r="CK109" s="18">
        <v>0</v>
      </c>
      <c r="CL109" s="150">
        <v>10</v>
      </c>
      <c r="CM109" s="105">
        <v>5389</v>
      </c>
      <c r="CN109" s="139">
        <v>89</v>
      </c>
      <c r="CO109" s="150">
        <v>3197</v>
      </c>
      <c r="CP109" s="444">
        <v>52</v>
      </c>
      <c r="CQ109" s="374">
        <v>0</v>
      </c>
      <c r="CR109" s="150">
        <v>16</v>
      </c>
      <c r="CS109" s="105">
        <v>32</v>
      </c>
      <c r="CT109" s="18">
        <v>0</v>
      </c>
      <c r="CU109" s="150">
        <v>7</v>
      </c>
      <c r="CV109" s="105">
        <v>31</v>
      </c>
      <c r="CW109" s="18">
        <v>0</v>
      </c>
      <c r="CX109" s="150">
        <v>4</v>
      </c>
      <c r="CY109" s="105">
        <v>1266</v>
      </c>
      <c r="CZ109" s="139">
        <v>7</v>
      </c>
      <c r="DA109" s="150">
        <v>233</v>
      </c>
      <c r="DB109" s="444">
        <v>1565</v>
      </c>
      <c r="DC109" s="139">
        <v>5</v>
      </c>
      <c r="DD109" s="150">
        <v>225</v>
      </c>
      <c r="DE109" s="105">
        <v>8348</v>
      </c>
      <c r="DF109" s="139">
        <v>168</v>
      </c>
      <c r="DG109" s="150">
        <v>1868</v>
      </c>
      <c r="DH109" s="87">
        <v>26</v>
      </c>
      <c r="DI109" s="18">
        <v>0</v>
      </c>
      <c r="DJ109" s="317">
        <v>0</v>
      </c>
      <c r="DK109" s="105">
        <v>6259</v>
      </c>
      <c r="DL109" s="139">
        <v>409</v>
      </c>
      <c r="DM109" s="150">
        <v>572</v>
      </c>
      <c r="DN109" s="105">
        <v>5448</v>
      </c>
      <c r="DO109" s="139">
        <v>8</v>
      </c>
      <c r="DP109" s="150">
        <v>518</v>
      </c>
      <c r="DQ109" s="105">
        <v>6588</v>
      </c>
      <c r="DR109" s="139">
        <v>11</v>
      </c>
      <c r="DS109" s="150">
        <v>768</v>
      </c>
      <c r="DT109" s="105">
        <v>271</v>
      </c>
      <c r="DU109" s="139">
        <v>7</v>
      </c>
      <c r="DV109" s="150">
        <v>96</v>
      </c>
      <c r="DW109" s="444">
        <v>39</v>
      </c>
      <c r="DX109" s="139">
        <v>3</v>
      </c>
      <c r="DY109" s="150">
        <v>5</v>
      </c>
      <c r="DZ109" s="105">
        <v>420</v>
      </c>
      <c r="EA109" s="139">
        <v>6</v>
      </c>
      <c r="EB109" s="150">
        <v>189</v>
      </c>
      <c r="EC109" s="105">
        <v>2765</v>
      </c>
      <c r="ED109" s="139">
        <v>47</v>
      </c>
      <c r="EE109" s="150">
        <v>1928</v>
      </c>
      <c r="EF109" s="105">
        <v>19</v>
      </c>
      <c r="EG109" s="18">
        <v>0</v>
      </c>
      <c r="EH109" s="150">
        <v>1</v>
      </c>
      <c r="EI109" s="87">
        <v>86306</v>
      </c>
      <c r="EJ109" s="139">
        <v>2017</v>
      </c>
      <c r="EK109" s="150">
        <v>11976</v>
      </c>
      <c r="EL109" s="105">
        <v>268</v>
      </c>
      <c r="EM109" s="18">
        <v>0</v>
      </c>
      <c r="EN109" s="150">
        <v>203</v>
      </c>
      <c r="EO109" s="105">
        <v>1</v>
      </c>
      <c r="EP109" s="18">
        <v>0</v>
      </c>
      <c r="EQ109" s="317">
        <v>0</v>
      </c>
      <c r="ER109" s="83"/>
      <c r="ES109" s="105">
        <v>437</v>
      </c>
      <c r="ET109" s="139">
        <v>3</v>
      </c>
      <c r="EU109" s="150">
        <v>71</v>
      </c>
      <c r="EV109" s="351"/>
      <c r="EW109" s="127"/>
    </row>
    <row r="110" spans="1:153" ht="15" customHeight="1">
      <c r="A110" s="93">
        <v>43941</v>
      </c>
      <c r="B110" s="440">
        <f t="shared" ref="B110:D110" si="106">SUM(F110,I110,L110,O110,R110,U110,X110,AA110,AD110,AG110,AJ110,AN110,AQ110,AT110,AW110,AZ110,BC110,BF110,BI110,BL110,BO110,BR110,BU110,BX110,CA110,CD110,CG110,CJ110,CM110,CP110,CS110,CV110,CY110,DB110,DE110,DH110,DK110,DN110,DQ110,DT110,DW110,DZ110,EC110,EF110,EI110,EL110,ES110,)</f>
        <v>394500</v>
      </c>
      <c r="C110" s="441">
        <f t="shared" si="106"/>
        <v>15063</v>
      </c>
      <c r="D110" s="442">
        <f t="shared" si="106"/>
        <v>186193</v>
      </c>
      <c r="E110" s="443">
        <f t="shared" si="1"/>
        <v>193244</v>
      </c>
      <c r="F110" s="105">
        <v>10484</v>
      </c>
      <c r="G110" s="139">
        <v>103</v>
      </c>
      <c r="H110" s="150">
        <v>1490</v>
      </c>
      <c r="I110" s="105">
        <v>1339</v>
      </c>
      <c r="J110" s="139">
        <v>22</v>
      </c>
      <c r="K110" s="150">
        <v>580</v>
      </c>
      <c r="L110" s="105">
        <v>1026</v>
      </c>
      <c r="M110" s="139">
        <v>36</v>
      </c>
      <c r="N110" s="150">
        <v>135</v>
      </c>
      <c r="O110" s="105">
        <v>1436</v>
      </c>
      <c r="P110" s="139">
        <v>19</v>
      </c>
      <c r="Q110" s="150">
        <v>791</v>
      </c>
      <c r="R110" s="105">
        <v>1907</v>
      </c>
      <c r="S110" s="139">
        <v>7</v>
      </c>
      <c r="T110" s="150">
        <v>769</v>
      </c>
      <c r="U110" s="105">
        <v>2948</v>
      </c>
      <c r="V110" s="139">
        <v>101</v>
      </c>
      <c r="W110" s="150">
        <v>85</v>
      </c>
      <c r="X110" s="444">
        <v>5</v>
      </c>
      <c r="Y110" s="374">
        <v>0</v>
      </c>
      <c r="Z110" s="150">
        <v>2</v>
      </c>
      <c r="AA110" s="444">
        <v>117</v>
      </c>
      <c r="AB110" s="139">
        <v>5</v>
      </c>
      <c r="AC110" s="150">
        <v>7</v>
      </c>
      <c r="AD110" s="444">
        <v>138</v>
      </c>
      <c r="AE110" s="139">
        <v>1</v>
      </c>
      <c r="AF110" s="150">
        <v>116</v>
      </c>
      <c r="AG110" s="105">
        <v>122</v>
      </c>
      <c r="AH110" s="18">
        <v>0</v>
      </c>
      <c r="AI110" s="150">
        <v>107</v>
      </c>
      <c r="AJ110" s="105">
        <v>83817</v>
      </c>
      <c r="AK110" s="139">
        <v>4636</v>
      </c>
      <c r="AL110" s="397">
        <v>77745</v>
      </c>
      <c r="AM110" s="371">
        <f t="shared" si="2"/>
        <v>1436</v>
      </c>
      <c r="AN110" s="105">
        <v>10674</v>
      </c>
      <c r="AO110" s="139">
        <v>236</v>
      </c>
      <c r="AP110" s="150">
        <v>8114</v>
      </c>
      <c r="AQ110" s="105">
        <v>7265</v>
      </c>
      <c r="AR110" s="139">
        <v>43</v>
      </c>
      <c r="AS110" s="150">
        <v>1360</v>
      </c>
      <c r="AT110" s="105">
        <v>402</v>
      </c>
      <c r="AU110" s="139">
        <v>4</v>
      </c>
      <c r="AV110" s="150">
        <v>95</v>
      </c>
      <c r="AW110" s="105">
        <v>118</v>
      </c>
      <c r="AX110" s="139">
        <v>3</v>
      </c>
      <c r="AY110" s="150">
        <v>60</v>
      </c>
      <c r="AZ110" s="105">
        <v>18539</v>
      </c>
      <c r="BA110" s="139">
        <v>559</v>
      </c>
      <c r="BB110" s="150">
        <v>3273</v>
      </c>
      <c r="BC110" s="105">
        <v>6760</v>
      </c>
      <c r="BD110" s="139">
        <v>590</v>
      </c>
      <c r="BE110" s="138">
        <v>747</v>
      </c>
      <c r="BF110" s="105">
        <v>1574</v>
      </c>
      <c r="BG110" s="139">
        <v>82</v>
      </c>
      <c r="BH110" s="150">
        <v>1043</v>
      </c>
      <c r="BI110" s="105">
        <v>83505</v>
      </c>
      <c r="BJ110" s="139">
        <v>5209</v>
      </c>
      <c r="BK110" s="150">
        <v>59273</v>
      </c>
      <c r="BL110" s="105">
        <v>13713</v>
      </c>
      <c r="BM110" s="139">
        <v>177</v>
      </c>
      <c r="BN110" s="150">
        <v>4049</v>
      </c>
      <c r="BO110" s="105">
        <v>10797</v>
      </c>
      <c r="BP110" s="139">
        <v>236</v>
      </c>
      <c r="BQ110" s="150">
        <v>1159</v>
      </c>
      <c r="BR110" s="105">
        <v>425</v>
      </c>
      <c r="BS110" s="139">
        <v>7</v>
      </c>
      <c r="BT110" s="150">
        <v>282</v>
      </c>
      <c r="BU110" s="105">
        <v>1852</v>
      </c>
      <c r="BV110" s="139">
        <v>19</v>
      </c>
      <c r="BW110" s="150">
        <v>447</v>
      </c>
      <c r="BX110" s="105">
        <v>568</v>
      </c>
      <c r="BY110" s="139">
        <v>7</v>
      </c>
      <c r="BZ110" s="150">
        <v>201</v>
      </c>
      <c r="CA110" s="105">
        <v>1995</v>
      </c>
      <c r="CB110" s="139">
        <v>9</v>
      </c>
      <c r="CC110" s="150">
        <v>367</v>
      </c>
      <c r="CD110" s="444">
        <v>19</v>
      </c>
      <c r="CE110" s="374">
        <v>0</v>
      </c>
      <c r="CF110" s="150">
        <v>2</v>
      </c>
      <c r="CG110" s="105">
        <v>677</v>
      </c>
      <c r="CH110" s="139">
        <v>21</v>
      </c>
      <c r="CI110" s="150">
        <v>103</v>
      </c>
      <c r="CJ110" s="105">
        <v>42</v>
      </c>
      <c r="CK110" s="18">
        <v>0</v>
      </c>
      <c r="CL110" s="150">
        <v>10</v>
      </c>
      <c r="CM110" s="105">
        <v>5425</v>
      </c>
      <c r="CN110" s="139">
        <v>89</v>
      </c>
      <c r="CO110" s="150">
        <v>3295</v>
      </c>
      <c r="CP110" s="444">
        <v>69</v>
      </c>
      <c r="CQ110" s="374">
        <v>0</v>
      </c>
      <c r="CR110" s="150">
        <v>16</v>
      </c>
      <c r="CS110" s="105">
        <v>33</v>
      </c>
      <c r="CT110" s="18">
        <v>0</v>
      </c>
      <c r="CU110" s="150">
        <v>7</v>
      </c>
      <c r="CV110" s="105">
        <v>31</v>
      </c>
      <c r="CW110" s="18">
        <v>0</v>
      </c>
      <c r="CX110" s="150">
        <v>4</v>
      </c>
      <c r="CY110" s="105">
        <v>1410</v>
      </c>
      <c r="CZ110" s="139">
        <v>7</v>
      </c>
      <c r="DA110" s="150">
        <v>238</v>
      </c>
      <c r="DB110" s="444">
        <v>1627</v>
      </c>
      <c r="DC110" s="139">
        <v>5</v>
      </c>
      <c r="DD110" s="150">
        <v>261</v>
      </c>
      <c r="DE110" s="105">
        <v>8418</v>
      </c>
      <c r="DF110" s="139">
        <v>176</v>
      </c>
      <c r="DG110" s="150">
        <v>1970</v>
      </c>
      <c r="DH110" s="87">
        <v>26</v>
      </c>
      <c r="DI110" s="18">
        <v>0</v>
      </c>
      <c r="DJ110" s="317">
        <v>0</v>
      </c>
      <c r="DK110" s="105">
        <v>6459</v>
      </c>
      <c r="DL110" s="139">
        <v>428</v>
      </c>
      <c r="DM110" s="150">
        <v>613</v>
      </c>
      <c r="DN110" s="105">
        <v>5448</v>
      </c>
      <c r="DO110" s="139">
        <v>9</v>
      </c>
      <c r="DP110" s="150">
        <v>555</v>
      </c>
      <c r="DQ110" s="105">
        <v>8014</v>
      </c>
      <c r="DR110" s="139">
        <v>11</v>
      </c>
      <c r="DS110" s="150">
        <v>801</v>
      </c>
      <c r="DT110" s="105">
        <v>304</v>
      </c>
      <c r="DU110" s="139">
        <v>7</v>
      </c>
      <c r="DV110" s="150">
        <v>98</v>
      </c>
      <c r="DW110" s="444">
        <v>39</v>
      </c>
      <c r="DX110" s="139">
        <v>3</v>
      </c>
      <c r="DY110" s="150">
        <v>5</v>
      </c>
      <c r="DZ110" s="105">
        <v>422</v>
      </c>
      <c r="EA110" s="139">
        <v>6</v>
      </c>
      <c r="EB110" s="150">
        <v>203</v>
      </c>
      <c r="EC110" s="105">
        <v>2792</v>
      </c>
      <c r="ED110" s="139">
        <v>47</v>
      </c>
      <c r="EE110" s="150">
        <v>1999</v>
      </c>
      <c r="EF110" s="105">
        <v>22</v>
      </c>
      <c r="EG110" s="18">
        <v>0</v>
      </c>
      <c r="EH110" s="150">
        <v>1</v>
      </c>
      <c r="EI110" s="87">
        <v>90980</v>
      </c>
      <c r="EJ110" s="139">
        <v>2140</v>
      </c>
      <c r="EK110" s="150">
        <v>13430</v>
      </c>
      <c r="EL110" s="105">
        <v>268</v>
      </c>
      <c r="EM110" s="18">
        <v>0</v>
      </c>
      <c r="EN110" s="150">
        <v>214</v>
      </c>
      <c r="EO110" s="105">
        <v>1</v>
      </c>
      <c r="EP110" s="18">
        <v>0</v>
      </c>
      <c r="EQ110" s="317">
        <v>0</v>
      </c>
      <c r="ER110" s="487"/>
      <c r="ES110" s="105">
        <v>449</v>
      </c>
      <c r="ET110" s="139">
        <v>3</v>
      </c>
      <c r="EU110" s="150">
        <v>71</v>
      </c>
      <c r="EV110" s="351"/>
      <c r="EW110" s="127"/>
    </row>
    <row r="111" spans="1:153" ht="7.5" customHeight="1">
      <c r="A111" s="177"/>
      <c r="B111" s="178"/>
      <c r="C111" s="178"/>
      <c r="D111" s="179"/>
      <c r="E111" s="180"/>
      <c r="F111" s="181"/>
      <c r="G111" s="181"/>
      <c r="H111" s="181"/>
      <c r="I111" s="181"/>
      <c r="J111" s="181"/>
      <c r="K111" s="181"/>
      <c r="L111" s="181"/>
      <c r="M111" s="181"/>
      <c r="N111" s="181"/>
      <c r="O111" s="181"/>
      <c r="P111" s="181"/>
      <c r="Q111" s="181"/>
      <c r="R111" s="181"/>
      <c r="S111" s="181"/>
      <c r="T111" s="181"/>
      <c r="U111" s="181"/>
      <c r="V111" s="181"/>
      <c r="W111" s="181"/>
      <c r="X111" s="488"/>
      <c r="Y111" s="488"/>
      <c r="Z111" s="488"/>
      <c r="AA111" s="488"/>
      <c r="AB111" s="488"/>
      <c r="AC111" s="488"/>
      <c r="AD111" s="488"/>
      <c r="AE111" s="488"/>
      <c r="AF111" s="488"/>
      <c r="AG111" s="181"/>
      <c r="AH111" s="181"/>
      <c r="AI111" s="181"/>
      <c r="AJ111" s="177"/>
      <c r="AK111" s="178"/>
      <c r="AL111" s="178"/>
      <c r="AM111" s="489"/>
      <c r="AN111" s="179"/>
      <c r="AO111" s="179"/>
      <c r="AP111" s="181"/>
      <c r="AQ111" s="181"/>
      <c r="AR111" s="181"/>
      <c r="AS111" s="181"/>
      <c r="AT111" s="181"/>
      <c r="AU111" s="181"/>
      <c r="AV111" s="181"/>
      <c r="AW111" s="181"/>
      <c r="AX111" s="181"/>
      <c r="AY111" s="181"/>
      <c r="AZ111" s="181"/>
      <c r="BA111" s="181"/>
      <c r="BB111" s="177"/>
      <c r="BC111" s="181"/>
      <c r="BD111" s="181"/>
      <c r="BE111" s="177"/>
      <c r="BF111" s="178"/>
      <c r="BG111" s="178"/>
      <c r="BH111" s="179"/>
      <c r="BI111" s="179"/>
      <c r="BJ111" s="181"/>
      <c r="BK111" s="181"/>
      <c r="BL111" s="181"/>
      <c r="BM111" s="181"/>
      <c r="BN111" s="181"/>
      <c r="BO111" s="181"/>
      <c r="BP111" s="181"/>
      <c r="BQ111" s="181"/>
      <c r="BR111" s="181"/>
      <c r="BS111" s="181"/>
      <c r="BT111" s="437"/>
      <c r="BU111" s="181"/>
      <c r="BV111" s="181"/>
      <c r="BW111" s="437"/>
      <c r="BX111" s="181"/>
      <c r="BY111" s="181"/>
      <c r="BZ111" s="437"/>
      <c r="CA111" s="181"/>
      <c r="CB111" s="181"/>
      <c r="CC111" s="181"/>
      <c r="CD111" s="488"/>
      <c r="CE111" s="488"/>
      <c r="CF111" s="488"/>
      <c r="CG111" s="181"/>
      <c r="CH111" s="177"/>
      <c r="CI111" s="178"/>
      <c r="CJ111" s="178"/>
      <c r="CK111" s="179"/>
      <c r="CL111" s="179"/>
      <c r="CM111" s="181"/>
      <c r="CN111" s="181"/>
      <c r="CO111" s="181"/>
      <c r="CP111" s="488"/>
      <c r="CQ111" s="488"/>
      <c r="CR111" s="488"/>
      <c r="CS111" s="181"/>
      <c r="CT111" s="181"/>
      <c r="CU111" s="181"/>
      <c r="CV111" s="181"/>
      <c r="CW111" s="181"/>
      <c r="CX111" s="181"/>
      <c r="CY111" s="181"/>
      <c r="CZ111" s="181"/>
      <c r="DA111" s="181"/>
      <c r="DB111" s="488"/>
      <c r="DC111" s="488"/>
      <c r="DD111" s="488"/>
      <c r="DE111" s="181"/>
      <c r="DF111" s="181"/>
      <c r="DG111" s="181"/>
      <c r="DH111" s="181"/>
      <c r="DI111" s="181"/>
      <c r="DJ111" s="181"/>
      <c r="DK111" s="177"/>
      <c r="DL111" s="178"/>
      <c r="DM111" s="178"/>
      <c r="DN111" s="179"/>
      <c r="DO111" s="179"/>
      <c r="DP111" s="179"/>
      <c r="DQ111" s="179"/>
      <c r="DR111" s="179"/>
      <c r="DS111" s="181"/>
      <c r="DT111" s="181"/>
      <c r="DU111" s="181"/>
      <c r="DV111" s="181"/>
      <c r="DW111" s="488"/>
      <c r="DX111" s="488"/>
      <c r="DY111" s="488"/>
      <c r="DZ111" s="181"/>
      <c r="EA111" s="181"/>
      <c r="EB111" s="181"/>
      <c r="EC111" s="181"/>
      <c r="ED111" s="181"/>
      <c r="EE111" s="181"/>
      <c r="EF111" s="181"/>
      <c r="EG111" s="181"/>
      <c r="EH111" s="181"/>
      <c r="EI111" s="181"/>
      <c r="EJ111" s="181"/>
      <c r="EK111" s="181"/>
      <c r="EL111" s="181"/>
      <c r="EM111" s="181"/>
      <c r="EN111" s="437"/>
      <c r="EO111" s="181"/>
      <c r="EP111" s="181"/>
      <c r="EQ111" s="181"/>
      <c r="ER111" s="438"/>
      <c r="ES111" s="181"/>
      <c r="ET111" s="181"/>
      <c r="EU111" s="181"/>
      <c r="EW111" s="72"/>
    </row>
    <row r="112" spans="1:153" ht="12.75">
      <c r="A112" s="416" t="s">
        <v>341</v>
      </c>
      <c r="B112" s="206" t="str">
        <f t="shared" ref="B112:AL112" ca="1" si="107">CONCATENATE("+",OFFSET(B112,-2,0,1,1)-OFFSET(B112,-3,0,1,1))</f>
        <v>+11928</v>
      </c>
      <c r="C112" s="207" t="str">
        <f t="shared" ca="1" si="107"/>
        <v>+286</v>
      </c>
      <c r="D112" s="208" t="str">
        <f t="shared" ca="1" si="107"/>
        <v>+5583</v>
      </c>
      <c r="E112" s="322" t="str">
        <f t="shared" ca="1" si="107"/>
        <v>+6059</v>
      </c>
      <c r="F112" s="206" t="str">
        <f t="shared" ca="1" si="107"/>
        <v>+1122</v>
      </c>
      <c r="G112" s="207" t="str">
        <f t="shared" ca="1" si="107"/>
        <v>+6</v>
      </c>
      <c r="H112" s="213" t="str">
        <f t="shared" ca="1" si="107"/>
        <v>+92</v>
      </c>
      <c r="I112" s="206" t="str">
        <f t="shared" ca="1" si="107"/>
        <v>+48</v>
      </c>
      <c r="J112" s="207" t="str">
        <f t="shared" ca="1" si="107"/>
        <v>+2</v>
      </c>
      <c r="K112" s="213" t="str">
        <f t="shared" ca="1" si="107"/>
        <v>+35</v>
      </c>
      <c r="L112" s="206" t="str">
        <f t="shared" ca="1" si="107"/>
        <v>+30</v>
      </c>
      <c r="M112" s="207" t="str">
        <f t="shared" ca="1" si="107"/>
        <v>+3</v>
      </c>
      <c r="N112" s="213" t="str">
        <f t="shared" ca="1" si="107"/>
        <v>+4</v>
      </c>
      <c r="O112" s="206" t="str">
        <f t="shared" ca="1" si="107"/>
        <v>+38</v>
      </c>
      <c r="P112" s="207" t="str">
        <f t="shared" ca="1" si="107"/>
        <v>+0</v>
      </c>
      <c r="Q112" s="213" t="str">
        <f t="shared" ca="1" si="107"/>
        <v>+79</v>
      </c>
      <c r="R112" s="206" t="str">
        <f t="shared" ca="1" si="107"/>
        <v>+26</v>
      </c>
      <c r="S112" s="207" t="str">
        <f t="shared" ca="1" si="107"/>
        <v>+0</v>
      </c>
      <c r="T112" s="213" t="str">
        <f t="shared" ca="1" si="107"/>
        <v>+10</v>
      </c>
      <c r="U112" s="206" t="str">
        <f t="shared" ca="1" si="107"/>
        <v>+492</v>
      </c>
      <c r="V112" s="207" t="str">
        <f t="shared" ca="1" si="107"/>
        <v>+10</v>
      </c>
      <c r="W112" s="213" t="str">
        <f t="shared" ca="1" si="107"/>
        <v>+10</v>
      </c>
      <c r="X112" s="206" t="str">
        <f t="shared" ca="1" si="107"/>
        <v>+0</v>
      </c>
      <c r="Y112" s="207" t="str">
        <f t="shared" ca="1" si="107"/>
        <v>+0</v>
      </c>
      <c r="Z112" s="213" t="str">
        <f t="shared" ca="1" si="107"/>
        <v>+0</v>
      </c>
      <c r="AA112" s="206" t="str">
        <f t="shared" ca="1" si="107"/>
        <v>+6</v>
      </c>
      <c r="AB112" s="207" t="str">
        <f t="shared" ca="1" si="107"/>
        <v>+0</v>
      </c>
      <c r="AC112" s="213" t="str">
        <f t="shared" ca="1" si="107"/>
        <v>+0</v>
      </c>
      <c r="AD112" s="206" t="str">
        <f t="shared" ca="1" si="107"/>
        <v>+0</v>
      </c>
      <c r="AE112" s="207" t="str">
        <f t="shared" ca="1" si="107"/>
        <v>+0</v>
      </c>
      <c r="AF112" s="213" t="str">
        <f t="shared" ca="1" si="107"/>
        <v>+1</v>
      </c>
      <c r="AG112" s="206" t="str">
        <f t="shared" ca="1" si="107"/>
        <v>+0</v>
      </c>
      <c r="AH112" s="207" t="str">
        <f t="shared" ca="1" si="107"/>
        <v>+0</v>
      </c>
      <c r="AI112" s="213" t="str">
        <f t="shared" ca="1" si="107"/>
        <v>+2</v>
      </c>
      <c r="AJ112" s="206" t="str">
        <f t="shared" ca="1" si="107"/>
        <v>+12</v>
      </c>
      <c r="AK112" s="207" t="str">
        <f t="shared" ca="1" si="107"/>
        <v>+0</v>
      </c>
      <c r="AL112" s="208" t="str">
        <f t="shared" ca="1" si="107"/>
        <v>+55</v>
      </c>
      <c r="AM112" s="322" t="str">
        <f ca="1">CONCATENATE(OFFSET(AM112,-2,0,1,1)-OFFSET(AM112,-3,0,1,1))</f>
        <v>-43</v>
      </c>
      <c r="AN112" s="206" t="str">
        <f t="shared" ref="AN112:EQ112" ca="1" si="108">CONCATENATE("+",OFFSET(AN112,-2,0,1,1)-OFFSET(AN112,-3,0,1,1))</f>
        <v>+13</v>
      </c>
      <c r="AO112" s="207" t="str">
        <f t="shared" ca="1" si="108"/>
        <v>+2</v>
      </c>
      <c r="AP112" s="213" t="str">
        <f t="shared" ca="1" si="108"/>
        <v>+72</v>
      </c>
      <c r="AQ112" s="206" t="str">
        <f t="shared" ca="1" si="108"/>
        <v>+484</v>
      </c>
      <c r="AR112" s="207" t="str">
        <f t="shared" ca="1" si="108"/>
        <v>+2</v>
      </c>
      <c r="AS112" s="213" t="str">
        <f t="shared" ca="1" si="108"/>
        <v>+74</v>
      </c>
      <c r="AT112" s="206" t="str">
        <f t="shared" ca="1" si="108"/>
        <v>+8</v>
      </c>
      <c r="AU112" s="207" t="str">
        <f t="shared" ca="1" si="108"/>
        <v>+0</v>
      </c>
      <c r="AV112" s="213" t="str">
        <f t="shared" ca="1" si="108"/>
        <v>+2</v>
      </c>
      <c r="AW112" s="206" t="str">
        <f t="shared" ca="1" si="108"/>
        <v>+0</v>
      </c>
      <c r="AX112" s="207" t="str">
        <f t="shared" ca="1" si="108"/>
        <v>+0</v>
      </c>
      <c r="AY112" s="213" t="str">
        <f t="shared" ca="1" si="108"/>
        <v>+0</v>
      </c>
      <c r="AZ112" s="206" t="str">
        <f t="shared" ca="1" si="108"/>
        <v>+924</v>
      </c>
      <c r="BA112" s="207" t="str">
        <f t="shared" ca="1" si="108"/>
        <v>+0</v>
      </c>
      <c r="BB112" s="213" t="str">
        <f t="shared" ca="1" si="108"/>
        <v>+419</v>
      </c>
      <c r="BC112" s="206" t="str">
        <f t="shared" ca="1" si="108"/>
        <v>+185</v>
      </c>
      <c r="BD112" s="207" t="str">
        <f t="shared" ca="1" si="108"/>
        <v>+8</v>
      </c>
      <c r="BE112" s="213" t="str">
        <f t="shared" ca="1" si="108"/>
        <v>+61</v>
      </c>
      <c r="BF112" s="206" t="str">
        <f t="shared" ca="1" si="108"/>
        <v>+35</v>
      </c>
      <c r="BG112" s="207" t="str">
        <f t="shared" ca="1" si="108"/>
        <v>+0</v>
      </c>
      <c r="BH112" s="213" t="str">
        <f t="shared" ca="1" si="108"/>
        <v>+34</v>
      </c>
      <c r="BI112" s="206" t="str">
        <f t="shared" ca="1" si="108"/>
        <v>+1294</v>
      </c>
      <c r="BJ112" s="207" t="str">
        <f t="shared" ca="1" si="108"/>
        <v>+91</v>
      </c>
      <c r="BK112" s="213" t="str">
        <f t="shared" ca="1" si="108"/>
        <v>+2250</v>
      </c>
      <c r="BL112" s="206" t="str">
        <f t="shared" ca="1" si="108"/>
        <v>+222</v>
      </c>
      <c r="BM112" s="207" t="str">
        <f t="shared" ca="1" si="108"/>
        <v>+5</v>
      </c>
      <c r="BN112" s="213" t="str">
        <f t="shared" ca="1" si="108"/>
        <v>+295</v>
      </c>
      <c r="BO112" s="206" t="str">
        <f t="shared" ca="1" si="108"/>
        <v>+0</v>
      </c>
      <c r="BP112" s="207" t="str">
        <f t="shared" ca="1" si="108"/>
        <v>+0</v>
      </c>
      <c r="BQ112" s="213" t="str">
        <f t="shared" ca="1" si="108"/>
        <v>+0</v>
      </c>
      <c r="BR112" s="206" t="str">
        <f t="shared" ca="1" si="108"/>
        <v>+8</v>
      </c>
      <c r="BS112" s="207" t="str">
        <f t="shared" ca="1" si="108"/>
        <v>+0</v>
      </c>
      <c r="BT112" s="213" t="str">
        <f t="shared" ca="1" si="108"/>
        <v>+6</v>
      </c>
      <c r="BU112" s="206" t="str">
        <f t="shared" ca="1" si="108"/>
        <v>+176</v>
      </c>
      <c r="BV112" s="207" t="str">
        <f t="shared" ca="1" si="108"/>
        <v>+2</v>
      </c>
      <c r="BW112" s="213" t="str">
        <f t="shared" ca="1" si="108"/>
        <v>+47</v>
      </c>
      <c r="BX112" s="206" t="str">
        <f t="shared" ca="1" si="108"/>
        <v>+14</v>
      </c>
      <c r="BY112" s="207" t="str">
        <f t="shared" ca="1" si="108"/>
        <v>+2</v>
      </c>
      <c r="BZ112" s="213" t="str">
        <f t="shared" ca="1" si="108"/>
        <v>+68</v>
      </c>
      <c r="CA112" s="206" t="str">
        <f t="shared" ca="1" si="108"/>
        <v>+80</v>
      </c>
      <c r="CB112" s="207" t="str">
        <f t="shared" ca="1" si="108"/>
        <v>+2</v>
      </c>
      <c r="CC112" s="213" t="str">
        <f t="shared" ca="1" si="108"/>
        <v>+62</v>
      </c>
      <c r="CD112" s="206" t="str">
        <f t="shared" ca="1" si="108"/>
        <v>+0</v>
      </c>
      <c r="CE112" s="207" t="str">
        <f t="shared" ca="1" si="108"/>
        <v>+0</v>
      </c>
      <c r="CF112" s="213" t="str">
        <f t="shared" ca="1" si="108"/>
        <v>+0</v>
      </c>
      <c r="CG112" s="206" t="str">
        <f t="shared" ca="1" si="108"/>
        <v>+4</v>
      </c>
      <c r="CH112" s="207" t="str">
        <f t="shared" ca="1" si="108"/>
        <v>+0</v>
      </c>
      <c r="CI112" s="213" t="str">
        <f t="shared" ca="1" si="108"/>
        <v>+1</v>
      </c>
      <c r="CJ112" s="206" t="str">
        <f t="shared" ca="1" si="108"/>
        <v>+0</v>
      </c>
      <c r="CK112" s="207" t="str">
        <f t="shared" ca="1" si="108"/>
        <v>+0</v>
      </c>
      <c r="CL112" s="213" t="str">
        <f t="shared" ca="1" si="108"/>
        <v>+0</v>
      </c>
      <c r="CM112" s="206" t="str">
        <f t="shared" ca="1" si="108"/>
        <v>+36</v>
      </c>
      <c r="CN112" s="207" t="str">
        <f t="shared" ca="1" si="108"/>
        <v>+0</v>
      </c>
      <c r="CO112" s="213" t="str">
        <f t="shared" ca="1" si="108"/>
        <v>+98</v>
      </c>
      <c r="CP112" s="206" t="str">
        <f t="shared" ca="1" si="108"/>
        <v>+17</v>
      </c>
      <c r="CQ112" s="207" t="str">
        <f t="shared" ca="1" si="108"/>
        <v>+0</v>
      </c>
      <c r="CR112" s="213" t="str">
        <f t="shared" ca="1" si="108"/>
        <v>+0</v>
      </c>
      <c r="CS112" s="206" t="str">
        <f t="shared" ca="1" si="108"/>
        <v>+1</v>
      </c>
      <c r="CT112" s="207" t="str">
        <f t="shared" ca="1" si="108"/>
        <v>+0</v>
      </c>
      <c r="CU112" s="213" t="str">
        <f t="shared" ca="1" si="108"/>
        <v>+0</v>
      </c>
      <c r="CV112" s="206" t="str">
        <f t="shared" ca="1" si="108"/>
        <v>+0</v>
      </c>
      <c r="CW112" s="207" t="str">
        <f t="shared" ca="1" si="108"/>
        <v>+0</v>
      </c>
      <c r="CX112" s="213" t="str">
        <f t="shared" ca="1" si="108"/>
        <v>+0</v>
      </c>
      <c r="CY112" s="206" t="str">
        <f t="shared" ca="1" si="108"/>
        <v>+144</v>
      </c>
      <c r="CZ112" s="207" t="str">
        <f t="shared" ca="1" si="108"/>
        <v>+0</v>
      </c>
      <c r="DA112" s="213" t="str">
        <f t="shared" ca="1" si="108"/>
        <v>+5</v>
      </c>
      <c r="DB112" s="206" t="str">
        <f t="shared" ca="1" si="108"/>
        <v>+62</v>
      </c>
      <c r="DC112" s="207" t="str">
        <f t="shared" ca="1" si="108"/>
        <v>+0</v>
      </c>
      <c r="DD112" s="213" t="str">
        <f t="shared" ca="1" si="108"/>
        <v>+36</v>
      </c>
      <c r="DE112" s="206" t="str">
        <f t="shared" ca="1" si="108"/>
        <v>+70</v>
      </c>
      <c r="DF112" s="207" t="str">
        <f t="shared" ca="1" si="108"/>
        <v>+8</v>
      </c>
      <c r="DG112" s="213" t="str">
        <f t="shared" ca="1" si="108"/>
        <v>+102</v>
      </c>
      <c r="DH112" s="206" t="str">
        <f t="shared" ca="1" si="108"/>
        <v>+0</v>
      </c>
      <c r="DI112" s="207" t="str">
        <f t="shared" ca="1" si="108"/>
        <v>+0</v>
      </c>
      <c r="DJ112" s="213" t="str">
        <f t="shared" ca="1" si="108"/>
        <v>+0</v>
      </c>
      <c r="DK112" s="206" t="str">
        <f t="shared" ca="1" si="108"/>
        <v>+200</v>
      </c>
      <c r="DL112" s="207" t="str">
        <f t="shared" ca="1" si="108"/>
        <v>+19</v>
      </c>
      <c r="DM112" s="213" t="str">
        <f t="shared" ca="1" si="108"/>
        <v>+41</v>
      </c>
      <c r="DN112" s="206" t="str">
        <f t="shared" ca="1" si="108"/>
        <v>+0</v>
      </c>
      <c r="DO112" s="207" t="str">
        <f t="shared" ca="1" si="108"/>
        <v>+1</v>
      </c>
      <c r="DP112" s="213" t="str">
        <f t="shared" ca="1" si="108"/>
        <v>+37</v>
      </c>
      <c r="DQ112" s="206" t="str">
        <f t="shared" ca="1" si="108"/>
        <v>+1426</v>
      </c>
      <c r="DR112" s="207" t="str">
        <f t="shared" ca="1" si="108"/>
        <v>+0</v>
      </c>
      <c r="DS112" s="213" t="str">
        <f t="shared" ca="1" si="108"/>
        <v>+33</v>
      </c>
      <c r="DT112" s="206" t="str">
        <f t="shared" ca="1" si="108"/>
        <v>+33</v>
      </c>
      <c r="DU112" s="207" t="str">
        <f t="shared" ca="1" si="108"/>
        <v>+0</v>
      </c>
      <c r="DV112" s="213" t="str">
        <f t="shared" ca="1" si="108"/>
        <v>+2</v>
      </c>
      <c r="DW112" s="206" t="str">
        <f t="shared" ca="1" si="108"/>
        <v>+0</v>
      </c>
      <c r="DX112" s="207" t="str">
        <f t="shared" ca="1" si="108"/>
        <v>+0</v>
      </c>
      <c r="DY112" s="213" t="str">
        <f t="shared" ca="1" si="108"/>
        <v>+0</v>
      </c>
      <c r="DZ112" s="206" t="str">
        <f t="shared" ca="1" si="108"/>
        <v>+2</v>
      </c>
      <c r="EA112" s="207" t="str">
        <f t="shared" ca="1" si="108"/>
        <v>+0</v>
      </c>
      <c r="EB112" s="213" t="str">
        <f t="shared" ca="1" si="108"/>
        <v>+14</v>
      </c>
      <c r="EC112" s="206" t="str">
        <f t="shared" ca="1" si="108"/>
        <v>+27</v>
      </c>
      <c r="ED112" s="207" t="str">
        <f t="shared" ca="1" si="108"/>
        <v>+0</v>
      </c>
      <c r="EE112" s="213" t="str">
        <f t="shared" ca="1" si="108"/>
        <v>+71</v>
      </c>
      <c r="EF112" s="206" t="str">
        <f t="shared" ca="1" si="108"/>
        <v>+3</v>
      </c>
      <c r="EG112" s="207" t="str">
        <f t="shared" ca="1" si="108"/>
        <v>+0</v>
      </c>
      <c r="EH112" s="213" t="str">
        <f t="shared" ca="1" si="108"/>
        <v>+0</v>
      </c>
      <c r="EI112" s="206" t="str">
        <f t="shared" ca="1" si="108"/>
        <v>+4674</v>
      </c>
      <c r="EJ112" s="207" t="str">
        <f t="shared" ca="1" si="108"/>
        <v>+123</v>
      </c>
      <c r="EK112" s="213" t="str">
        <f t="shared" ca="1" si="108"/>
        <v>+1454</v>
      </c>
      <c r="EL112" s="206" t="str">
        <f t="shared" ca="1" si="108"/>
        <v>+0</v>
      </c>
      <c r="EM112" s="207" t="str">
        <f t="shared" ca="1" si="108"/>
        <v>+0</v>
      </c>
      <c r="EN112" s="213" t="str">
        <f t="shared" ca="1" si="108"/>
        <v>+11</v>
      </c>
      <c r="EO112" s="206" t="str">
        <f t="shared" ca="1" si="108"/>
        <v>+0</v>
      </c>
      <c r="EP112" s="207" t="str">
        <f t="shared" ca="1" si="108"/>
        <v>+0</v>
      </c>
      <c r="EQ112" s="213" t="str">
        <f t="shared" ca="1" si="108"/>
        <v>+0</v>
      </c>
      <c r="ER112" s="185"/>
      <c r="ES112" s="206" t="str">
        <f t="shared" ref="ES112:EU112" ca="1" si="109">CONCATENATE("+",OFFSET(ES112,-2,0,1,1)-OFFSET(ES112,-3,0,1,1))</f>
        <v>+12</v>
      </c>
      <c r="ET112" s="207" t="str">
        <f t="shared" ca="1" si="109"/>
        <v>+0</v>
      </c>
      <c r="EU112" s="213" t="str">
        <f t="shared" ca="1" si="109"/>
        <v>+0</v>
      </c>
      <c r="EW112" s="72"/>
    </row>
    <row r="113" spans="1:153" ht="12.75">
      <c r="A113" s="187" t="s">
        <v>395</v>
      </c>
      <c r="B113" s="578">
        <f ca="1">OFFSET(B113,-3,1,1,1)*100/OFFSET(B113,-3,0,1,1)</f>
        <v>3.8182509505703424</v>
      </c>
      <c r="C113" s="531"/>
      <c r="D113" s="531"/>
      <c r="E113" s="532"/>
      <c r="F113" s="578">
        <f ca="1">OFFSET(F113,-3,1,1,1)*100/OFFSET(F113,-3,0,1,1)</f>
        <v>0.98244944677603963</v>
      </c>
      <c r="G113" s="531"/>
      <c r="H113" s="532"/>
      <c r="I113" s="578">
        <f ca="1">OFFSET(I113,-3,1,1,1)*100/OFFSET(I113,-3,0,1,1)</f>
        <v>1.6430171769977595</v>
      </c>
      <c r="J113" s="531"/>
      <c r="K113" s="532"/>
      <c r="L113" s="578">
        <f ca="1">OFFSET(L113,-3,1,1,1)*100/OFFSET(L113,-3,0,1,1)</f>
        <v>3.5087719298245612</v>
      </c>
      <c r="M113" s="531"/>
      <c r="N113" s="532"/>
      <c r="O113" s="578">
        <f ca="1">OFFSET(O113,-3,1,1,1)*100/OFFSET(O113,-3,0,1,1)</f>
        <v>1.3231197771587744</v>
      </c>
      <c r="P113" s="531"/>
      <c r="Q113" s="532"/>
      <c r="R113" s="578">
        <f ca="1">OFFSET(R113,-3,1,1,1)*100/OFFSET(R113,-3,0,1,1)</f>
        <v>0.36706869428421607</v>
      </c>
      <c r="S113" s="531"/>
      <c r="T113" s="532"/>
      <c r="U113" s="578">
        <f ca="1">OFFSET(U113,-3,1,1,1)*100/OFFSET(U113,-3,0,1,1)</f>
        <v>3.4260515603799186</v>
      </c>
      <c r="V113" s="531"/>
      <c r="W113" s="532"/>
      <c r="AA113" s="578">
        <f ca="1">OFFSET(AA113,-3,1,1,1)*100/OFFSET(AA113,-3,0,1,1)</f>
        <v>4.2735042735042734</v>
      </c>
      <c r="AB113" s="531"/>
      <c r="AC113" s="532"/>
      <c r="AD113" s="578">
        <f ca="1">OFFSET(AD113,-3,1,1,1)*100/OFFSET(AD113,-3,0,1,1)</f>
        <v>0.72463768115942029</v>
      </c>
      <c r="AE113" s="531"/>
      <c r="AF113" s="532"/>
      <c r="AJ113" s="578">
        <f ca="1">OFFSET(AJ113,-3,1,1,1)*100/OFFSET(AJ113,-3,0,1,1)</f>
        <v>5.5310975100516604</v>
      </c>
      <c r="AK113" s="531"/>
      <c r="AL113" s="531"/>
      <c r="AM113" s="532"/>
      <c r="AN113" s="578">
        <f ca="1">OFFSET(AN113,-3,1,1,1)*100/OFFSET(AN113,-3,0,1,1)</f>
        <v>2.2109799512834925</v>
      </c>
      <c r="AO113" s="531"/>
      <c r="AP113" s="532"/>
      <c r="AQ113" s="578">
        <f ca="1">OFFSET(AQ113,-3,1,1,1)*100/OFFSET(AQ113,-3,0,1,1)</f>
        <v>0.591878871300757</v>
      </c>
      <c r="AR113" s="531"/>
      <c r="AS113" s="532"/>
      <c r="AT113" s="578">
        <f ca="1">OFFSET(AT113,-3,1,1,1)*100/OFFSET(AT113,-3,0,1,1)</f>
        <v>0.99502487562189057</v>
      </c>
      <c r="AU113" s="531"/>
      <c r="AV113" s="532"/>
      <c r="AW113" s="578">
        <f ca="1">OFFSET(AW113,-3,1,1,1)*100/OFFSET(AW113,-3,0,1,1)</f>
        <v>2.5423728813559321</v>
      </c>
      <c r="AX113" s="531"/>
      <c r="AY113" s="532"/>
      <c r="AZ113" s="578">
        <f ca="1">OFFSET(AZ113,-3,1,1,1)*100/OFFSET(AZ113,-3,0,1,1)</f>
        <v>3.0152651167808404</v>
      </c>
      <c r="BA113" s="531"/>
      <c r="BB113" s="532"/>
      <c r="BC113" s="578">
        <f ca="1">OFFSET(BC113,-3,1,1,1)*100/OFFSET(BC113,-3,0,1,1)</f>
        <v>8.7278106508875748</v>
      </c>
      <c r="BD113" s="531"/>
      <c r="BE113" s="532"/>
      <c r="BF113" s="578">
        <f ca="1">OFFSET(BF113,-3,1,1,1)*100/OFFSET(BF113,-3,0,1,1)</f>
        <v>5.2096569250317666</v>
      </c>
      <c r="BG113" s="531"/>
      <c r="BH113" s="532"/>
      <c r="BI113" s="578">
        <f ca="1">OFFSET(BI113,-3,1,1,1)*100/OFFSET(BI113,-3,0,1,1)</f>
        <v>6.2379498233638708</v>
      </c>
      <c r="BJ113" s="531"/>
      <c r="BK113" s="532"/>
      <c r="BL113" s="578">
        <f ca="1">OFFSET(BL113,-3,1,1,1)*100/OFFSET(BL113,-3,0,1,1)</f>
        <v>1.2907460074381973</v>
      </c>
      <c r="BM113" s="531"/>
      <c r="BN113" s="532"/>
      <c r="BO113" s="578">
        <f ca="1">OFFSET(BO113,-3,1,1,1)*100/OFFSET(BO113,-3,0,1,1)</f>
        <v>2.1857923497267762</v>
      </c>
      <c r="BP113" s="531"/>
      <c r="BQ113" s="532"/>
      <c r="BR113" s="578">
        <f ca="1">OFFSET(BR113,-3,1,1,1)*100/OFFSET(BR113,-3,0,1,1)</f>
        <v>1.6470588235294117</v>
      </c>
      <c r="BS113" s="531"/>
      <c r="BT113" s="532"/>
      <c r="BU113" s="578">
        <f ca="1">OFFSET(BU113,-3,1,1,1)*100/OFFSET(BU113,-3,0,1,1)</f>
        <v>1.0259179265658747</v>
      </c>
      <c r="BV113" s="531"/>
      <c r="BW113" s="532"/>
      <c r="BX113" s="578">
        <f ca="1">OFFSET(BX113,-3,1,1,1)*100/OFFSET(BX113,-3,0,1,1)</f>
        <v>1.232394366197183</v>
      </c>
      <c r="BY113" s="531"/>
      <c r="BZ113" s="532"/>
      <c r="CA113" s="578">
        <f ca="1">OFFSET(CA113,-3,1,1,1)*100/OFFSET(CA113,-3,0,1,1)</f>
        <v>0.45112781954887216</v>
      </c>
      <c r="CB113" s="531"/>
      <c r="CC113" s="532"/>
      <c r="CG113" s="578">
        <f ca="1">OFFSET(CG113,-3,1,1,1)*100/OFFSET(CG113,-3,0,1,1)</f>
        <v>3.1019202363367797</v>
      </c>
      <c r="CH113" s="531"/>
      <c r="CI113" s="532"/>
      <c r="CM113" s="578">
        <f ca="1">OFFSET(CM113,-3,1,1,1)*100/OFFSET(CM113,-3,0,1,1)</f>
        <v>1.6405529953917051</v>
      </c>
      <c r="CN113" s="531"/>
      <c r="CO113" s="532"/>
      <c r="CY113" s="578">
        <f ca="1">OFFSET(CY113,-3,1,1,1)*100/OFFSET(CY113,-3,0,1,1)</f>
        <v>0.49645390070921985</v>
      </c>
      <c r="CZ113" s="531"/>
      <c r="DA113" s="532"/>
      <c r="DB113" s="578">
        <f ca="1">OFFSET(DB113,-3,1,1,1)*100/OFFSET(DB113,-3,0,1,1)</f>
        <v>0.30731407498463431</v>
      </c>
      <c r="DC113" s="531"/>
      <c r="DD113" s="532"/>
      <c r="DE113" s="578">
        <f ca="1">OFFSET(DE113,-3,1,1,1)*100/OFFSET(DE113,-3,0,1,1)</f>
        <v>2.0907578997386551</v>
      </c>
      <c r="DF113" s="531"/>
      <c r="DG113" s="532"/>
      <c r="DK113" s="578">
        <f ca="1">OFFSET(DK113,-3,1,1,1)*100/OFFSET(DK113,-3,0,1,1)</f>
        <v>6.6264127573927851</v>
      </c>
      <c r="DL113" s="531"/>
      <c r="DM113" s="532"/>
      <c r="DN113" s="578">
        <f ca="1">OFFSET(DN113,-3,1,1,1)*100/OFFSET(DN113,-3,0,1,1)</f>
        <v>0.16519823788546256</v>
      </c>
      <c r="DO113" s="531"/>
      <c r="DP113" s="532"/>
      <c r="DQ113" s="578">
        <f ca="1">OFFSET(DQ113,-3,1,1,1)*100/OFFSET(DQ113,-3,0,1,1)</f>
        <v>0.13725979535812327</v>
      </c>
      <c r="DR113" s="531"/>
      <c r="DS113" s="532"/>
      <c r="DT113" s="578">
        <f ca="1">OFFSET(DT113,-3,1,1,1)*100/OFFSET(DT113,-3,0,1,1)</f>
        <v>2.3026315789473686</v>
      </c>
      <c r="DU113" s="531"/>
      <c r="DV113" s="532"/>
      <c r="DW113" s="578">
        <f ca="1">OFFSET(DW113,-3,1,1,1)*100/OFFSET(DW113,-3,0,1,1)</f>
        <v>7.6923076923076925</v>
      </c>
      <c r="DX113" s="531"/>
      <c r="DY113" s="532"/>
      <c r="DZ113" s="578">
        <f ca="1">OFFSET(DZ113,-3,1,1,1)*100/OFFSET(DZ113,-3,0,1,1)</f>
        <v>1.4218009478672986</v>
      </c>
      <c r="EA113" s="531"/>
      <c r="EB113" s="532"/>
      <c r="EC113" s="578">
        <f ca="1">OFFSET(EC113,-3,1,1,1)*100/OFFSET(EC113,-3,0,1,1)</f>
        <v>1.683381088825215</v>
      </c>
      <c r="ED113" s="531"/>
      <c r="EE113" s="532"/>
      <c r="EI113" s="578">
        <f ca="1">OFFSET(EI113,-3,1,1,1)*100/OFFSET(EI113,-3,0,1,1)</f>
        <v>2.3521653110573753</v>
      </c>
      <c r="EJ113" s="531"/>
      <c r="EK113" s="532"/>
      <c r="ES113" s="578">
        <f ca="1">OFFSET(ES113,-3,1,1,1)*100/OFFSET(ES113,-3,0,1,1)</f>
        <v>0.66815144766146994</v>
      </c>
      <c r="ET113" s="531"/>
      <c r="EU113" s="532"/>
      <c r="EW113" s="72"/>
    </row>
    <row r="114" spans="1:153" ht="12.75">
      <c r="A114" s="576" t="s">
        <v>399</v>
      </c>
      <c r="B114" s="531"/>
      <c r="C114" s="531"/>
      <c r="D114" s="531"/>
      <c r="E114" s="531"/>
      <c r="F114" s="573">
        <f ca="1">OFFSET(F114,-4,0,1,1)*100/35199921</f>
        <v>2.9784157754217687E-2</v>
      </c>
      <c r="G114" s="574"/>
      <c r="H114" s="550"/>
      <c r="AJ114" s="573">
        <f ca="1">OFFSET(AJ114,-4,0,1,1)*100/1410159721</f>
        <v>5.9437947880515299E-3</v>
      </c>
      <c r="AK114" s="574"/>
      <c r="AL114" s="574"/>
      <c r="AM114" s="550"/>
      <c r="AN114" s="573">
        <f ca="1">OFFSET(AN114,-4,0,1,1)*100/51472890</f>
        <v>2.0737129778413452E-2</v>
      </c>
      <c r="AO114" s="574"/>
      <c r="AP114" s="550"/>
      <c r="AX114" s="186"/>
      <c r="AY114" s="186"/>
      <c r="AZ114" s="573">
        <f ca="1">OFFSET(AZ114,-4,0,1,1)*100/1391697863</f>
        <v>1.3321138512088094E-3</v>
      </c>
      <c r="BA114" s="574"/>
      <c r="BB114" s="550"/>
      <c r="BC114" s="573">
        <f ca="1">OFFSET(BC114,-4,0,1,1)*100/273670110</f>
        <v>2.470127263806778E-3</v>
      </c>
      <c r="BD114" s="574"/>
      <c r="BE114" s="550"/>
      <c r="BG114" s="186"/>
      <c r="BH114" s="186"/>
      <c r="BI114" s="573">
        <f ca="1">OFFSET(BI114,-4,0,1,1)*100/83969362</f>
        <v>9.9446986390107378E-2</v>
      </c>
      <c r="BJ114" s="574"/>
      <c r="BK114" s="550"/>
      <c r="BL114" s="573">
        <f ca="1">OFFSET(BL114,-4,0,1,1)*100/8725571</f>
        <v>0.15715876932294745</v>
      </c>
      <c r="BM114" s="574"/>
      <c r="BN114" s="550"/>
      <c r="BO114" s="573">
        <f ca="1">OFFSET(BO114,-4,0,1,1)*100/125900907</f>
        <v>8.5757920711405193E-3</v>
      </c>
      <c r="BP114" s="574"/>
      <c r="BQ114" s="550"/>
      <c r="CM114" s="573">
        <f ca="1">OFFSET(CM114,-4,0,1,1)*100/32590259</f>
        <v>1.6646078203919765E-2</v>
      </c>
      <c r="CN114" s="574"/>
      <c r="CO114" s="550"/>
      <c r="DE114" s="573">
        <f ca="1">OFFSET(DE114,-4,0,1,1)*100/208589907</f>
        <v>4.035669856260111E-3</v>
      </c>
      <c r="DF114" s="574"/>
      <c r="DG114" s="550"/>
      <c r="DK114" s="573">
        <f ca="1">OFFSET(DK114,-4,0,1,1)*100/108501861</f>
        <v>5.952893287240483E-3</v>
      </c>
      <c r="DL114" s="574"/>
      <c r="DM114" s="550"/>
      <c r="DQ114" s="573">
        <f ca="1">OFFSET(DQ114,-4,0,1,1)*100/6153140</f>
        <v>0.13024244532060053</v>
      </c>
      <c r="DR114" s="574"/>
      <c r="DS114" s="550"/>
      <c r="EA114" s="186"/>
      <c r="EB114" s="186"/>
      <c r="EC114" s="573">
        <f ca="1">OFFSET(EC114,-4,0,1,1)*100/69196844</f>
        <v>4.0348660988064715E-3</v>
      </c>
      <c r="ED114" s="574"/>
      <c r="EE114" s="550"/>
      <c r="EF114" s="186"/>
      <c r="EG114" s="186"/>
      <c r="EH114" s="186"/>
      <c r="EI114" s="573">
        <f ca="1">OFFSET(EI114,-4,0,1,1)*100/85255921</f>
        <v>0.10671399585255785</v>
      </c>
      <c r="EJ114" s="574"/>
      <c r="EK114" s="550"/>
      <c r="EW114" s="72"/>
    </row>
    <row r="115" spans="1:153" ht="12.75">
      <c r="A115" s="576" t="s">
        <v>697</v>
      </c>
      <c r="B115" s="531"/>
      <c r="C115" s="531"/>
      <c r="D115" s="531"/>
      <c r="E115" s="531"/>
      <c r="F115" s="575" t="s">
        <v>1203</v>
      </c>
      <c r="G115" s="540"/>
      <c r="H115" s="542"/>
      <c r="AJ115" s="614" t="s">
        <v>1204</v>
      </c>
      <c r="AK115" s="540"/>
      <c r="AL115" s="540"/>
      <c r="AM115" s="542"/>
      <c r="AN115" s="575" t="s">
        <v>1205</v>
      </c>
      <c r="AO115" s="540"/>
      <c r="AP115" s="542"/>
      <c r="AX115" s="186"/>
      <c r="AY115" s="186"/>
      <c r="AZ115" s="575" t="s">
        <v>1206</v>
      </c>
      <c r="BA115" s="540"/>
      <c r="BB115" s="542"/>
      <c r="BC115" s="575" t="s">
        <v>1207</v>
      </c>
      <c r="BD115" s="540"/>
      <c r="BE115" s="542"/>
      <c r="BG115" s="186"/>
      <c r="BH115" s="186"/>
      <c r="BI115" s="614" t="s">
        <v>1208</v>
      </c>
      <c r="BJ115" s="540"/>
      <c r="BK115" s="542"/>
      <c r="BL115" s="614" t="s">
        <v>1209</v>
      </c>
      <c r="BM115" s="540"/>
      <c r="BN115" s="542"/>
      <c r="BO115" s="614" t="s">
        <v>1210</v>
      </c>
      <c r="BP115" s="540"/>
      <c r="BQ115" s="542"/>
      <c r="CM115" s="614" t="s">
        <v>1211</v>
      </c>
      <c r="CN115" s="540"/>
      <c r="CO115" s="542"/>
      <c r="DE115" s="614" t="s">
        <v>1212</v>
      </c>
      <c r="DF115" s="540"/>
      <c r="DG115" s="542"/>
      <c r="DK115" s="614" t="s">
        <v>1213</v>
      </c>
      <c r="DL115" s="540"/>
      <c r="DM115" s="542"/>
      <c r="DQ115" s="575" t="s">
        <v>1214</v>
      </c>
      <c r="DR115" s="540"/>
      <c r="DS115" s="542"/>
      <c r="EA115" s="186"/>
      <c r="EB115" s="186"/>
      <c r="EC115" s="575" t="s">
        <v>1215</v>
      </c>
      <c r="ED115" s="540"/>
      <c r="EE115" s="542"/>
      <c r="EF115" s="186"/>
      <c r="EG115" s="186"/>
      <c r="EH115" s="186"/>
      <c r="EI115" s="575" t="s">
        <v>1217</v>
      </c>
      <c r="EJ115" s="540"/>
      <c r="EK115" s="542"/>
      <c r="EW115" s="72"/>
    </row>
    <row r="116" spans="1:153" ht="12.75">
      <c r="A116" s="576" t="s">
        <v>722</v>
      </c>
      <c r="B116" s="531"/>
      <c r="C116" s="531"/>
      <c r="D116" s="531"/>
      <c r="E116" s="531"/>
      <c r="F116" s="327">
        <f ca="1">F114*1000</f>
        <v>29.784157754217688</v>
      </c>
      <c r="G116" s="544" t="s">
        <v>431</v>
      </c>
      <c r="H116" s="532"/>
      <c r="AJ116" s="657">
        <f ca="1">AJ114*1000</f>
        <v>5.9437947880515303</v>
      </c>
      <c r="AK116" s="531"/>
      <c r="AL116" s="544" t="s">
        <v>431</v>
      </c>
      <c r="AM116" s="532"/>
      <c r="AN116" s="327">
        <f ca="1">AN114*1000</f>
        <v>20.737129778413451</v>
      </c>
      <c r="AO116" s="544" t="s">
        <v>431</v>
      </c>
      <c r="AP116" s="532"/>
      <c r="AX116" s="186"/>
      <c r="AY116" s="186"/>
      <c r="AZ116" s="327">
        <f ca="1">AZ114*1000</f>
        <v>1.3321138512088093</v>
      </c>
      <c r="BA116" s="544" t="s">
        <v>431</v>
      </c>
      <c r="BB116" s="532"/>
      <c r="BC116" s="327">
        <f ca="1">BC114*1000</f>
        <v>2.4701272638067779</v>
      </c>
      <c r="BD116" s="544" t="s">
        <v>431</v>
      </c>
      <c r="BE116" s="532"/>
      <c r="BG116" s="186"/>
      <c r="BH116" s="186"/>
      <c r="BI116" s="327">
        <f ca="1">BI114*1000</f>
        <v>99.446986390107384</v>
      </c>
      <c r="BJ116" s="544" t="s">
        <v>431</v>
      </c>
      <c r="BK116" s="532"/>
      <c r="BL116" s="327">
        <f ca="1">BL114*1000</f>
        <v>157.15876932294745</v>
      </c>
      <c r="BM116" s="544" t="s">
        <v>431</v>
      </c>
      <c r="BN116" s="532"/>
      <c r="BO116" s="327">
        <f ca="1">BO114*1000</f>
        <v>8.5757920711405191</v>
      </c>
      <c r="BP116" s="544" t="s">
        <v>431</v>
      </c>
      <c r="BQ116" s="532"/>
      <c r="CM116" s="327">
        <f ca="1">CM114*1000</f>
        <v>16.646078203919764</v>
      </c>
      <c r="CN116" s="544" t="s">
        <v>431</v>
      </c>
      <c r="CO116" s="532"/>
      <c r="DE116" s="327">
        <f ca="1">DE114*1000</f>
        <v>4.0356698562601112</v>
      </c>
      <c r="DF116" s="544" t="s">
        <v>431</v>
      </c>
      <c r="DG116" s="532"/>
      <c r="DK116" s="327">
        <f ca="1">DK114*1000</f>
        <v>5.9528932872404834</v>
      </c>
      <c r="DL116" s="544" t="s">
        <v>431</v>
      </c>
      <c r="DM116" s="532"/>
      <c r="DQ116" s="327">
        <f ca="1">DQ114*1000</f>
        <v>130.24244532060052</v>
      </c>
      <c r="DR116" s="544" t="s">
        <v>431</v>
      </c>
      <c r="DS116" s="532"/>
      <c r="EA116" s="186"/>
      <c r="EB116" s="186"/>
      <c r="EC116" s="327">
        <f ca="1">EC114*1000</f>
        <v>4.0348660988064715</v>
      </c>
      <c r="ED116" s="544" t="s">
        <v>431</v>
      </c>
      <c r="EE116" s="532"/>
      <c r="EF116" s="186"/>
      <c r="EG116" s="186"/>
      <c r="EH116" s="186"/>
      <c r="EI116" s="327">
        <f ca="1">EI114*1000</f>
        <v>106.71399585255784</v>
      </c>
      <c r="EJ116" s="544" t="s">
        <v>431</v>
      </c>
      <c r="EK116" s="532"/>
      <c r="EW116" s="72"/>
    </row>
    <row r="117" spans="1:153" ht="12.75">
      <c r="A117" s="188"/>
      <c r="B117" s="440"/>
      <c r="C117" s="441"/>
      <c r="D117" s="442"/>
      <c r="E117" s="442"/>
      <c r="AJ117" s="658" t="s">
        <v>1224</v>
      </c>
      <c r="AK117" s="531"/>
      <c r="AL117" s="531"/>
      <c r="AM117" s="531"/>
      <c r="AO117" s="186"/>
      <c r="AP117" s="186"/>
      <c r="AX117" s="186"/>
      <c r="AY117" s="186"/>
      <c r="BG117" s="186"/>
      <c r="BH117" s="186"/>
      <c r="BJ117" s="186"/>
      <c r="BK117" s="186"/>
      <c r="BQ117" s="186"/>
      <c r="DL117" s="186"/>
      <c r="DM117" s="186"/>
      <c r="EA117" s="186"/>
      <c r="EB117" s="186"/>
      <c r="ED117" s="186"/>
      <c r="EE117" s="186"/>
      <c r="EF117" s="186"/>
      <c r="EG117" s="186"/>
      <c r="EH117" s="186"/>
      <c r="EI117" s="186"/>
      <c r="EJ117" s="186"/>
      <c r="EK117" s="186"/>
      <c r="EW117" s="72"/>
    </row>
    <row r="118" spans="1:153" ht="12.75">
      <c r="A118" s="328" t="s">
        <v>1105</v>
      </c>
      <c r="E118" s="329">
        <f>COUNTA(F2:EN2)</f>
        <v>46</v>
      </c>
      <c r="F118" s="1"/>
      <c r="AJ118" s="531"/>
      <c r="AK118" s="531"/>
      <c r="AL118" s="531"/>
      <c r="AM118" s="531"/>
      <c r="EW118" s="72"/>
    </row>
    <row r="119" spans="1:153" ht="12.75">
      <c r="A119" s="188"/>
      <c r="EW119" s="72"/>
    </row>
    <row r="120" spans="1:153" ht="9" customHeight="1">
      <c r="A120" s="610" t="s">
        <v>351</v>
      </c>
      <c r="B120" s="536"/>
      <c r="C120" s="536"/>
      <c r="D120" s="536"/>
      <c r="E120" s="537"/>
      <c r="F120" s="555" t="s">
        <v>1228</v>
      </c>
      <c r="G120" s="536"/>
      <c r="H120" s="536"/>
      <c r="I120" s="536"/>
      <c r="J120" s="536"/>
      <c r="K120" s="536"/>
      <c r="L120" s="536"/>
      <c r="M120" s="536"/>
      <c r="N120" s="536"/>
      <c r="O120" s="536"/>
      <c r="P120" s="536"/>
      <c r="Q120" s="536"/>
      <c r="R120" s="536"/>
      <c r="S120" s="536"/>
      <c r="T120" s="536"/>
      <c r="U120" s="536"/>
      <c r="V120" s="536"/>
      <c r="W120" s="536"/>
      <c r="X120" s="536"/>
      <c r="Y120" s="536"/>
      <c r="Z120" s="536"/>
      <c r="AA120" s="536"/>
      <c r="AB120" s="536"/>
      <c r="AC120" s="536"/>
      <c r="AD120" s="536"/>
      <c r="AE120" s="536"/>
      <c r="AF120" s="536"/>
      <c r="AG120" s="536"/>
      <c r="AH120" s="536"/>
      <c r="AI120" s="536"/>
      <c r="AJ120" s="536"/>
      <c r="AK120" s="537"/>
      <c r="CM120" s="123"/>
      <c r="CN120" s="123"/>
      <c r="CO120" s="123"/>
      <c r="CP120" s="123"/>
      <c r="CQ120" s="123"/>
      <c r="CR120" s="123"/>
      <c r="CS120" s="123"/>
      <c r="CT120" s="123"/>
      <c r="CU120" s="123"/>
      <c r="CV120" s="123"/>
      <c r="CW120" s="123"/>
      <c r="CX120" s="123"/>
      <c r="CY120" s="123"/>
      <c r="CZ120" s="123"/>
      <c r="DA120" s="123"/>
      <c r="DB120" s="123"/>
      <c r="DC120" s="123"/>
      <c r="DD120" s="123"/>
      <c r="DE120" s="123" t="s">
        <v>727</v>
      </c>
      <c r="EM120" s="72"/>
    </row>
    <row r="121" spans="1:153" ht="6.75" customHeight="1">
      <c r="A121" s="543"/>
      <c r="B121" s="531"/>
      <c r="C121" s="531"/>
      <c r="D121" s="531"/>
      <c r="E121" s="532"/>
      <c r="F121" s="543"/>
      <c r="G121" s="531"/>
      <c r="H121" s="531"/>
      <c r="I121" s="531"/>
      <c r="J121" s="531"/>
      <c r="K121" s="531"/>
      <c r="L121" s="531"/>
      <c r="M121" s="531"/>
      <c r="N121" s="531"/>
      <c r="O121" s="531"/>
      <c r="P121" s="531"/>
      <c r="Q121" s="531"/>
      <c r="R121" s="531"/>
      <c r="S121" s="531"/>
      <c r="T121" s="531"/>
      <c r="U121" s="531"/>
      <c r="V121" s="531"/>
      <c r="W121" s="531"/>
      <c r="X121" s="531"/>
      <c r="Y121" s="531"/>
      <c r="Z121" s="531"/>
      <c r="AA121" s="531"/>
      <c r="AB121" s="531"/>
      <c r="AC121" s="531"/>
      <c r="AD121" s="531"/>
      <c r="AE121" s="531"/>
      <c r="AF121" s="531"/>
      <c r="AG121" s="531"/>
      <c r="AH121" s="531"/>
      <c r="AI121" s="531"/>
      <c r="AJ121" s="531"/>
      <c r="AK121" s="532"/>
      <c r="CM121" s="123"/>
      <c r="CN121" s="123"/>
      <c r="CO121" s="123"/>
      <c r="CP121" s="123"/>
      <c r="CQ121" s="123"/>
      <c r="CR121" s="123"/>
      <c r="CS121" s="123"/>
      <c r="CT121" s="123"/>
      <c r="CU121" s="123"/>
      <c r="CV121" s="123"/>
      <c r="CW121" s="123"/>
      <c r="CX121" s="123"/>
      <c r="CY121" s="123"/>
      <c r="CZ121" s="123"/>
      <c r="DA121" s="123"/>
      <c r="DB121" s="123"/>
      <c r="DC121" s="123"/>
      <c r="DD121" s="123"/>
      <c r="DE121" s="123"/>
      <c r="EM121" s="72"/>
    </row>
    <row r="122" spans="1:153" ht="12.75" customHeight="1">
      <c r="A122" s="621" t="s">
        <v>13</v>
      </c>
      <c r="B122" s="531"/>
      <c r="C122" s="611" t="s">
        <v>15</v>
      </c>
      <c r="D122" s="531"/>
      <c r="E122" s="532"/>
      <c r="F122" s="543"/>
      <c r="G122" s="531"/>
      <c r="H122" s="531"/>
      <c r="I122" s="531"/>
      <c r="J122" s="531"/>
      <c r="K122" s="531"/>
      <c r="L122" s="531"/>
      <c r="M122" s="531"/>
      <c r="N122" s="531"/>
      <c r="O122" s="531"/>
      <c r="P122" s="531"/>
      <c r="Q122" s="531"/>
      <c r="R122" s="531"/>
      <c r="S122" s="531"/>
      <c r="T122" s="531"/>
      <c r="U122" s="531"/>
      <c r="V122" s="531"/>
      <c r="W122" s="531"/>
      <c r="X122" s="531"/>
      <c r="Y122" s="531"/>
      <c r="Z122" s="531"/>
      <c r="AA122" s="531"/>
      <c r="AB122" s="531"/>
      <c r="AC122" s="531"/>
      <c r="AD122" s="531"/>
      <c r="AE122" s="531"/>
      <c r="AF122" s="531"/>
      <c r="AG122" s="531"/>
      <c r="AH122" s="531"/>
      <c r="AI122" s="531"/>
      <c r="AJ122" s="531"/>
      <c r="AK122" s="532"/>
      <c r="CM122" s="123"/>
      <c r="CN122" s="123"/>
      <c r="CO122" s="123"/>
      <c r="CP122" s="123"/>
      <c r="CQ122" s="123"/>
      <c r="CR122" s="123"/>
      <c r="CS122" s="123"/>
      <c r="CT122" s="123"/>
      <c r="CU122" s="123"/>
      <c r="CV122" s="123"/>
      <c r="CW122" s="123"/>
      <c r="CX122" s="123"/>
      <c r="CY122" s="123"/>
      <c r="CZ122" s="123"/>
      <c r="DA122" s="123"/>
      <c r="DB122" s="123"/>
      <c r="DC122" s="123"/>
      <c r="DD122" s="123"/>
      <c r="DE122" s="123"/>
      <c r="EM122" s="72"/>
    </row>
    <row r="123" spans="1:153" ht="9.75" customHeight="1">
      <c r="A123" s="543"/>
      <c r="B123" s="531"/>
      <c r="C123" s="531"/>
      <c r="D123" s="531"/>
      <c r="E123" s="532"/>
      <c r="F123" s="556"/>
      <c r="G123" s="531"/>
      <c r="H123" s="531"/>
      <c r="I123" s="531"/>
      <c r="J123" s="531"/>
      <c r="K123" s="531"/>
      <c r="L123" s="531"/>
      <c r="M123" s="531"/>
      <c r="N123" s="531"/>
      <c r="O123" s="531"/>
      <c r="P123" s="531"/>
      <c r="Q123" s="531"/>
      <c r="R123" s="531"/>
      <c r="S123" s="531"/>
      <c r="T123" s="531"/>
      <c r="U123" s="531"/>
      <c r="V123" s="531"/>
      <c r="W123" s="531"/>
      <c r="X123" s="531"/>
      <c r="Y123" s="531"/>
      <c r="Z123" s="531"/>
      <c r="AA123" s="531"/>
      <c r="AB123" s="531"/>
      <c r="AC123" s="531"/>
      <c r="AD123" s="531"/>
      <c r="AE123" s="531"/>
      <c r="AF123" s="531"/>
      <c r="AG123" s="531"/>
      <c r="AH123" s="531"/>
      <c r="AI123" s="531"/>
      <c r="AJ123" s="531"/>
      <c r="AK123" s="532"/>
      <c r="CM123" s="123"/>
      <c r="CN123" s="123"/>
      <c r="CO123" s="123"/>
      <c r="CP123" s="123"/>
      <c r="CQ123" s="123"/>
      <c r="CR123" s="123"/>
      <c r="CS123" s="123"/>
      <c r="CT123" s="123"/>
      <c r="CU123" s="123"/>
      <c r="CV123" s="123"/>
      <c r="CW123" s="123"/>
      <c r="CX123" s="123"/>
      <c r="CY123" s="123"/>
      <c r="CZ123" s="123"/>
      <c r="DA123" s="123"/>
      <c r="DB123" s="123"/>
      <c r="DC123" s="123"/>
      <c r="DD123" s="123"/>
      <c r="DE123" s="123"/>
      <c r="EM123" s="72"/>
    </row>
    <row r="124" spans="1:153" ht="36.75" customHeight="1">
      <c r="A124" s="543"/>
      <c r="B124" s="531"/>
      <c r="C124" s="531"/>
      <c r="D124" s="531"/>
      <c r="E124" s="532"/>
      <c r="F124" s="556" t="s">
        <v>1229</v>
      </c>
      <c r="G124" s="531"/>
      <c r="H124" s="531"/>
      <c r="I124" s="531"/>
      <c r="J124" s="531"/>
      <c r="K124" s="531"/>
      <c r="L124" s="531"/>
      <c r="M124" s="531"/>
      <c r="N124" s="531"/>
      <c r="O124" s="531"/>
      <c r="P124" s="531"/>
      <c r="Q124" s="531"/>
      <c r="R124" s="531"/>
      <c r="S124" s="531"/>
      <c r="T124" s="531"/>
      <c r="U124" s="531"/>
      <c r="V124" s="531"/>
      <c r="W124" s="531"/>
      <c r="X124" s="531"/>
      <c r="Y124" s="531"/>
      <c r="Z124" s="531"/>
      <c r="AA124" s="531"/>
      <c r="AB124" s="531"/>
      <c r="AC124" s="531"/>
      <c r="AD124" s="531"/>
      <c r="AE124" s="531"/>
      <c r="AF124" s="531"/>
      <c r="AG124" s="531"/>
      <c r="AH124" s="531"/>
      <c r="AI124" s="531"/>
      <c r="AJ124" s="531"/>
      <c r="AK124" s="532"/>
      <c r="AL124" s="191"/>
      <c r="AM124" s="191"/>
      <c r="AN124" s="191"/>
      <c r="AO124" s="191"/>
      <c r="AP124" s="191"/>
      <c r="AQ124" s="191"/>
      <c r="AR124" s="191"/>
      <c r="AS124" s="191"/>
      <c r="AT124" s="191"/>
      <c r="AU124" s="191"/>
      <c r="AV124" s="191"/>
      <c r="AW124" s="191"/>
      <c r="AX124" s="191"/>
      <c r="EM124" s="72"/>
    </row>
    <row r="125" spans="1:153" ht="9" customHeight="1">
      <c r="A125" s="618"/>
      <c r="B125" s="531"/>
      <c r="C125" s="531"/>
      <c r="D125" s="531"/>
      <c r="E125" s="531"/>
      <c r="F125" s="543"/>
      <c r="G125" s="531"/>
      <c r="H125" s="531"/>
      <c r="I125" s="531"/>
      <c r="J125" s="531"/>
      <c r="K125" s="531"/>
      <c r="L125" s="531"/>
      <c r="M125" s="531"/>
      <c r="N125" s="531"/>
      <c r="O125" s="531"/>
      <c r="P125" s="531"/>
      <c r="Q125" s="531"/>
      <c r="R125" s="531"/>
      <c r="S125" s="531"/>
      <c r="T125" s="531"/>
      <c r="U125" s="531"/>
      <c r="V125" s="531"/>
      <c r="W125" s="531"/>
      <c r="X125" s="531"/>
      <c r="Y125" s="531"/>
      <c r="Z125" s="531"/>
      <c r="AA125" s="531"/>
      <c r="AB125" s="531"/>
      <c r="AC125" s="531"/>
      <c r="AD125" s="531"/>
      <c r="AE125" s="531"/>
      <c r="AF125" s="531"/>
      <c r="AG125" s="531"/>
      <c r="AH125" s="531"/>
      <c r="AI125" s="531"/>
      <c r="AJ125" s="531"/>
      <c r="AK125" s="532"/>
      <c r="AL125" s="191"/>
      <c r="AM125" s="191"/>
      <c r="AN125" s="191"/>
      <c r="AO125" s="191"/>
      <c r="AP125" s="191"/>
      <c r="AQ125" s="191"/>
      <c r="AR125" s="191"/>
      <c r="AS125" s="191"/>
      <c r="AT125" s="191"/>
      <c r="AU125" s="191"/>
      <c r="AV125" s="191"/>
      <c r="AW125" s="191"/>
      <c r="AX125" s="191"/>
      <c r="EM125" s="72"/>
    </row>
    <row r="126" spans="1:153" ht="20.25" customHeight="1">
      <c r="A126" s="622" t="s">
        <v>352</v>
      </c>
      <c r="B126" s="531"/>
      <c r="C126" s="623" t="s">
        <v>353</v>
      </c>
      <c r="D126" s="531"/>
      <c r="E126" s="532"/>
      <c r="F126" s="543"/>
      <c r="G126" s="531"/>
      <c r="H126" s="531"/>
      <c r="I126" s="531"/>
      <c r="J126" s="531"/>
      <c r="K126" s="531"/>
      <c r="L126" s="531"/>
      <c r="M126" s="531"/>
      <c r="N126" s="531"/>
      <c r="O126" s="531"/>
      <c r="P126" s="531"/>
      <c r="Q126" s="531"/>
      <c r="R126" s="531"/>
      <c r="S126" s="531"/>
      <c r="T126" s="531"/>
      <c r="U126" s="531"/>
      <c r="V126" s="531"/>
      <c r="W126" s="531"/>
      <c r="X126" s="531"/>
      <c r="Y126" s="531"/>
      <c r="Z126" s="531"/>
      <c r="AA126" s="531"/>
      <c r="AB126" s="531"/>
      <c r="AC126" s="531"/>
      <c r="AD126" s="531"/>
      <c r="AE126" s="531"/>
      <c r="AF126" s="531"/>
      <c r="AG126" s="531"/>
      <c r="AH126" s="531"/>
      <c r="AI126" s="531"/>
      <c r="AJ126" s="531"/>
      <c r="AK126" s="532"/>
      <c r="AL126" s="191"/>
      <c r="AM126" s="191"/>
      <c r="AN126" s="191"/>
      <c r="AO126" s="191"/>
      <c r="AP126" s="191"/>
      <c r="AQ126" s="191"/>
      <c r="AR126" s="191"/>
      <c r="AS126" s="191"/>
      <c r="AT126" s="191"/>
      <c r="AU126" s="191"/>
      <c r="AV126" s="191"/>
      <c r="AW126" s="191"/>
      <c r="AX126" s="191"/>
      <c r="EM126" s="72"/>
    </row>
    <row r="127" spans="1:153" ht="8.25" customHeight="1">
      <c r="A127" s="543"/>
      <c r="B127" s="531"/>
      <c r="C127" s="531"/>
      <c r="D127" s="531"/>
      <c r="E127" s="532"/>
      <c r="F127" s="556"/>
      <c r="G127" s="531"/>
      <c r="H127" s="531"/>
      <c r="I127" s="531"/>
      <c r="J127" s="531"/>
      <c r="K127" s="531"/>
      <c r="L127" s="531"/>
      <c r="M127" s="531"/>
      <c r="N127" s="531"/>
      <c r="O127" s="531"/>
      <c r="P127" s="531"/>
      <c r="Q127" s="531"/>
      <c r="R127" s="531"/>
      <c r="S127" s="531"/>
      <c r="T127" s="531"/>
      <c r="U127" s="531"/>
      <c r="V127" s="531"/>
      <c r="W127" s="531"/>
      <c r="X127" s="531"/>
      <c r="Y127" s="531"/>
      <c r="Z127" s="531"/>
      <c r="AA127" s="531"/>
      <c r="AB127" s="531"/>
      <c r="AC127" s="531"/>
      <c r="AD127" s="531"/>
      <c r="AE127" s="531"/>
      <c r="AF127" s="531"/>
      <c r="AG127" s="531"/>
      <c r="AH127" s="531"/>
      <c r="AI127" s="531"/>
      <c r="AJ127" s="531"/>
      <c r="AK127" s="532"/>
      <c r="AL127" s="191"/>
      <c r="AM127" s="191"/>
      <c r="AN127" s="191"/>
      <c r="AO127" s="191"/>
      <c r="AP127" s="191"/>
      <c r="AQ127" s="191"/>
      <c r="AR127" s="191"/>
      <c r="AS127" s="191"/>
      <c r="AT127" s="191"/>
      <c r="AU127" s="191"/>
      <c r="AV127" s="191"/>
      <c r="AW127" s="191"/>
      <c r="AX127" s="191"/>
      <c r="EM127" s="72"/>
    </row>
    <row r="128" spans="1:153" ht="12.75">
      <c r="A128" s="543"/>
      <c r="B128" s="531"/>
      <c r="C128" s="531"/>
      <c r="D128" s="531"/>
      <c r="E128" s="532"/>
      <c r="F128" s="556" t="s">
        <v>1230</v>
      </c>
      <c r="G128" s="531"/>
      <c r="H128" s="531"/>
      <c r="I128" s="531"/>
      <c r="J128" s="531"/>
      <c r="K128" s="531"/>
      <c r="L128" s="531"/>
      <c r="M128" s="531"/>
      <c r="N128" s="531"/>
      <c r="O128" s="531"/>
      <c r="P128" s="531"/>
      <c r="Q128" s="531"/>
      <c r="R128" s="531"/>
      <c r="S128" s="531"/>
      <c r="T128" s="531"/>
      <c r="U128" s="531"/>
      <c r="V128" s="531"/>
      <c r="W128" s="531"/>
      <c r="X128" s="531"/>
      <c r="Y128" s="531"/>
      <c r="Z128" s="531"/>
      <c r="AA128" s="531"/>
      <c r="AB128" s="531"/>
      <c r="AC128" s="531"/>
      <c r="AD128" s="531"/>
      <c r="AE128" s="531"/>
      <c r="AF128" s="531"/>
      <c r="AG128" s="531"/>
      <c r="AH128" s="531"/>
      <c r="AI128" s="531"/>
      <c r="AJ128" s="531"/>
      <c r="AK128" s="532"/>
      <c r="AL128" s="191"/>
      <c r="AM128" s="191"/>
      <c r="AN128" s="191"/>
      <c r="AO128" s="191"/>
      <c r="AP128" s="191"/>
      <c r="AQ128" s="191"/>
      <c r="AR128" s="191"/>
      <c r="AS128" s="191"/>
      <c r="AT128" s="191"/>
      <c r="AU128" s="191"/>
      <c r="AV128" s="191"/>
      <c r="AW128" s="191"/>
      <c r="AX128" s="191"/>
      <c r="EM128" s="72"/>
    </row>
    <row r="129" spans="1:153" ht="8.25" customHeight="1">
      <c r="A129" s="621"/>
      <c r="B129" s="531"/>
      <c r="C129" s="531"/>
      <c r="D129" s="531"/>
      <c r="E129" s="532"/>
      <c r="F129" s="556"/>
      <c r="G129" s="531"/>
      <c r="H129" s="531"/>
      <c r="I129" s="531"/>
      <c r="J129" s="531"/>
      <c r="K129" s="531"/>
      <c r="L129" s="531"/>
      <c r="M129" s="531"/>
      <c r="N129" s="531"/>
      <c r="O129" s="531"/>
      <c r="P129" s="531"/>
      <c r="Q129" s="531"/>
      <c r="R129" s="531"/>
      <c r="S129" s="531"/>
      <c r="T129" s="531"/>
      <c r="U129" s="531"/>
      <c r="V129" s="531"/>
      <c r="W129" s="531"/>
      <c r="X129" s="531"/>
      <c r="Y129" s="531"/>
      <c r="Z129" s="531"/>
      <c r="AA129" s="531"/>
      <c r="AB129" s="531"/>
      <c r="AC129" s="531"/>
      <c r="AD129" s="531"/>
      <c r="AE129" s="531"/>
      <c r="AF129" s="531"/>
      <c r="AG129" s="531"/>
      <c r="AH129" s="531"/>
      <c r="AI129" s="531"/>
      <c r="AJ129" s="531"/>
      <c r="AK129" s="532"/>
      <c r="AL129" s="191"/>
      <c r="AM129" s="191"/>
      <c r="AN129" s="191"/>
      <c r="AO129" s="191"/>
      <c r="AP129" s="191"/>
      <c r="AQ129" s="191"/>
      <c r="AR129" s="191"/>
      <c r="AS129" s="191"/>
      <c r="AT129" s="191"/>
      <c r="AU129" s="191"/>
      <c r="AV129" s="191"/>
      <c r="AW129" s="191"/>
      <c r="AX129" s="191"/>
      <c r="EM129" s="72"/>
    </row>
    <row r="130" spans="1:153" ht="12.75">
      <c r="A130" s="616" t="s">
        <v>356</v>
      </c>
      <c r="B130" s="540"/>
      <c r="C130" s="643" t="s">
        <v>357</v>
      </c>
      <c r="D130" s="540"/>
      <c r="E130" s="542"/>
      <c r="F130" s="644" t="s">
        <v>1231</v>
      </c>
      <c r="G130" s="540"/>
      <c r="H130" s="540"/>
      <c r="I130" s="540"/>
      <c r="J130" s="540"/>
      <c r="K130" s="540"/>
      <c r="L130" s="540"/>
      <c r="M130" s="540"/>
      <c r="N130" s="540"/>
      <c r="O130" s="540"/>
      <c r="P130" s="540"/>
      <c r="Q130" s="540"/>
      <c r="R130" s="540"/>
      <c r="S130" s="540"/>
      <c r="T130" s="540"/>
      <c r="U130" s="540"/>
      <c r="V130" s="540"/>
      <c r="W130" s="540"/>
      <c r="X130" s="540"/>
      <c r="Y130" s="540"/>
      <c r="Z130" s="540"/>
      <c r="AA130" s="540"/>
      <c r="AB130" s="540"/>
      <c r="AC130" s="540"/>
      <c r="AD130" s="540"/>
      <c r="AE130" s="540"/>
      <c r="AF130" s="540"/>
      <c r="AG130" s="540"/>
      <c r="AH130" s="540"/>
      <c r="AI130" s="540"/>
      <c r="AJ130" s="540"/>
      <c r="AK130" s="542"/>
      <c r="AL130" s="191"/>
      <c r="AM130" s="191"/>
      <c r="AN130" s="191"/>
      <c r="AO130" s="191"/>
      <c r="AP130" s="191"/>
      <c r="AQ130" s="191"/>
      <c r="AR130" s="191"/>
      <c r="AS130" s="191"/>
      <c r="AT130" s="191"/>
      <c r="AU130" s="191"/>
      <c r="AV130" s="191"/>
      <c r="AW130" s="191"/>
      <c r="AX130" s="191"/>
      <c r="EM130" s="72"/>
    </row>
    <row r="131" spans="1:153" ht="8.25" customHeight="1">
      <c r="A131" s="618"/>
      <c r="B131" s="531"/>
      <c r="C131" s="531"/>
      <c r="D131" s="531"/>
      <c r="E131" s="531"/>
      <c r="EM131" s="72"/>
    </row>
    <row r="132" spans="1:153" ht="12.75">
      <c r="A132" s="619"/>
      <c r="B132" s="531"/>
      <c r="C132" s="531"/>
      <c r="D132" s="531"/>
      <c r="E132" s="531"/>
      <c r="EM132" s="72"/>
    </row>
    <row r="133" spans="1:153" ht="9" customHeight="1">
      <c r="A133" s="531"/>
      <c r="B133" s="531"/>
      <c r="C133" s="531"/>
      <c r="D133" s="531"/>
      <c r="E133" s="531"/>
      <c r="AG133" s="629"/>
      <c r="AH133" s="531"/>
      <c r="AI133" s="531"/>
      <c r="EM133" s="72"/>
    </row>
    <row r="134" spans="1:153" ht="12.75">
      <c r="A134" s="620"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B134" s="531"/>
      <c r="C134" s="531"/>
      <c r="D134" s="531"/>
      <c r="E134" s="531"/>
      <c r="EM134" s="72"/>
    </row>
    <row r="135" spans="1:153" ht="12.75">
      <c r="A135" s="188"/>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EW135" s="72"/>
    </row>
    <row r="136" spans="1:153" ht="12.75">
      <c r="A136" s="188"/>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EW136" s="72"/>
    </row>
    <row r="137" spans="1:153" ht="12.75">
      <c r="A137" s="188"/>
      <c r="AK137" s="1"/>
      <c r="EW137" s="72"/>
    </row>
    <row r="138" spans="1:153" ht="12.75">
      <c r="A138" s="188"/>
      <c r="AK138" s="1"/>
      <c r="EW138" s="72"/>
    </row>
    <row r="139" spans="1:153" ht="12.75">
      <c r="A139" s="188"/>
      <c r="AK139" s="1"/>
      <c r="EW139" s="72"/>
    </row>
    <row r="140" spans="1:153" ht="12.75">
      <c r="A140" s="188"/>
      <c r="AK140" s="1"/>
      <c r="EW140" s="72"/>
    </row>
    <row r="141" spans="1:153" ht="12.75">
      <c r="A141" s="188"/>
      <c r="AK141" s="1"/>
      <c r="EW141" s="72"/>
    </row>
    <row r="142" spans="1:153" ht="12.75">
      <c r="A142" s="188"/>
      <c r="AK142" s="1"/>
      <c r="EW142" s="72"/>
    </row>
    <row r="143" spans="1:153" ht="12.75">
      <c r="A143" s="188"/>
      <c r="AK143" s="1"/>
      <c r="EW143" s="72"/>
    </row>
    <row r="144" spans="1:153" ht="12.75">
      <c r="A144" s="188"/>
      <c r="AK144" s="1"/>
      <c r="EW144" s="72"/>
    </row>
    <row r="145" spans="1:153" ht="12.75">
      <c r="A145" s="188"/>
      <c r="AG145" s="1"/>
      <c r="AH145" s="1"/>
      <c r="AI145" s="1"/>
      <c r="AJ145" s="1"/>
      <c r="AK145" s="1"/>
      <c r="EW145" s="72"/>
    </row>
    <row r="146" spans="1:153" ht="12.75">
      <c r="A146" s="188"/>
      <c r="AG146" s="1"/>
      <c r="AH146" s="1"/>
      <c r="AI146" s="1"/>
      <c r="AJ146" s="1"/>
      <c r="AK146" s="1"/>
      <c r="EW146" s="72"/>
    </row>
    <row r="147" spans="1:153" ht="12.75">
      <c r="A147" s="188"/>
      <c r="AK147" s="1"/>
      <c r="EW147" s="72"/>
    </row>
    <row r="148" spans="1:153" ht="12.75">
      <c r="A148" s="188"/>
      <c r="AK148" s="1"/>
      <c r="EW148" s="72"/>
    </row>
    <row r="149" spans="1:153" ht="12.75">
      <c r="A149" s="188"/>
      <c r="EW149" s="72"/>
    </row>
    <row r="150" spans="1:153" ht="12.75">
      <c r="A150" s="188"/>
      <c r="EW150" s="72"/>
    </row>
    <row r="151" spans="1:153" ht="12.75">
      <c r="A151" s="188"/>
      <c r="EW151" s="72"/>
    </row>
    <row r="152" spans="1:153" ht="12.75">
      <c r="A152" s="188"/>
      <c r="EW152" s="72"/>
    </row>
    <row r="153" spans="1:153" ht="12.75">
      <c r="A153" s="188"/>
      <c r="EW153" s="72"/>
    </row>
    <row r="154" spans="1:153" ht="12.75">
      <c r="A154" s="188"/>
      <c r="EW154" s="72"/>
    </row>
    <row r="155" spans="1:153" ht="12.75">
      <c r="A155" s="188"/>
      <c r="EW155" s="72"/>
    </row>
    <row r="156" spans="1:153" ht="12.75">
      <c r="A156" s="188"/>
      <c r="EW156" s="72"/>
    </row>
    <row r="157" spans="1:153" ht="12.75">
      <c r="A157" s="188"/>
      <c r="EW157" s="72"/>
    </row>
    <row r="158" spans="1:153" ht="12.75">
      <c r="A158" s="188"/>
      <c r="EW158" s="72"/>
    </row>
    <row r="159" spans="1:153" ht="12.75">
      <c r="A159" s="188"/>
      <c r="EW159" s="72"/>
    </row>
    <row r="160" spans="1:153" ht="12.75">
      <c r="A160" s="188"/>
      <c r="EW160" s="72"/>
    </row>
    <row r="161" spans="1:153" ht="12.75">
      <c r="A161" s="188"/>
      <c r="EW161" s="72"/>
    </row>
    <row r="162" spans="1:153" ht="12.75">
      <c r="A162" s="188"/>
      <c r="EW162" s="72"/>
    </row>
    <row r="163" spans="1:153" ht="12.75">
      <c r="A163" s="188"/>
      <c r="EW163" s="72"/>
    </row>
    <row r="164" spans="1:153" ht="12.75">
      <c r="A164" s="188"/>
      <c r="EW164" s="72"/>
    </row>
    <row r="165" spans="1:153" ht="12.75">
      <c r="A165" s="188"/>
      <c r="EW165" s="72"/>
    </row>
    <row r="166" spans="1:153" ht="12.75">
      <c r="A166" s="188"/>
      <c r="EW166" s="72"/>
    </row>
    <row r="167" spans="1:153" ht="12.75">
      <c r="A167" s="188"/>
      <c r="EW167" s="72"/>
    </row>
    <row r="168" spans="1:153" ht="12.75">
      <c r="A168" s="188"/>
      <c r="EW168" s="72"/>
    </row>
    <row r="169" spans="1:153" ht="12.75">
      <c r="A169" s="188"/>
      <c r="EW169" s="72"/>
    </row>
    <row r="170" spans="1:153" ht="12.75">
      <c r="A170" s="188"/>
      <c r="EW170" s="72"/>
    </row>
    <row r="171" spans="1:153" ht="12.75">
      <c r="A171" s="188"/>
      <c r="EW171" s="72"/>
    </row>
    <row r="172" spans="1:153" ht="12.75">
      <c r="A172" s="188"/>
      <c r="EW172" s="72"/>
    </row>
    <row r="173" spans="1:153" ht="12.75">
      <c r="A173" s="188"/>
      <c r="EW173" s="72"/>
    </row>
    <row r="174" spans="1:153" ht="12.75">
      <c r="A174" s="188"/>
      <c r="EW174" s="72"/>
    </row>
    <row r="175" spans="1:153" ht="12.75">
      <c r="A175" s="188"/>
      <c r="EW175" s="72"/>
    </row>
    <row r="176" spans="1:153" ht="12.75">
      <c r="A176" s="188"/>
      <c r="EW176" s="72"/>
    </row>
    <row r="177" spans="1:153" ht="12.75">
      <c r="A177" s="188"/>
      <c r="EW177" s="72"/>
    </row>
    <row r="178" spans="1:153" ht="12.75">
      <c r="A178" s="188"/>
      <c r="EW178" s="72"/>
    </row>
    <row r="179" spans="1:153" ht="12.75">
      <c r="A179" s="188"/>
      <c r="EW179" s="72"/>
    </row>
    <row r="180" spans="1:153" ht="12.75">
      <c r="A180" s="188"/>
      <c r="EW180" s="72"/>
    </row>
    <row r="181" spans="1:153" ht="12.75">
      <c r="A181" s="188"/>
      <c r="EW181" s="72"/>
    </row>
    <row r="182" spans="1:153" ht="12.75">
      <c r="A182" s="188"/>
      <c r="EW182" s="72"/>
    </row>
    <row r="183" spans="1:153" ht="12.75">
      <c r="A183" s="188"/>
      <c r="EW183" s="72"/>
    </row>
    <row r="184" spans="1:153" ht="12.75">
      <c r="A184" s="188"/>
      <c r="EW184" s="72"/>
    </row>
    <row r="185" spans="1:153" ht="12.75">
      <c r="A185" s="188"/>
      <c r="EW185" s="72"/>
    </row>
    <row r="186" spans="1:153" ht="12.75">
      <c r="A186" s="188"/>
      <c r="EW186" s="72"/>
    </row>
    <row r="187" spans="1:153" ht="12.75">
      <c r="A187" s="188"/>
      <c r="EW187" s="72"/>
    </row>
    <row r="188" spans="1:153" ht="12.75">
      <c r="A188" s="188"/>
      <c r="EW188" s="72"/>
    </row>
    <row r="189" spans="1:153" ht="12.75">
      <c r="A189" s="188"/>
      <c r="EW189" s="72"/>
    </row>
    <row r="190" spans="1:153" ht="12.75">
      <c r="A190" s="188"/>
      <c r="EW190" s="72"/>
    </row>
    <row r="191" spans="1:153" ht="12.75">
      <c r="A191" s="188"/>
      <c r="EW191" s="72"/>
    </row>
    <row r="192" spans="1:153" ht="12.75">
      <c r="A192" s="188"/>
      <c r="EW192" s="72"/>
    </row>
    <row r="193" spans="1:153" ht="12.75">
      <c r="A193" s="188"/>
      <c r="EW193" s="72"/>
    </row>
    <row r="194" spans="1:153" ht="12.75">
      <c r="A194" s="188"/>
      <c r="EW194" s="72"/>
    </row>
    <row r="195" spans="1:153" ht="12.75">
      <c r="A195" s="188"/>
      <c r="EW195" s="72"/>
    </row>
    <row r="196" spans="1:153" ht="12.75">
      <c r="A196" s="188"/>
      <c r="EW196" s="72"/>
    </row>
    <row r="197" spans="1:153" ht="12.75">
      <c r="A197" s="188"/>
      <c r="EW197" s="72"/>
    </row>
    <row r="198" spans="1:153" ht="12.75">
      <c r="A198" s="188"/>
      <c r="EW198" s="72"/>
    </row>
    <row r="199" spans="1:153" ht="12.75">
      <c r="A199" s="188"/>
      <c r="EW199" s="72"/>
    </row>
    <row r="200" spans="1:153" ht="12.75">
      <c r="A200" s="188"/>
      <c r="EW200" s="72"/>
    </row>
    <row r="201" spans="1:153" ht="12.75">
      <c r="A201" s="188"/>
      <c r="EW201" s="72"/>
    </row>
    <row r="202" spans="1:153" ht="12.75">
      <c r="A202" s="188"/>
      <c r="EW202" s="72"/>
    </row>
    <row r="203" spans="1:153" ht="12.75">
      <c r="A203" s="188"/>
      <c r="EW203" s="72"/>
    </row>
    <row r="204" spans="1:153" ht="12.75">
      <c r="A204" s="188"/>
      <c r="EW204" s="72"/>
    </row>
    <row r="205" spans="1:153" ht="12.75">
      <c r="A205" s="188"/>
      <c r="EW205" s="72"/>
    </row>
    <row r="206" spans="1:153" ht="12.75">
      <c r="A206" s="188"/>
      <c r="EW206" s="72"/>
    </row>
    <row r="207" spans="1:153" ht="12.75">
      <c r="A207" s="188"/>
      <c r="EW207" s="72"/>
    </row>
    <row r="208" spans="1:153" ht="12.75">
      <c r="A208" s="188"/>
      <c r="EW208" s="72"/>
    </row>
    <row r="209" spans="1:153" ht="12.75">
      <c r="A209" s="188"/>
      <c r="EW209" s="72"/>
    </row>
    <row r="210" spans="1:153" ht="12.75">
      <c r="A210" s="188"/>
      <c r="EW210" s="72"/>
    </row>
    <row r="211" spans="1:153" ht="12.75">
      <c r="A211" s="188"/>
      <c r="EW211" s="72"/>
    </row>
    <row r="212" spans="1:153" ht="12.75">
      <c r="A212" s="188"/>
      <c r="EW212" s="72"/>
    </row>
    <row r="213" spans="1:153" ht="12.75">
      <c r="A213" s="188"/>
      <c r="EW213" s="72"/>
    </row>
    <row r="214" spans="1:153" ht="12.75">
      <c r="A214" s="188"/>
      <c r="EW214" s="72"/>
    </row>
    <row r="215" spans="1:153" ht="12.75">
      <c r="A215" s="188"/>
      <c r="EW215" s="72"/>
    </row>
    <row r="216" spans="1:153" ht="12.75">
      <c r="A216" s="188"/>
      <c r="EW216" s="72"/>
    </row>
    <row r="217" spans="1:153" ht="12.75">
      <c r="A217" s="188"/>
      <c r="EW217" s="72"/>
    </row>
    <row r="218" spans="1:153" ht="12.75">
      <c r="A218" s="188"/>
      <c r="EW218" s="72"/>
    </row>
    <row r="219" spans="1:153" ht="12.75">
      <c r="A219" s="188"/>
      <c r="EW219" s="72"/>
    </row>
    <row r="220" spans="1:153" ht="12.75">
      <c r="A220" s="188"/>
      <c r="EW220" s="72"/>
    </row>
    <row r="221" spans="1:153" ht="12.75">
      <c r="A221" s="188"/>
      <c r="EW221" s="72"/>
    </row>
    <row r="222" spans="1:153" ht="12.75">
      <c r="A222" s="188"/>
      <c r="EW222" s="72"/>
    </row>
    <row r="223" spans="1:153" ht="12.75">
      <c r="A223" s="188"/>
      <c r="EW223" s="72"/>
    </row>
    <row r="224" spans="1:153" ht="12.75">
      <c r="A224" s="188"/>
      <c r="EW224" s="72"/>
    </row>
    <row r="225" spans="1:153" ht="12.75">
      <c r="A225" s="188"/>
      <c r="EW225" s="72"/>
    </row>
    <row r="226" spans="1:153" ht="12.75">
      <c r="A226" s="188"/>
      <c r="EW226" s="72"/>
    </row>
    <row r="227" spans="1:153" ht="12.75">
      <c r="A227" s="188"/>
      <c r="EW227" s="72"/>
    </row>
    <row r="228" spans="1:153" ht="12.75">
      <c r="A228" s="188"/>
      <c r="EW228" s="72"/>
    </row>
    <row r="229" spans="1:153" ht="12.75">
      <c r="A229" s="188"/>
      <c r="EW229" s="72"/>
    </row>
    <row r="230" spans="1:153" ht="12.75">
      <c r="A230" s="188"/>
      <c r="EW230" s="72"/>
    </row>
    <row r="231" spans="1:153" ht="12.75">
      <c r="A231" s="188"/>
      <c r="EW231" s="72"/>
    </row>
    <row r="232" spans="1:153" ht="12.75">
      <c r="A232" s="188"/>
      <c r="EW232" s="72"/>
    </row>
    <row r="233" spans="1:153" ht="12.75">
      <c r="A233" s="188"/>
      <c r="EW233" s="72"/>
    </row>
    <row r="234" spans="1:153" ht="12.75">
      <c r="A234" s="188"/>
      <c r="EW234" s="72"/>
    </row>
    <row r="235" spans="1:153" ht="12.75">
      <c r="A235" s="188"/>
      <c r="EW235" s="72"/>
    </row>
    <row r="236" spans="1:153" ht="12.75">
      <c r="A236" s="188"/>
      <c r="EW236" s="72"/>
    </row>
    <row r="237" spans="1:153" ht="12.75">
      <c r="A237" s="188"/>
      <c r="EW237" s="72"/>
    </row>
    <row r="238" spans="1:153" ht="12.75">
      <c r="A238" s="188"/>
      <c r="EW238" s="72"/>
    </row>
    <row r="239" spans="1:153" ht="12.75">
      <c r="A239" s="188"/>
      <c r="EW239" s="72"/>
    </row>
    <row r="240" spans="1:153" ht="12.75">
      <c r="A240" s="188"/>
      <c r="EW240" s="72"/>
    </row>
    <row r="241" spans="1:153" ht="12.75">
      <c r="A241" s="188"/>
      <c r="EW241" s="72"/>
    </row>
    <row r="242" spans="1:153" ht="12.75">
      <c r="A242" s="188"/>
      <c r="EW242" s="72"/>
    </row>
    <row r="243" spans="1:153" ht="12.75">
      <c r="A243" s="188"/>
      <c r="EW243" s="72"/>
    </row>
    <row r="244" spans="1:153" ht="12.75">
      <c r="A244" s="188"/>
      <c r="EW244" s="72"/>
    </row>
    <row r="245" spans="1:153" ht="12.75">
      <c r="A245" s="188"/>
      <c r="EW245" s="72"/>
    </row>
    <row r="246" spans="1:153" ht="12.75">
      <c r="A246" s="188"/>
      <c r="EW246" s="72"/>
    </row>
    <row r="247" spans="1:153" ht="12.75">
      <c r="A247" s="188"/>
      <c r="EW247" s="72"/>
    </row>
    <row r="248" spans="1:153" ht="12.75">
      <c r="A248" s="188"/>
      <c r="EW248" s="72"/>
    </row>
    <row r="249" spans="1:153" ht="12.75">
      <c r="A249" s="188"/>
      <c r="EW249" s="72"/>
    </row>
    <row r="250" spans="1:153" ht="12.75">
      <c r="A250" s="188"/>
      <c r="EW250" s="72"/>
    </row>
    <row r="251" spans="1:153" ht="12.75">
      <c r="A251" s="188"/>
      <c r="EW251" s="72"/>
    </row>
    <row r="252" spans="1:153" ht="12.75">
      <c r="A252" s="188"/>
      <c r="EW252" s="72"/>
    </row>
    <row r="253" spans="1:153" ht="12.75">
      <c r="A253" s="188"/>
      <c r="EW253" s="72"/>
    </row>
    <row r="254" spans="1:153" ht="12.75">
      <c r="A254" s="188"/>
      <c r="EW254" s="72"/>
    </row>
    <row r="255" spans="1:153" ht="12.75">
      <c r="A255" s="188"/>
      <c r="EW255" s="72"/>
    </row>
    <row r="256" spans="1:153" ht="12.75">
      <c r="A256" s="188"/>
      <c r="EW256" s="72"/>
    </row>
    <row r="257" spans="1:153" ht="12.75">
      <c r="A257" s="188"/>
      <c r="EW257" s="72"/>
    </row>
    <row r="258" spans="1:153" ht="12.75">
      <c r="A258" s="188"/>
      <c r="EW258" s="72"/>
    </row>
    <row r="259" spans="1:153" ht="12.75">
      <c r="A259" s="188"/>
      <c r="EW259" s="72"/>
    </row>
    <row r="260" spans="1:153" ht="12.75">
      <c r="A260" s="188"/>
      <c r="EW260" s="72"/>
    </row>
    <row r="261" spans="1:153" ht="12.75">
      <c r="A261" s="188"/>
      <c r="EW261" s="72"/>
    </row>
    <row r="262" spans="1:153" ht="12.75">
      <c r="A262" s="188"/>
      <c r="EW262" s="72"/>
    </row>
    <row r="263" spans="1:153" ht="12.75">
      <c r="A263" s="188"/>
      <c r="EW263" s="72"/>
    </row>
    <row r="264" spans="1:153" ht="12.75">
      <c r="A264" s="188"/>
      <c r="EW264" s="72"/>
    </row>
    <row r="265" spans="1:153" ht="12.75">
      <c r="A265" s="188"/>
      <c r="EW265" s="72"/>
    </row>
    <row r="266" spans="1:153" ht="12.75">
      <c r="A266" s="188"/>
      <c r="EW266" s="72"/>
    </row>
    <row r="267" spans="1:153" ht="12.75">
      <c r="A267" s="188"/>
      <c r="EW267" s="72"/>
    </row>
    <row r="268" spans="1:153" ht="12.75">
      <c r="A268" s="188"/>
      <c r="EW268" s="72"/>
    </row>
    <row r="269" spans="1:153" ht="12.75">
      <c r="A269" s="188"/>
      <c r="EW269" s="72"/>
    </row>
    <row r="270" spans="1:153" ht="12.75">
      <c r="A270" s="188"/>
      <c r="EW270" s="72"/>
    </row>
    <row r="271" spans="1:153" ht="12.75">
      <c r="A271" s="188"/>
      <c r="EW271" s="72"/>
    </row>
    <row r="272" spans="1:153" ht="12.75">
      <c r="A272" s="188"/>
      <c r="EW272" s="72"/>
    </row>
    <row r="273" spans="1:153" ht="12.75">
      <c r="A273" s="188"/>
      <c r="EW273" s="72"/>
    </row>
    <row r="274" spans="1:153" ht="12.75">
      <c r="A274" s="188"/>
      <c r="EW274" s="72"/>
    </row>
    <row r="275" spans="1:153" ht="12.75">
      <c r="A275" s="188"/>
      <c r="EW275" s="72"/>
    </row>
    <row r="276" spans="1:153" ht="12.75">
      <c r="A276" s="188"/>
      <c r="EW276" s="72"/>
    </row>
    <row r="277" spans="1:153" ht="12.75">
      <c r="A277" s="188"/>
      <c r="EW277" s="72"/>
    </row>
    <row r="278" spans="1:153" ht="12.75">
      <c r="A278" s="188"/>
      <c r="EW278" s="72"/>
    </row>
    <row r="279" spans="1:153" ht="12.75">
      <c r="A279" s="188"/>
      <c r="EW279" s="72"/>
    </row>
    <row r="280" spans="1:153" ht="12.75">
      <c r="A280" s="188"/>
      <c r="EW280" s="72"/>
    </row>
    <row r="281" spans="1:153" ht="12.75">
      <c r="A281" s="188"/>
      <c r="EW281" s="72"/>
    </row>
    <row r="282" spans="1:153" ht="12.75">
      <c r="A282" s="188"/>
      <c r="EW282" s="72"/>
    </row>
    <row r="283" spans="1:153" ht="12.75">
      <c r="A283" s="188"/>
      <c r="EW283" s="72"/>
    </row>
    <row r="284" spans="1:153" ht="12.75">
      <c r="A284" s="188"/>
      <c r="EW284" s="72"/>
    </row>
    <row r="285" spans="1:153" ht="12.75">
      <c r="A285" s="188"/>
      <c r="EW285" s="72"/>
    </row>
    <row r="286" spans="1:153" ht="12.75">
      <c r="A286" s="188"/>
      <c r="EW286" s="72"/>
    </row>
    <row r="287" spans="1:153" ht="12.75">
      <c r="A287" s="188"/>
      <c r="EW287" s="72"/>
    </row>
    <row r="288" spans="1:153" ht="12.75">
      <c r="A288" s="188"/>
      <c r="EW288" s="72"/>
    </row>
    <row r="289" spans="1:153" ht="12.75">
      <c r="A289" s="188"/>
      <c r="EW289" s="72"/>
    </row>
    <row r="290" spans="1:153" ht="12.75">
      <c r="A290" s="188"/>
      <c r="EW290" s="72"/>
    </row>
    <row r="291" spans="1:153" ht="12.75">
      <c r="A291" s="188"/>
      <c r="EW291" s="72"/>
    </row>
    <row r="292" spans="1:153" ht="12.75">
      <c r="A292" s="188"/>
      <c r="EW292" s="72"/>
    </row>
    <row r="293" spans="1:153" ht="12.75">
      <c r="A293" s="188"/>
      <c r="EW293" s="72"/>
    </row>
    <row r="294" spans="1:153" ht="12.75">
      <c r="A294" s="188"/>
      <c r="EW294" s="72"/>
    </row>
    <row r="295" spans="1:153" ht="12.75">
      <c r="A295" s="188"/>
      <c r="EW295" s="72"/>
    </row>
    <row r="296" spans="1:153" ht="12.75">
      <c r="A296" s="188"/>
      <c r="EW296" s="72"/>
    </row>
    <row r="297" spans="1:153" ht="12.75">
      <c r="A297" s="188"/>
      <c r="EW297" s="72"/>
    </row>
    <row r="298" spans="1:153" ht="12.75">
      <c r="A298" s="188"/>
      <c r="EW298" s="72"/>
    </row>
    <row r="299" spans="1:153" ht="12.75">
      <c r="A299" s="188"/>
      <c r="EW299" s="72"/>
    </row>
    <row r="300" spans="1:153" ht="12.75">
      <c r="A300" s="188"/>
      <c r="EW300" s="72"/>
    </row>
    <row r="301" spans="1:153" ht="12.75">
      <c r="A301" s="188"/>
      <c r="EW301" s="72"/>
    </row>
    <row r="302" spans="1:153" ht="12.75">
      <c r="A302" s="188"/>
      <c r="EW302" s="72"/>
    </row>
    <row r="303" spans="1:153" ht="12.75">
      <c r="A303" s="188"/>
      <c r="EW303" s="72"/>
    </row>
    <row r="304" spans="1:153" ht="12.75">
      <c r="A304" s="188"/>
      <c r="EW304" s="72"/>
    </row>
    <row r="305" spans="1:153" ht="12.75">
      <c r="A305" s="188"/>
      <c r="EW305" s="72"/>
    </row>
    <row r="306" spans="1:153" ht="12.75">
      <c r="A306" s="188"/>
      <c r="EW306" s="72"/>
    </row>
    <row r="307" spans="1:153" ht="12.75">
      <c r="A307" s="188"/>
      <c r="EW307" s="72"/>
    </row>
    <row r="308" spans="1:153" ht="12.75">
      <c r="A308" s="188"/>
      <c r="EW308" s="72"/>
    </row>
    <row r="309" spans="1:153" ht="12.75">
      <c r="A309" s="188"/>
      <c r="EW309" s="72"/>
    </row>
    <row r="310" spans="1:153" ht="12.75">
      <c r="A310" s="188"/>
      <c r="EW310" s="72"/>
    </row>
    <row r="311" spans="1:153" ht="12.75">
      <c r="A311" s="188"/>
      <c r="EW311" s="72"/>
    </row>
    <row r="312" spans="1:153" ht="12.75">
      <c r="A312" s="188"/>
      <c r="EW312" s="72"/>
    </row>
    <row r="313" spans="1:153" ht="12.75">
      <c r="A313" s="188"/>
      <c r="EW313" s="72"/>
    </row>
    <row r="314" spans="1:153" ht="12.75">
      <c r="A314" s="188"/>
      <c r="EW314" s="72"/>
    </row>
    <row r="315" spans="1:153" ht="12.75">
      <c r="A315" s="188"/>
      <c r="EW315" s="72"/>
    </row>
    <row r="316" spans="1:153" ht="12.75">
      <c r="A316" s="188"/>
      <c r="EW316" s="72"/>
    </row>
    <row r="317" spans="1:153" ht="12.75">
      <c r="A317" s="188"/>
      <c r="EW317" s="72"/>
    </row>
    <row r="318" spans="1:153" ht="12.75">
      <c r="A318" s="188"/>
      <c r="EW318" s="72"/>
    </row>
    <row r="319" spans="1:153" ht="12.75">
      <c r="A319" s="188"/>
      <c r="EW319" s="72"/>
    </row>
    <row r="320" spans="1:153" ht="12.75">
      <c r="A320" s="188"/>
      <c r="EW320" s="72"/>
    </row>
    <row r="321" spans="1:153" ht="12.75">
      <c r="A321" s="188"/>
      <c r="EW321" s="72"/>
    </row>
    <row r="322" spans="1:153" ht="12.75">
      <c r="A322" s="188"/>
      <c r="EW322" s="72"/>
    </row>
    <row r="323" spans="1:153" ht="12.75">
      <c r="A323" s="188"/>
      <c r="EW323" s="72"/>
    </row>
    <row r="324" spans="1:153" ht="12.75">
      <c r="A324" s="188"/>
      <c r="EW324" s="72"/>
    </row>
    <row r="325" spans="1:153" ht="12.75">
      <c r="A325" s="188"/>
      <c r="EW325" s="72"/>
    </row>
    <row r="326" spans="1:153" ht="12.75">
      <c r="A326" s="188"/>
      <c r="EW326" s="72"/>
    </row>
    <row r="327" spans="1:153" ht="12.75">
      <c r="A327" s="188"/>
      <c r="EW327" s="72"/>
    </row>
    <row r="328" spans="1:153" ht="12.75">
      <c r="A328" s="188"/>
      <c r="EW328" s="72"/>
    </row>
    <row r="329" spans="1:153" ht="12.75">
      <c r="A329" s="188"/>
      <c r="EW329" s="72"/>
    </row>
    <row r="330" spans="1:153" ht="12.75">
      <c r="A330" s="188"/>
      <c r="EW330" s="72"/>
    </row>
    <row r="331" spans="1:153" ht="12.75">
      <c r="A331" s="188"/>
      <c r="EW331" s="72"/>
    </row>
    <row r="332" spans="1:153" ht="12.75">
      <c r="A332" s="188"/>
      <c r="EW332" s="72"/>
    </row>
    <row r="333" spans="1:153" ht="12.75">
      <c r="A333" s="188"/>
      <c r="EW333" s="72"/>
    </row>
    <row r="334" spans="1:153" ht="12.75">
      <c r="A334" s="188"/>
      <c r="EW334" s="72"/>
    </row>
    <row r="335" spans="1:153" ht="12.75">
      <c r="A335" s="188"/>
      <c r="EW335" s="72"/>
    </row>
    <row r="336" spans="1:153" ht="12.75">
      <c r="A336" s="188"/>
      <c r="EW336" s="72"/>
    </row>
    <row r="337" spans="1:153" ht="12.75">
      <c r="A337" s="188"/>
      <c r="EW337" s="72"/>
    </row>
    <row r="338" spans="1:153" ht="12.75">
      <c r="A338" s="188"/>
      <c r="EW338" s="72"/>
    </row>
    <row r="339" spans="1:153" ht="12.75">
      <c r="A339" s="188"/>
      <c r="EW339" s="72"/>
    </row>
    <row r="340" spans="1:153" ht="12.75">
      <c r="A340" s="188"/>
      <c r="EW340" s="72"/>
    </row>
    <row r="341" spans="1:153" ht="12.75">
      <c r="A341" s="188"/>
      <c r="EW341" s="72"/>
    </row>
    <row r="342" spans="1:153" ht="12.75">
      <c r="A342" s="188"/>
      <c r="EW342" s="72"/>
    </row>
    <row r="343" spans="1:153" ht="12.75">
      <c r="A343" s="188"/>
      <c r="EW343" s="72"/>
    </row>
    <row r="344" spans="1:153" ht="12.75">
      <c r="A344" s="188"/>
      <c r="EW344" s="72"/>
    </row>
    <row r="345" spans="1:153" ht="12.75">
      <c r="A345" s="188"/>
      <c r="EW345" s="72"/>
    </row>
    <row r="346" spans="1:153" ht="12.75">
      <c r="A346" s="188"/>
      <c r="EW346" s="72"/>
    </row>
    <row r="347" spans="1:153" ht="12.75">
      <c r="A347" s="188"/>
      <c r="EW347" s="72"/>
    </row>
    <row r="348" spans="1:153" ht="12.75">
      <c r="A348" s="188"/>
      <c r="EW348" s="72"/>
    </row>
    <row r="349" spans="1:153" ht="12.75">
      <c r="A349" s="188"/>
      <c r="EW349" s="72"/>
    </row>
    <row r="350" spans="1:153" ht="12.75">
      <c r="A350" s="188"/>
      <c r="EW350" s="72"/>
    </row>
    <row r="351" spans="1:153" ht="12.75">
      <c r="A351" s="188"/>
      <c r="EW351" s="72"/>
    </row>
    <row r="352" spans="1:153" ht="12.75">
      <c r="A352" s="188"/>
      <c r="EW352" s="72"/>
    </row>
    <row r="353" spans="1:153" ht="12.75">
      <c r="A353" s="188"/>
      <c r="EW353" s="72"/>
    </row>
    <row r="354" spans="1:153" ht="12.75">
      <c r="A354" s="188"/>
      <c r="EW354" s="72"/>
    </row>
    <row r="355" spans="1:153" ht="12.75">
      <c r="A355" s="188"/>
      <c r="EW355" s="72"/>
    </row>
    <row r="356" spans="1:153" ht="12.75">
      <c r="A356" s="188"/>
      <c r="EW356" s="72"/>
    </row>
    <row r="357" spans="1:153" ht="12.75">
      <c r="A357" s="188"/>
      <c r="EW357" s="72"/>
    </row>
    <row r="358" spans="1:153" ht="12.75">
      <c r="A358" s="188"/>
      <c r="EW358" s="72"/>
    </row>
    <row r="359" spans="1:153" ht="12.75">
      <c r="A359" s="188"/>
      <c r="EW359" s="72"/>
    </row>
    <row r="360" spans="1:153" ht="12.75">
      <c r="A360" s="188"/>
      <c r="EW360" s="72"/>
    </row>
    <row r="361" spans="1:153" ht="12.75">
      <c r="A361" s="188"/>
      <c r="EW361" s="72"/>
    </row>
    <row r="362" spans="1:153" ht="12.75">
      <c r="A362" s="188"/>
      <c r="EW362" s="72"/>
    </row>
    <row r="363" spans="1:153" ht="12.75">
      <c r="A363" s="188"/>
      <c r="EW363" s="72"/>
    </row>
    <row r="364" spans="1:153" ht="12.75">
      <c r="A364" s="188"/>
      <c r="EW364" s="72"/>
    </row>
    <row r="365" spans="1:153" ht="12.75">
      <c r="A365" s="188"/>
      <c r="EW365" s="72"/>
    </row>
    <row r="366" spans="1:153" ht="12.75">
      <c r="A366" s="188"/>
      <c r="EW366" s="72"/>
    </row>
    <row r="367" spans="1:153" ht="12.75">
      <c r="A367" s="188"/>
      <c r="EW367" s="72"/>
    </row>
    <row r="368" spans="1:153" ht="12.75">
      <c r="A368" s="188"/>
      <c r="EW368" s="72"/>
    </row>
    <row r="369" spans="1:153" ht="12.75">
      <c r="A369" s="188"/>
      <c r="EW369" s="72"/>
    </row>
    <row r="370" spans="1:153" ht="12.75">
      <c r="A370" s="188"/>
      <c r="EW370" s="72"/>
    </row>
    <row r="371" spans="1:153" ht="12.75">
      <c r="A371" s="188"/>
      <c r="EW371" s="72"/>
    </row>
    <row r="372" spans="1:153" ht="12.75">
      <c r="A372" s="188"/>
      <c r="EW372" s="72"/>
    </row>
    <row r="373" spans="1:153" ht="12.75">
      <c r="A373" s="188"/>
      <c r="EW373" s="72"/>
    </row>
    <row r="374" spans="1:153" ht="12.75">
      <c r="A374" s="188"/>
      <c r="EW374" s="72"/>
    </row>
    <row r="375" spans="1:153" ht="12.75">
      <c r="A375" s="188"/>
      <c r="EW375" s="72"/>
    </row>
    <row r="376" spans="1:153" ht="12.75">
      <c r="A376" s="188"/>
      <c r="EW376" s="72"/>
    </row>
    <row r="377" spans="1:153" ht="12.75">
      <c r="A377" s="188"/>
      <c r="EW377" s="72"/>
    </row>
    <row r="378" spans="1:153" ht="12.75">
      <c r="A378" s="188"/>
      <c r="EW378" s="72"/>
    </row>
    <row r="379" spans="1:153" ht="12.75">
      <c r="A379" s="188"/>
      <c r="EW379" s="72"/>
    </row>
    <row r="380" spans="1:153" ht="12.75">
      <c r="A380" s="188"/>
      <c r="EW380" s="72"/>
    </row>
    <row r="381" spans="1:153" ht="12.75">
      <c r="A381" s="188"/>
      <c r="EW381" s="72"/>
    </row>
    <row r="382" spans="1:153" ht="12.75">
      <c r="A382" s="188"/>
      <c r="EW382" s="72"/>
    </row>
    <row r="383" spans="1:153" ht="12.75">
      <c r="A383" s="188"/>
      <c r="EW383" s="72"/>
    </row>
    <row r="384" spans="1:153" ht="12.75">
      <c r="A384" s="188"/>
      <c r="EW384" s="72"/>
    </row>
    <row r="385" spans="1:153" ht="12.75">
      <c r="A385" s="188"/>
      <c r="EW385" s="72"/>
    </row>
    <row r="386" spans="1:153" ht="12.75">
      <c r="A386" s="188"/>
      <c r="EW386" s="72"/>
    </row>
    <row r="387" spans="1:153" ht="12.75">
      <c r="A387" s="188"/>
      <c r="EW387" s="72"/>
    </row>
    <row r="388" spans="1:153" ht="12.75">
      <c r="A388" s="188"/>
      <c r="EW388" s="72"/>
    </row>
    <row r="389" spans="1:153" ht="12.75">
      <c r="A389" s="188"/>
      <c r="EW389" s="72"/>
    </row>
    <row r="390" spans="1:153" ht="12.75">
      <c r="A390" s="188"/>
      <c r="EW390" s="72"/>
    </row>
    <row r="391" spans="1:153" ht="12.75">
      <c r="A391" s="188"/>
      <c r="EW391" s="72"/>
    </row>
    <row r="392" spans="1:153" ht="12.75">
      <c r="A392" s="188"/>
      <c r="EW392" s="72"/>
    </row>
    <row r="393" spans="1:153" ht="12.75">
      <c r="A393" s="188"/>
      <c r="EW393" s="72"/>
    </row>
    <row r="394" spans="1:153" ht="12.75">
      <c r="A394" s="188"/>
      <c r="EW394" s="72"/>
    </row>
    <row r="395" spans="1:153" ht="12.75">
      <c r="A395" s="188"/>
      <c r="EW395" s="72"/>
    </row>
    <row r="396" spans="1:153" ht="12.75">
      <c r="A396" s="188"/>
      <c r="EW396" s="72"/>
    </row>
    <row r="397" spans="1:153" ht="12.75">
      <c r="A397" s="188"/>
      <c r="EW397" s="72"/>
    </row>
    <row r="398" spans="1:153" ht="12.75">
      <c r="A398" s="188"/>
      <c r="EW398" s="72"/>
    </row>
    <row r="399" spans="1:153" ht="12.75">
      <c r="A399" s="188"/>
      <c r="EW399" s="72"/>
    </row>
    <row r="400" spans="1:153" ht="12.75">
      <c r="A400" s="188"/>
      <c r="EW400" s="72"/>
    </row>
    <row r="401" spans="1:153" ht="12.75">
      <c r="A401" s="188"/>
      <c r="EW401" s="72"/>
    </row>
    <row r="402" spans="1:153" ht="12.75">
      <c r="A402" s="188"/>
      <c r="EW402" s="72"/>
    </row>
    <row r="403" spans="1:153" ht="12.75">
      <c r="A403" s="188"/>
      <c r="EW403" s="72"/>
    </row>
    <row r="404" spans="1:153" ht="12.75">
      <c r="A404" s="188"/>
      <c r="EW404" s="72"/>
    </row>
    <row r="405" spans="1:153" ht="12.75">
      <c r="A405" s="188"/>
      <c r="EW405" s="72"/>
    </row>
    <row r="406" spans="1:153" ht="12.75">
      <c r="A406" s="188"/>
      <c r="EW406" s="72"/>
    </row>
    <row r="407" spans="1:153" ht="12.75">
      <c r="A407" s="188"/>
      <c r="EW407" s="72"/>
    </row>
    <row r="408" spans="1:153" ht="12.75">
      <c r="A408" s="188"/>
      <c r="EW408" s="72"/>
    </row>
    <row r="409" spans="1:153" ht="12.75">
      <c r="A409" s="188"/>
      <c r="EW409" s="72"/>
    </row>
    <row r="410" spans="1:153" ht="12.75">
      <c r="A410" s="188"/>
      <c r="EW410" s="72"/>
    </row>
    <row r="411" spans="1:153" ht="12.75">
      <c r="A411" s="188"/>
      <c r="EW411" s="72"/>
    </row>
    <row r="412" spans="1:153" ht="12.75">
      <c r="A412" s="188"/>
      <c r="EW412" s="72"/>
    </row>
    <row r="413" spans="1:153" ht="12.75">
      <c r="A413" s="188"/>
      <c r="EW413" s="72"/>
    </row>
    <row r="414" spans="1:153" ht="12.75">
      <c r="A414" s="188"/>
      <c r="EW414" s="72"/>
    </row>
    <row r="415" spans="1:153" ht="12.75">
      <c r="A415" s="188"/>
      <c r="EW415" s="72"/>
    </row>
    <row r="416" spans="1:153" ht="12.75">
      <c r="A416" s="188"/>
      <c r="EW416" s="72"/>
    </row>
    <row r="417" spans="1:153" ht="12.75">
      <c r="A417" s="188"/>
      <c r="EW417" s="72"/>
    </row>
    <row r="418" spans="1:153" ht="12.75">
      <c r="A418" s="188"/>
      <c r="EW418" s="72"/>
    </row>
    <row r="419" spans="1:153" ht="12.75">
      <c r="A419" s="188"/>
      <c r="EW419" s="72"/>
    </row>
    <row r="420" spans="1:153" ht="12.75">
      <c r="A420" s="188"/>
      <c r="EW420" s="72"/>
    </row>
    <row r="421" spans="1:153" ht="12.75">
      <c r="A421" s="188"/>
      <c r="EW421" s="72"/>
    </row>
    <row r="422" spans="1:153" ht="12.75">
      <c r="A422" s="188"/>
      <c r="EW422" s="72"/>
    </row>
    <row r="423" spans="1:153" ht="12.75">
      <c r="A423" s="188"/>
      <c r="EW423" s="72"/>
    </row>
    <row r="424" spans="1:153" ht="12.75">
      <c r="A424" s="188"/>
      <c r="EW424" s="72"/>
    </row>
    <row r="425" spans="1:153" ht="12.75">
      <c r="A425" s="188"/>
      <c r="EW425" s="72"/>
    </row>
    <row r="426" spans="1:153" ht="12.75">
      <c r="A426" s="188"/>
      <c r="EW426" s="72"/>
    </row>
    <row r="427" spans="1:153" ht="12.75">
      <c r="A427" s="188"/>
      <c r="EW427" s="72"/>
    </row>
    <row r="428" spans="1:153" ht="12.75">
      <c r="A428" s="188"/>
      <c r="EW428" s="72"/>
    </row>
    <row r="429" spans="1:153" ht="12.75">
      <c r="A429" s="188"/>
      <c r="EW429" s="72"/>
    </row>
    <row r="430" spans="1:153" ht="12.75">
      <c r="A430" s="188"/>
      <c r="EW430" s="72"/>
    </row>
    <row r="431" spans="1:153" ht="12.75">
      <c r="A431" s="188"/>
      <c r="EW431" s="72"/>
    </row>
    <row r="432" spans="1:153" ht="12.75">
      <c r="A432" s="188"/>
      <c r="EW432" s="72"/>
    </row>
    <row r="433" spans="1:153" ht="12.75">
      <c r="A433" s="188"/>
      <c r="EW433" s="72"/>
    </row>
    <row r="434" spans="1:153" ht="12.75">
      <c r="A434" s="188"/>
      <c r="EW434" s="72"/>
    </row>
    <row r="435" spans="1:153" ht="12.75">
      <c r="A435" s="188"/>
      <c r="EW435" s="72"/>
    </row>
    <row r="436" spans="1:153" ht="12.75">
      <c r="A436" s="188"/>
      <c r="EW436" s="72"/>
    </row>
    <row r="437" spans="1:153" ht="12.75">
      <c r="A437" s="188"/>
      <c r="EW437" s="72"/>
    </row>
    <row r="438" spans="1:153" ht="12.75">
      <c r="A438" s="188"/>
      <c r="EW438" s="72"/>
    </row>
    <row r="439" spans="1:153" ht="12.75">
      <c r="A439" s="188"/>
      <c r="EW439" s="72"/>
    </row>
    <row r="440" spans="1:153" ht="12.75">
      <c r="A440" s="188"/>
      <c r="EW440" s="72"/>
    </row>
    <row r="441" spans="1:153" ht="12.75">
      <c r="A441" s="188"/>
      <c r="EW441" s="72"/>
    </row>
    <row r="442" spans="1:153" ht="12.75">
      <c r="A442" s="188"/>
      <c r="EW442" s="72"/>
    </row>
    <row r="443" spans="1:153" ht="12.75">
      <c r="A443" s="188"/>
      <c r="EW443" s="72"/>
    </row>
    <row r="444" spans="1:153" ht="12.75">
      <c r="A444" s="188"/>
      <c r="EW444" s="72"/>
    </row>
    <row r="445" spans="1:153" ht="12.75">
      <c r="A445" s="188"/>
      <c r="EW445" s="72"/>
    </row>
    <row r="446" spans="1:153" ht="12.75">
      <c r="A446" s="188"/>
      <c r="EW446" s="72"/>
    </row>
    <row r="447" spans="1:153" ht="12.75">
      <c r="A447" s="188"/>
      <c r="EW447" s="72"/>
    </row>
    <row r="448" spans="1:153" ht="12.75">
      <c r="A448" s="188"/>
      <c r="EW448" s="72"/>
    </row>
    <row r="449" spans="1:153" ht="12.75">
      <c r="A449" s="188"/>
      <c r="EW449" s="72"/>
    </row>
    <row r="450" spans="1:153" ht="12.75">
      <c r="A450" s="188"/>
      <c r="EW450" s="72"/>
    </row>
    <row r="451" spans="1:153" ht="12.75">
      <c r="A451" s="188"/>
      <c r="EW451" s="72"/>
    </row>
    <row r="452" spans="1:153" ht="12.75">
      <c r="A452" s="188"/>
      <c r="EW452" s="72"/>
    </row>
    <row r="453" spans="1:153" ht="12.75">
      <c r="A453" s="188"/>
      <c r="EW453" s="72"/>
    </row>
    <row r="454" spans="1:153" ht="12.75">
      <c r="A454" s="188"/>
      <c r="EW454" s="72"/>
    </row>
    <row r="455" spans="1:153" ht="12.75">
      <c r="A455" s="188"/>
      <c r="EW455" s="72"/>
    </row>
    <row r="456" spans="1:153" ht="12.75">
      <c r="A456" s="188"/>
      <c r="EW456" s="72"/>
    </row>
    <row r="457" spans="1:153" ht="12.75">
      <c r="A457" s="188"/>
      <c r="EW457" s="72"/>
    </row>
    <row r="458" spans="1:153" ht="12.75">
      <c r="A458" s="188"/>
      <c r="EW458" s="72"/>
    </row>
    <row r="459" spans="1:153" ht="12.75">
      <c r="A459" s="188"/>
      <c r="EW459" s="72"/>
    </row>
    <row r="460" spans="1:153" ht="12.75">
      <c r="A460" s="188"/>
      <c r="EW460" s="72"/>
    </row>
    <row r="461" spans="1:153" ht="12.75">
      <c r="A461" s="188"/>
      <c r="EW461" s="72"/>
    </row>
    <row r="462" spans="1:153" ht="12.75">
      <c r="A462" s="188"/>
      <c r="EW462" s="72"/>
    </row>
    <row r="463" spans="1:153" ht="12.75">
      <c r="A463" s="188"/>
      <c r="EW463" s="72"/>
    </row>
    <row r="464" spans="1:153" ht="12.75">
      <c r="A464" s="188"/>
      <c r="EW464" s="72"/>
    </row>
    <row r="465" spans="1:153" ht="12.75">
      <c r="A465" s="188"/>
      <c r="EW465" s="72"/>
    </row>
    <row r="466" spans="1:153" ht="12.75">
      <c r="A466" s="188"/>
      <c r="EW466" s="72"/>
    </row>
    <row r="467" spans="1:153" ht="12.75">
      <c r="A467" s="188"/>
      <c r="EW467" s="72"/>
    </row>
    <row r="468" spans="1:153" ht="12.75">
      <c r="A468" s="188"/>
      <c r="EW468" s="72"/>
    </row>
    <row r="469" spans="1:153" ht="12.75">
      <c r="A469" s="188"/>
      <c r="EW469" s="72"/>
    </row>
    <row r="470" spans="1:153" ht="12.75">
      <c r="A470" s="188"/>
      <c r="EW470" s="72"/>
    </row>
    <row r="471" spans="1:153" ht="12.75">
      <c r="A471" s="188"/>
      <c r="EW471" s="72"/>
    </row>
    <row r="472" spans="1:153" ht="12.75">
      <c r="A472" s="188"/>
      <c r="EW472" s="72"/>
    </row>
    <row r="473" spans="1:153" ht="12.75">
      <c r="A473" s="188"/>
      <c r="EW473" s="72"/>
    </row>
    <row r="474" spans="1:153" ht="12.75">
      <c r="A474" s="188"/>
      <c r="EW474" s="72"/>
    </row>
    <row r="475" spans="1:153" ht="12.75">
      <c r="A475" s="188"/>
      <c r="EW475" s="72"/>
    </row>
    <row r="476" spans="1:153" ht="12.75">
      <c r="A476" s="188"/>
      <c r="EW476" s="72"/>
    </row>
    <row r="477" spans="1:153" ht="12.75">
      <c r="A477" s="188"/>
      <c r="EW477" s="72"/>
    </row>
    <row r="478" spans="1:153" ht="12.75">
      <c r="A478" s="188"/>
      <c r="EW478" s="72"/>
    </row>
    <row r="479" spans="1:153" ht="12.75">
      <c r="A479" s="188"/>
      <c r="EW479" s="72"/>
    </row>
    <row r="480" spans="1:153" ht="12.75">
      <c r="A480" s="188"/>
      <c r="EW480" s="72"/>
    </row>
    <row r="481" spans="1:153" ht="12.75">
      <c r="A481" s="188"/>
      <c r="EW481" s="72"/>
    </row>
    <row r="482" spans="1:153" ht="12.75">
      <c r="A482" s="188"/>
      <c r="EW482" s="72"/>
    </row>
    <row r="483" spans="1:153" ht="12.75">
      <c r="A483" s="188"/>
      <c r="EW483" s="72"/>
    </row>
    <row r="484" spans="1:153" ht="12.75">
      <c r="A484" s="188"/>
      <c r="EW484" s="72"/>
    </row>
    <row r="485" spans="1:153" ht="12.75">
      <c r="A485" s="188"/>
      <c r="EW485" s="72"/>
    </row>
    <row r="486" spans="1:153" ht="12.75">
      <c r="A486" s="188"/>
      <c r="EW486" s="72"/>
    </row>
    <row r="487" spans="1:153" ht="12.75">
      <c r="A487" s="188"/>
      <c r="EW487" s="72"/>
    </row>
    <row r="488" spans="1:153" ht="12.75">
      <c r="A488" s="188"/>
      <c r="EW488" s="72"/>
    </row>
    <row r="489" spans="1:153" ht="12.75">
      <c r="A489" s="188"/>
      <c r="EW489" s="72"/>
    </row>
    <row r="490" spans="1:153" ht="12.75">
      <c r="A490" s="188"/>
      <c r="EW490" s="72"/>
    </row>
    <row r="491" spans="1:153" ht="12.75">
      <c r="A491" s="188"/>
      <c r="EW491" s="72"/>
    </row>
    <row r="492" spans="1:153" ht="12.75">
      <c r="A492" s="188"/>
      <c r="EW492" s="72"/>
    </row>
    <row r="493" spans="1:153" ht="12.75">
      <c r="A493" s="188"/>
      <c r="EW493" s="72"/>
    </row>
    <row r="494" spans="1:153" ht="12.75">
      <c r="A494" s="188"/>
      <c r="EW494" s="72"/>
    </row>
    <row r="495" spans="1:153" ht="12.75">
      <c r="A495" s="188"/>
      <c r="EW495" s="72"/>
    </row>
    <row r="496" spans="1:153" ht="12.75">
      <c r="A496" s="188"/>
      <c r="EW496" s="72"/>
    </row>
    <row r="497" spans="1:153" ht="12.75">
      <c r="A497" s="188"/>
      <c r="EW497" s="72"/>
    </row>
    <row r="498" spans="1:153" ht="12.75">
      <c r="A498" s="188"/>
      <c r="EW498" s="72"/>
    </row>
    <row r="499" spans="1:153" ht="12.75">
      <c r="A499" s="188"/>
      <c r="EW499" s="72"/>
    </row>
    <row r="500" spans="1:153" ht="12.75">
      <c r="A500" s="188"/>
      <c r="EW500" s="72"/>
    </row>
    <row r="501" spans="1:153" ht="12.75">
      <c r="A501" s="188"/>
      <c r="EW501" s="72"/>
    </row>
    <row r="502" spans="1:153" ht="12.75">
      <c r="A502" s="188"/>
      <c r="EW502" s="72"/>
    </row>
    <row r="503" spans="1:153" ht="12.75">
      <c r="A503" s="188"/>
      <c r="EW503" s="72"/>
    </row>
    <row r="504" spans="1:153" ht="12.75">
      <c r="A504" s="188"/>
      <c r="EW504" s="72"/>
    </row>
    <row r="505" spans="1:153" ht="12.75">
      <c r="A505" s="188"/>
      <c r="EW505" s="72"/>
    </row>
    <row r="506" spans="1:153" ht="12.75">
      <c r="A506" s="188"/>
      <c r="EW506" s="72"/>
    </row>
    <row r="507" spans="1:153" ht="12.75">
      <c r="A507" s="188"/>
      <c r="EW507" s="72"/>
    </row>
    <row r="508" spans="1:153" ht="12.75">
      <c r="A508" s="188"/>
      <c r="EW508" s="72"/>
    </row>
    <row r="509" spans="1:153" ht="12.75">
      <c r="A509" s="188"/>
      <c r="EW509" s="72"/>
    </row>
    <row r="510" spans="1:153" ht="12.75">
      <c r="A510" s="188"/>
      <c r="EW510" s="72"/>
    </row>
    <row r="511" spans="1:153" ht="12.75">
      <c r="A511" s="188"/>
      <c r="EW511" s="72"/>
    </row>
    <row r="512" spans="1:153" ht="12.75">
      <c r="A512" s="188"/>
      <c r="EW512" s="72"/>
    </row>
    <row r="513" spans="1:153" ht="12.75">
      <c r="A513" s="188"/>
      <c r="EW513" s="72"/>
    </row>
    <row r="514" spans="1:153" ht="12.75">
      <c r="A514" s="188"/>
      <c r="EW514" s="72"/>
    </row>
    <row r="515" spans="1:153" ht="12.75">
      <c r="A515" s="188"/>
      <c r="EW515" s="72"/>
    </row>
    <row r="516" spans="1:153" ht="12.75">
      <c r="A516" s="188"/>
      <c r="EW516" s="72"/>
    </row>
    <row r="517" spans="1:153" ht="12.75">
      <c r="A517" s="188"/>
      <c r="EW517" s="72"/>
    </row>
    <row r="518" spans="1:153" ht="12.75">
      <c r="A518" s="188"/>
      <c r="EW518" s="72"/>
    </row>
    <row r="519" spans="1:153" ht="12.75">
      <c r="A519" s="188"/>
      <c r="EW519" s="72"/>
    </row>
    <row r="520" spans="1:153" ht="12.75">
      <c r="A520" s="188"/>
      <c r="EW520" s="72"/>
    </row>
    <row r="521" spans="1:153" ht="12.75">
      <c r="A521" s="188"/>
      <c r="EW521" s="72"/>
    </row>
    <row r="522" spans="1:153" ht="12.75">
      <c r="A522" s="188"/>
      <c r="EW522" s="72"/>
    </row>
    <row r="523" spans="1:153" ht="12.75">
      <c r="A523" s="188"/>
      <c r="EW523" s="72"/>
    </row>
    <row r="524" spans="1:153" ht="12.75">
      <c r="A524" s="188"/>
      <c r="EW524" s="72"/>
    </row>
    <row r="525" spans="1:153" ht="12.75">
      <c r="A525" s="188"/>
      <c r="EW525" s="72"/>
    </row>
    <row r="526" spans="1:153" ht="12.75">
      <c r="A526" s="188"/>
      <c r="EW526" s="72"/>
    </row>
    <row r="527" spans="1:153" ht="12.75">
      <c r="A527" s="188"/>
      <c r="EW527" s="72"/>
    </row>
    <row r="528" spans="1:153" ht="12.75">
      <c r="A528" s="188"/>
      <c r="EW528" s="72"/>
    </row>
    <row r="529" spans="1:153" ht="12.75">
      <c r="A529" s="188"/>
      <c r="EW529" s="72"/>
    </row>
    <row r="530" spans="1:153" ht="12.75">
      <c r="A530" s="188"/>
      <c r="EW530" s="72"/>
    </row>
    <row r="531" spans="1:153" ht="12.75">
      <c r="A531" s="188"/>
      <c r="EW531" s="72"/>
    </row>
    <row r="532" spans="1:153" ht="12.75">
      <c r="A532" s="188"/>
      <c r="EW532" s="72"/>
    </row>
    <row r="533" spans="1:153" ht="12.75">
      <c r="A533" s="188"/>
      <c r="EW533" s="72"/>
    </row>
    <row r="534" spans="1:153" ht="12.75">
      <c r="A534" s="188"/>
      <c r="EW534" s="72"/>
    </row>
    <row r="535" spans="1:153" ht="12.75">
      <c r="A535" s="188"/>
      <c r="EW535" s="72"/>
    </row>
    <row r="536" spans="1:153" ht="12.75">
      <c r="A536" s="188"/>
      <c r="EW536" s="72"/>
    </row>
    <row r="537" spans="1:153" ht="12.75">
      <c r="A537" s="188"/>
      <c r="EW537" s="72"/>
    </row>
    <row r="538" spans="1:153" ht="12.75">
      <c r="A538" s="188"/>
      <c r="EW538" s="72"/>
    </row>
    <row r="539" spans="1:153" ht="12.75">
      <c r="A539" s="188"/>
      <c r="EW539" s="72"/>
    </row>
    <row r="540" spans="1:153" ht="12.75">
      <c r="A540" s="188"/>
      <c r="EW540" s="72"/>
    </row>
    <row r="541" spans="1:153" ht="12.75">
      <c r="A541" s="188"/>
      <c r="EW541" s="72"/>
    </row>
    <row r="542" spans="1:153" ht="12.75">
      <c r="A542" s="188"/>
      <c r="EW542" s="72"/>
    </row>
    <row r="543" spans="1:153" ht="12.75">
      <c r="A543" s="188"/>
      <c r="EW543" s="72"/>
    </row>
    <row r="544" spans="1:153" ht="12.75">
      <c r="A544" s="188"/>
      <c r="EW544" s="72"/>
    </row>
    <row r="545" spans="1:153" ht="12.75">
      <c r="A545" s="188"/>
      <c r="EW545" s="72"/>
    </row>
    <row r="546" spans="1:153" ht="12.75">
      <c r="A546" s="188"/>
      <c r="EW546" s="72"/>
    </row>
    <row r="547" spans="1:153" ht="12.75">
      <c r="A547" s="188"/>
      <c r="EW547" s="72"/>
    </row>
    <row r="548" spans="1:153" ht="12.75">
      <c r="A548" s="188"/>
      <c r="EW548" s="72"/>
    </row>
    <row r="549" spans="1:153" ht="12.75">
      <c r="A549" s="188"/>
      <c r="EW549" s="72"/>
    </row>
    <row r="550" spans="1:153" ht="12.75">
      <c r="A550" s="188"/>
      <c r="EW550" s="72"/>
    </row>
    <row r="551" spans="1:153" ht="12.75">
      <c r="A551" s="188"/>
      <c r="EW551" s="72"/>
    </row>
    <row r="552" spans="1:153" ht="12.75">
      <c r="A552" s="188"/>
      <c r="EW552" s="72"/>
    </row>
    <row r="553" spans="1:153" ht="12.75">
      <c r="A553" s="188"/>
      <c r="EW553" s="72"/>
    </row>
    <row r="554" spans="1:153" ht="12.75">
      <c r="A554" s="188"/>
      <c r="EW554" s="72"/>
    </row>
    <row r="555" spans="1:153" ht="12.75">
      <c r="A555" s="188"/>
      <c r="EW555" s="72"/>
    </row>
    <row r="556" spans="1:153" ht="12.75">
      <c r="A556" s="188"/>
      <c r="EW556" s="72"/>
    </row>
    <row r="557" spans="1:153" ht="12.75">
      <c r="A557" s="188"/>
      <c r="EW557" s="72"/>
    </row>
    <row r="558" spans="1:153" ht="12.75">
      <c r="A558" s="188"/>
      <c r="EW558" s="72"/>
    </row>
    <row r="559" spans="1:153" ht="12.75">
      <c r="A559" s="188"/>
      <c r="EW559" s="72"/>
    </row>
    <row r="560" spans="1:153" ht="12.75">
      <c r="A560" s="188"/>
      <c r="EW560" s="72"/>
    </row>
    <row r="561" spans="1:153" ht="12.75">
      <c r="A561" s="188"/>
      <c r="EW561" s="72"/>
    </row>
    <row r="562" spans="1:153" ht="12.75">
      <c r="A562" s="188"/>
      <c r="EW562" s="72"/>
    </row>
    <row r="563" spans="1:153" ht="12.75">
      <c r="A563" s="188"/>
      <c r="EW563" s="72"/>
    </row>
    <row r="564" spans="1:153" ht="12.75">
      <c r="A564" s="188"/>
      <c r="EW564" s="72"/>
    </row>
    <row r="565" spans="1:153" ht="12.75">
      <c r="A565" s="188"/>
      <c r="EW565" s="72"/>
    </row>
    <row r="566" spans="1:153" ht="12.75">
      <c r="A566" s="188"/>
      <c r="EW566" s="72"/>
    </row>
    <row r="567" spans="1:153" ht="12.75">
      <c r="A567" s="188"/>
      <c r="EW567" s="72"/>
    </row>
    <row r="568" spans="1:153" ht="12.75">
      <c r="A568" s="188"/>
      <c r="EW568" s="72"/>
    </row>
    <row r="569" spans="1:153" ht="12.75">
      <c r="A569" s="188"/>
      <c r="EW569" s="72"/>
    </row>
    <row r="570" spans="1:153" ht="12.75">
      <c r="A570" s="188"/>
      <c r="EW570" s="72"/>
    </row>
    <row r="571" spans="1:153" ht="12.75">
      <c r="A571" s="188"/>
      <c r="EW571" s="72"/>
    </row>
    <row r="572" spans="1:153" ht="12.75">
      <c r="A572" s="188"/>
      <c r="EW572" s="72"/>
    </row>
    <row r="573" spans="1:153" ht="12.75">
      <c r="A573" s="188"/>
      <c r="EW573" s="72"/>
    </row>
    <row r="574" spans="1:153" ht="12.75">
      <c r="A574" s="188"/>
      <c r="EW574" s="72"/>
    </row>
    <row r="575" spans="1:153" ht="12.75">
      <c r="A575" s="188"/>
      <c r="EW575" s="72"/>
    </row>
    <row r="576" spans="1:153" ht="12.75">
      <c r="A576" s="188"/>
      <c r="EW576" s="72"/>
    </row>
    <row r="577" spans="1:153" ht="12.75">
      <c r="A577" s="188"/>
      <c r="EW577" s="72"/>
    </row>
    <row r="578" spans="1:153" ht="12.75">
      <c r="A578" s="188"/>
      <c r="EW578" s="72"/>
    </row>
    <row r="579" spans="1:153" ht="12.75">
      <c r="A579" s="188"/>
      <c r="EW579" s="72"/>
    </row>
    <row r="580" spans="1:153" ht="12.75">
      <c r="A580" s="188"/>
      <c r="EW580" s="72"/>
    </row>
    <row r="581" spans="1:153" ht="12.75">
      <c r="A581" s="188"/>
      <c r="EW581" s="72"/>
    </row>
    <row r="582" spans="1:153" ht="12.75">
      <c r="A582" s="188"/>
      <c r="EW582" s="72"/>
    </row>
    <row r="583" spans="1:153" ht="12.75">
      <c r="A583" s="188"/>
      <c r="EW583" s="72"/>
    </row>
    <row r="584" spans="1:153" ht="12.75">
      <c r="A584" s="188"/>
      <c r="EW584" s="72"/>
    </row>
    <row r="585" spans="1:153" ht="12.75">
      <c r="A585" s="188"/>
      <c r="EW585" s="72"/>
    </row>
    <row r="586" spans="1:153" ht="12.75">
      <c r="A586" s="188"/>
      <c r="EW586" s="72"/>
    </row>
    <row r="587" spans="1:153" ht="12.75">
      <c r="A587" s="188"/>
      <c r="EW587" s="72"/>
    </row>
    <row r="588" spans="1:153" ht="12.75">
      <c r="A588" s="188"/>
      <c r="EW588" s="72"/>
    </row>
    <row r="589" spans="1:153" ht="12.75">
      <c r="A589" s="188"/>
      <c r="EW589" s="72"/>
    </row>
    <row r="590" spans="1:153" ht="12.75">
      <c r="A590" s="188"/>
      <c r="EW590" s="72"/>
    </row>
    <row r="591" spans="1:153" ht="12.75">
      <c r="A591" s="188"/>
      <c r="EW591" s="72"/>
    </row>
    <row r="592" spans="1:153" ht="12.75">
      <c r="A592" s="188"/>
      <c r="EW592" s="72"/>
    </row>
    <row r="593" spans="1:153" ht="12.75">
      <c r="A593" s="188"/>
      <c r="EW593" s="72"/>
    </row>
    <row r="594" spans="1:153" ht="12.75">
      <c r="A594" s="188"/>
      <c r="EW594" s="72"/>
    </row>
    <row r="595" spans="1:153" ht="12.75">
      <c r="A595" s="188"/>
      <c r="EW595" s="72"/>
    </row>
    <row r="596" spans="1:153" ht="12.75">
      <c r="A596" s="188"/>
      <c r="EW596" s="72"/>
    </row>
    <row r="597" spans="1:153" ht="12.75">
      <c r="A597" s="188"/>
      <c r="EW597" s="72"/>
    </row>
    <row r="598" spans="1:153" ht="12.75">
      <c r="A598" s="188"/>
      <c r="EW598" s="72"/>
    </row>
    <row r="599" spans="1:153" ht="12.75">
      <c r="A599" s="188"/>
      <c r="EW599" s="72"/>
    </row>
    <row r="600" spans="1:153" ht="12.75">
      <c r="A600" s="188"/>
      <c r="EW600" s="72"/>
    </row>
    <row r="601" spans="1:153" ht="12.75">
      <c r="A601" s="188"/>
      <c r="EW601" s="72"/>
    </row>
    <row r="602" spans="1:153" ht="12.75">
      <c r="A602" s="188"/>
      <c r="EW602" s="72"/>
    </row>
    <row r="603" spans="1:153" ht="12.75">
      <c r="A603" s="188"/>
      <c r="EW603" s="72"/>
    </row>
    <row r="604" spans="1:153" ht="12.75">
      <c r="A604" s="188"/>
      <c r="EW604" s="72"/>
    </row>
    <row r="605" spans="1:153" ht="12.75">
      <c r="A605" s="188"/>
      <c r="EW605" s="72"/>
    </row>
    <row r="606" spans="1:153" ht="12.75">
      <c r="A606" s="188"/>
      <c r="EW606" s="72"/>
    </row>
    <row r="607" spans="1:153" ht="12.75">
      <c r="A607" s="188"/>
      <c r="EW607" s="72"/>
    </row>
    <row r="608" spans="1:153" ht="12.75">
      <c r="A608" s="188"/>
      <c r="EW608" s="72"/>
    </row>
    <row r="609" spans="1:153" ht="12.75">
      <c r="A609" s="188"/>
      <c r="EW609" s="72"/>
    </row>
    <row r="610" spans="1:153" ht="12.75">
      <c r="A610" s="188"/>
      <c r="EW610" s="72"/>
    </row>
    <row r="611" spans="1:153" ht="12.75">
      <c r="A611" s="188"/>
      <c r="EW611" s="72"/>
    </row>
    <row r="612" spans="1:153" ht="12.75">
      <c r="A612" s="188"/>
      <c r="EW612" s="72"/>
    </row>
    <row r="613" spans="1:153" ht="12.75">
      <c r="A613" s="188"/>
      <c r="EW613" s="72"/>
    </row>
    <row r="614" spans="1:153" ht="12.75">
      <c r="A614" s="188"/>
      <c r="EW614" s="72"/>
    </row>
    <row r="615" spans="1:153" ht="12.75">
      <c r="A615" s="188"/>
      <c r="EW615" s="72"/>
    </row>
    <row r="616" spans="1:153" ht="12.75">
      <c r="A616" s="188"/>
      <c r="EW616" s="72"/>
    </row>
    <row r="617" spans="1:153" ht="12.75">
      <c r="A617" s="188"/>
      <c r="EW617" s="72"/>
    </row>
    <row r="618" spans="1:153" ht="12.75">
      <c r="A618" s="188"/>
      <c r="EW618" s="72"/>
    </row>
    <row r="619" spans="1:153" ht="12.75">
      <c r="A619" s="188"/>
      <c r="EW619" s="72"/>
    </row>
    <row r="620" spans="1:153" ht="12.75">
      <c r="A620" s="188"/>
      <c r="EW620" s="72"/>
    </row>
    <row r="621" spans="1:153" ht="12.75">
      <c r="A621" s="188"/>
      <c r="EW621" s="72"/>
    </row>
    <row r="622" spans="1:153" ht="12.75">
      <c r="A622" s="188"/>
      <c r="EW622" s="72"/>
    </row>
    <row r="623" spans="1:153" ht="12.75">
      <c r="A623" s="188"/>
      <c r="EW623" s="72"/>
    </row>
    <row r="624" spans="1:153" ht="12.75">
      <c r="A624" s="188"/>
      <c r="EW624" s="72"/>
    </row>
    <row r="625" spans="1:153" ht="12.75">
      <c r="A625" s="188"/>
      <c r="EW625" s="72"/>
    </row>
    <row r="626" spans="1:153" ht="12.75">
      <c r="A626" s="188"/>
      <c r="EW626" s="72"/>
    </row>
    <row r="627" spans="1:153" ht="12.75">
      <c r="A627" s="188"/>
      <c r="EW627" s="72"/>
    </row>
    <row r="628" spans="1:153" ht="12.75">
      <c r="A628" s="188"/>
      <c r="EW628" s="72"/>
    </row>
    <row r="629" spans="1:153" ht="12.75">
      <c r="A629" s="188"/>
      <c r="EW629" s="72"/>
    </row>
    <row r="630" spans="1:153" ht="12.75">
      <c r="A630" s="188"/>
      <c r="EW630" s="72"/>
    </row>
    <row r="631" spans="1:153" ht="12.75">
      <c r="A631" s="188"/>
      <c r="EW631" s="72"/>
    </row>
    <row r="632" spans="1:153" ht="12.75">
      <c r="A632" s="188"/>
      <c r="EW632" s="72"/>
    </row>
    <row r="633" spans="1:153" ht="12.75">
      <c r="A633" s="188"/>
      <c r="EW633" s="72"/>
    </row>
    <row r="634" spans="1:153" ht="12.75">
      <c r="A634" s="188"/>
      <c r="EW634" s="72"/>
    </row>
    <row r="635" spans="1:153" ht="12.75">
      <c r="A635" s="188"/>
      <c r="EW635" s="72"/>
    </row>
    <row r="636" spans="1:153" ht="12.75">
      <c r="A636" s="188"/>
      <c r="EW636" s="72"/>
    </row>
    <row r="637" spans="1:153" ht="12.75">
      <c r="A637" s="188"/>
      <c r="EW637" s="72"/>
    </row>
    <row r="638" spans="1:153" ht="12.75">
      <c r="A638" s="188"/>
      <c r="EW638" s="72"/>
    </row>
    <row r="639" spans="1:153" ht="12.75">
      <c r="A639" s="188"/>
      <c r="EW639" s="72"/>
    </row>
    <row r="640" spans="1:153" ht="12.75">
      <c r="A640" s="188"/>
      <c r="EW640" s="72"/>
    </row>
    <row r="641" spans="1:153" ht="12.75">
      <c r="A641" s="188"/>
      <c r="EW641" s="72"/>
    </row>
    <row r="642" spans="1:153" ht="12.75">
      <c r="A642" s="188"/>
      <c r="EW642" s="72"/>
    </row>
    <row r="643" spans="1:153" ht="12.75">
      <c r="A643" s="188"/>
      <c r="EW643" s="72"/>
    </row>
    <row r="644" spans="1:153" ht="12.75">
      <c r="A644" s="188"/>
      <c r="EW644" s="72"/>
    </row>
    <row r="645" spans="1:153" ht="12.75">
      <c r="A645" s="188"/>
      <c r="EW645" s="72"/>
    </row>
    <row r="646" spans="1:153" ht="12.75">
      <c r="A646" s="188"/>
      <c r="EW646" s="72"/>
    </row>
    <row r="647" spans="1:153" ht="12.75">
      <c r="A647" s="188"/>
      <c r="EW647" s="72"/>
    </row>
    <row r="648" spans="1:153" ht="12.75">
      <c r="A648" s="188"/>
      <c r="EW648" s="72"/>
    </row>
    <row r="649" spans="1:153" ht="12.75">
      <c r="A649" s="188"/>
      <c r="EW649" s="72"/>
    </row>
    <row r="650" spans="1:153" ht="12.75">
      <c r="A650" s="188"/>
      <c r="EW650" s="72"/>
    </row>
    <row r="651" spans="1:153" ht="12.75">
      <c r="A651" s="188"/>
      <c r="EW651" s="72"/>
    </row>
    <row r="652" spans="1:153" ht="12.75">
      <c r="A652" s="188"/>
      <c r="EW652" s="72"/>
    </row>
    <row r="653" spans="1:153" ht="12.75">
      <c r="A653" s="188"/>
      <c r="EW653" s="72"/>
    </row>
    <row r="654" spans="1:153" ht="12.75">
      <c r="A654" s="188"/>
      <c r="EW654" s="72"/>
    </row>
    <row r="655" spans="1:153" ht="12.75">
      <c r="A655" s="188"/>
      <c r="EW655" s="72"/>
    </row>
    <row r="656" spans="1:153" ht="12.75">
      <c r="A656" s="188"/>
      <c r="EW656" s="72"/>
    </row>
    <row r="657" spans="1:153" ht="12.75">
      <c r="A657" s="188"/>
      <c r="EW657" s="72"/>
    </row>
    <row r="658" spans="1:153" ht="12.75">
      <c r="A658" s="188"/>
      <c r="EW658" s="72"/>
    </row>
    <row r="659" spans="1:153" ht="12.75">
      <c r="A659" s="188"/>
      <c r="EW659" s="72"/>
    </row>
    <row r="660" spans="1:153" ht="12.75">
      <c r="A660" s="188"/>
      <c r="EW660" s="72"/>
    </row>
    <row r="661" spans="1:153" ht="12.75">
      <c r="A661" s="188"/>
      <c r="EW661" s="72"/>
    </row>
    <row r="662" spans="1:153" ht="12.75">
      <c r="A662" s="188"/>
      <c r="EW662" s="72"/>
    </row>
    <row r="663" spans="1:153" ht="12.75">
      <c r="A663" s="188"/>
      <c r="EW663" s="72"/>
    </row>
    <row r="664" spans="1:153" ht="12.75">
      <c r="A664" s="188"/>
      <c r="EW664" s="72"/>
    </row>
    <row r="665" spans="1:153" ht="12.75">
      <c r="A665" s="188"/>
      <c r="EW665" s="72"/>
    </row>
    <row r="666" spans="1:153" ht="12.75">
      <c r="A666" s="188"/>
      <c r="EW666" s="72"/>
    </row>
    <row r="667" spans="1:153" ht="12.75">
      <c r="A667" s="188"/>
      <c r="EW667" s="72"/>
    </row>
    <row r="668" spans="1:153" ht="12.75">
      <c r="A668" s="188"/>
      <c r="EW668" s="72"/>
    </row>
    <row r="669" spans="1:153" ht="12.75">
      <c r="A669" s="188"/>
      <c r="EW669" s="72"/>
    </row>
    <row r="670" spans="1:153" ht="12.75">
      <c r="A670" s="188"/>
      <c r="EW670" s="72"/>
    </row>
    <row r="671" spans="1:153" ht="12.75">
      <c r="A671" s="188"/>
      <c r="EW671" s="72"/>
    </row>
    <row r="672" spans="1:153" ht="12.75">
      <c r="A672" s="188"/>
      <c r="EW672" s="72"/>
    </row>
    <row r="673" spans="1:153" ht="12.75">
      <c r="A673" s="188"/>
      <c r="EW673" s="72"/>
    </row>
    <row r="674" spans="1:153" ht="12.75">
      <c r="A674" s="188"/>
      <c r="EW674" s="72"/>
    </row>
    <row r="675" spans="1:153" ht="12.75">
      <c r="A675" s="188"/>
      <c r="EW675" s="72"/>
    </row>
    <row r="676" spans="1:153" ht="12.75">
      <c r="A676" s="188"/>
      <c r="EW676" s="72"/>
    </row>
    <row r="677" spans="1:153" ht="12.75">
      <c r="A677" s="188"/>
      <c r="EW677" s="72"/>
    </row>
    <row r="678" spans="1:153" ht="12.75">
      <c r="A678" s="188"/>
      <c r="EW678" s="72"/>
    </row>
    <row r="679" spans="1:153" ht="12.75">
      <c r="A679" s="188"/>
      <c r="EW679" s="72"/>
    </row>
    <row r="680" spans="1:153" ht="12.75">
      <c r="A680" s="188"/>
      <c r="EW680" s="72"/>
    </row>
    <row r="681" spans="1:153" ht="12.75">
      <c r="A681" s="188"/>
      <c r="EW681" s="72"/>
    </row>
    <row r="682" spans="1:153" ht="12.75">
      <c r="A682" s="188"/>
      <c r="EW682" s="72"/>
    </row>
    <row r="683" spans="1:153" ht="12.75">
      <c r="A683" s="188"/>
      <c r="EW683" s="72"/>
    </row>
    <row r="684" spans="1:153" ht="12.75">
      <c r="A684" s="188"/>
      <c r="EW684" s="72"/>
    </row>
    <row r="685" spans="1:153" ht="12.75">
      <c r="A685" s="188"/>
      <c r="EW685" s="72"/>
    </row>
    <row r="686" spans="1:153" ht="12.75">
      <c r="A686" s="188"/>
      <c r="EW686" s="72"/>
    </row>
    <row r="687" spans="1:153" ht="12.75">
      <c r="A687" s="188"/>
      <c r="EW687" s="72"/>
    </row>
    <row r="688" spans="1:153" ht="12.75">
      <c r="A688" s="188"/>
      <c r="EW688" s="72"/>
    </row>
    <row r="689" spans="1:153" ht="12.75">
      <c r="A689" s="188"/>
      <c r="EW689" s="72"/>
    </row>
    <row r="690" spans="1:153" ht="12.75">
      <c r="A690" s="188"/>
      <c r="EW690" s="72"/>
    </row>
    <row r="691" spans="1:153" ht="12.75">
      <c r="A691" s="188"/>
      <c r="EW691" s="72"/>
    </row>
    <row r="692" spans="1:153" ht="12.75">
      <c r="A692" s="188"/>
      <c r="EW692" s="72"/>
    </row>
    <row r="693" spans="1:153" ht="12.75">
      <c r="A693" s="188"/>
      <c r="EW693" s="72"/>
    </row>
    <row r="694" spans="1:153" ht="12.75">
      <c r="A694" s="188"/>
      <c r="EW694" s="72"/>
    </row>
    <row r="695" spans="1:153" ht="12.75">
      <c r="A695" s="188"/>
      <c r="EW695" s="72"/>
    </row>
    <row r="696" spans="1:153" ht="12.75">
      <c r="A696" s="188"/>
      <c r="EW696" s="72"/>
    </row>
    <row r="697" spans="1:153" ht="12.75">
      <c r="A697" s="188"/>
      <c r="EW697" s="72"/>
    </row>
    <row r="698" spans="1:153" ht="12.75">
      <c r="A698" s="188"/>
      <c r="EW698" s="72"/>
    </row>
    <row r="699" spans="1:153" ht="12.75">
      <c r="A699" s="188"/>
      <c r="EW699" s="72"/>
    </row>
    <row r="700" spans="1:153" ht="12.75">
      <c r="A700" s="188"/>
      <c r="EW700" s="72"/>
    </row>
    <row r="701" spans="1:153" ht="12.75">
      <c r="A701" s="188"/>
      <c r="EW701" s="72"/>
    </row>
    <row r="702" spans="1:153" ht="12.75">
      <c r="A702" s="188"/>
      <c r="EW702" s="72"/>
    </row>
    <row r="703" spans="1:153" ht="12.75">
      <c r="A703" s="188"/>
      <c r="EW703" s="72"/>
    </row>
    <row r="704" spans="1:153" ht="12.75">
      <c r="A704" s="188"/>
      <c r="EW704" s="72"/>
    </row>
    <row r="705" spans="1:153" ht="12.75">
      <c r="A705" s="188"/>
      <c r="EW705" s="72"/>
    </row>
    <row r="706" spans="1:153" ht="12.75">
      <c r="A706" s="188"/>
      <c r="EW706" s="72"/>
    </row>
    <row r="707" spans="1:153" ht="12.75">
      <c r="A707" s="188"/>
      <c r="EW707" s="72"/>
    </row>
    <row r="708" spans="1:153" ht="12.75">
      <c r="A708" s="188"/>
      <c r="EW708" s="72"/>
    </row>
    <row r="709" spans="1:153" ht="12.75">
      <c r="A709" s="188"/>
      <c r="EW709" s="72"/>
    </row>
    <row r="710" spans="1:153" ht="12.75">
      <c r="A710" s="188"/>
      <c r="EW710" s="72"/>
    </row>
    <row r="711" spans="1:153" ht="12.75">
      <c r="A711" s="188"/>
      <c r="EW711" s="72"/>
    </row>
    <row r="712" spans="1:153" ht="12.75">
      <c r="A712" s="188"/>
      <c r="EW712" s="72"/>
    </row>
    <row r="713" spans="1:153" ht="12.75">
      <c r="A713" s="188"/>
      <c r="EW713" s="72"/>
    </row>
    <row r="714" spans="1:153" ht="12.75">
      <c r="A714" s="188"/>
      <c r="EW714" s="72"/>
    </row>
    <row r="715" spans="1:153" ht="12.75">
      <c r="A715" s="188"/>
      <c r="EW715" s="72"/>
    </row>
    <row r="716" spans="1:153" ht="12.75">
      <c r="A716" s="188"/>
      <c r="EW716" s="72"/>
    </row>
    <row r="717" spans="1:153" ht="12.75">
      <c r="A717" s="188"/>
      <c r="EW717" s="72"/>
    </row>
    <row r="718" spans="1:153" ht="12.75">
      <c r="A718" s="188"/>
      <c r="EW718" s="72"/>
    </row>
    <row r="719" spans="1:153" ht="12.75">
      <c r="A719" s="188"/>
      <c r="EW719" s="72"/>
    </row>
    <row r="720" spans="1:153" ht="12.75">
      <c r="A720" s="188"/>
      <c r="EW720" s="72"/>
    </row>
    <row r="721" spans="1:153" ht="12.75">
      <c r="A721" s="188"/>
      <c r="EW721" s="72"/>
    </row>
    <row r="722" spans="1:153" ht="12.75">
      <c r="A722" s="188"/>
      <c r="EW722" s="72"/>
    </row>
    <row r="723" spans="1:153" ht="12.75">
      <c r="A723" s="188"/>
      <c r="EW723" s="72"/>
    </row>
    <row r="724" spans="1:153" ht="12.75">
      <c r="A724" s="188"/>
      <c r="EW724" s="72"/>
    </row>
    <row r="725" spans="1:153" ht="12.75">
      <c r="A725" s="188"/>
      <c r="EW725" s="72"/>
    </row>
    <row r="726" spans="1:153" ht="12.75">
      <c r="A726" s="188"/>
      <c r="EW726" s="72"/>
    </row>
    <row r="727" spans="1:153" ht="12.75">
      <c r="A727" s="188"/>
      <c r="EW727" s="72"/>
    </row>
    <row r="728" spans="1:153" ht="12.75">
      <c r="A728" s="188"/>
      <c r="EW728" s="72"/>
    </row>
    <row r="729" spans="1:153" ht="12.75">
      <c r="A729" s="188"/>
      <c r="EW729" s="72"/>
    </row>
    <row r="730" spans="1:153" ht="12.75">
      <c r="A730" s="188"/>
      <c r="EW730" s="72"/>
    </row>
    <row r="731" spans="1:153" ht="12.75">
      <c r="A731" s="188"/>
      <c r="EW731" s="72"/>
    </row>
    <row r="732" spans="1:153" ht="12.75">
      <c r="A732" s="188"/>
      <c r="EW732" s="72"/>
    </row>
    <row r="733" spans="1:153" ht="12.75">
      <c r="A733" s="188"/>
      <c r="EW733" s="72"/>
    </row>
    <row r="734" spans="1:153" ht="12.75">
      <c r="A734" s="188"/>
      <c r="EW734" s="72"/>
    </row>
    <row r="735" spans="1:153" ht="12.75">
      <c r="A735" s="188"/>
      <c r="EW735" s="72"/>
    </row>
    <row r="736" spans="1:153" ht="12.75">
      <c r="A736" s="188"/>
      <c r="EW736" s="72"/>
    </row>
    <row r="737" spans="1:153" ht="12.75">
      <c r="A737" s="188"/>
      <c r="EW737" s="72"/>
    </row>
    <row r="738" spans="1:153" ht="12.75">
      <c r="A738" s="188"/>
      <c r="EW738" s="72"/>
    </row>
    <row r="739" spans="1:153" ht="12.75">
      <c r="A739" s="188"/>
      <c r="EW739" s="72"/>
    </row>
    <row r="740" spans="1:153" ht="12.75">
      <c r="A740" s="188"/>
      <c r="EW740" s="72"/>
    </row>
    <row r="741" spans="1:153" ht="12.75">
      <c r="A741" s="188"/>
      <c r="EW741" s="72"/>
    </row>
    <row r="742" spans="1:153" ht="12.75">
      <c r="A742" s="188"/>
      <c r="EW742" s="72"/>
    </row>
    <row r="743" spans="1:153" ht="12.75">
      <c r="A743" s="188"/>
      <c r="EW743" s="72"/>
    </row>
    <row r="744" spans="1:153" ht="12.75">
      <c r="A744" s="188"/>
      <c r="EW744" s="72"/>
    </row>
    <row r="745" spans="1:153" ht="12.75">
      <c r="A745" s="188"/>
      <c r="EW745" s="72"/>
    </row>
    <row r="746" spans="1:153" ht="12.75">
      <c r="A746" s="188"/>
      <c r="EW746" s="72"/>
    </row>
    <row r="747" spans="1:153" ht="12.75">
      <c r="A747" s="188"/>
      <c r="EW747" s="72"/>
    </row>
    <row r="748" spans="1:153" ht="12.75">
      <c r="A748" s="188"/>
      <c r="EW748" s="72"/>
    </row>
    <row r="749" spans="1:153" ht="12.75">
      <c r="A749" s="188"/>
      <c r="EW749" s="72"/>
    </row>
    <row r="750" spans="1:153" ht="12.75">
      <c r="A750" s="188"/>
      <c r="EW750" s="72"/>
    </row>
    <row r="751" spans="1:153" ht="12.75">
      <c r="A751" s="188"/>
      <c r="EW751" s="72"/>
    </row>
    <row r="752" spans="1:153" ht="12.75">
      <c r="A752" s="188"/>
      <c r="EW752" s="72"/>
    </row>
    <row r="753" spans="1:153" ht="12.75">
      <c r="A753" s="188"/>
      <c r="EW753" s="72"/>
    </row>
    <row r="754" spans="1:153" ht="12.75">
      <c r="A754" s="188"/>
      <c r="EW754" s="72"/>
    </row>
    <row r="755" spans="1:153" ht="12.75">
      <c r="A755" s="188"/>
      <c r="EW755" s="72"/>
    </row>
    <row r="756" spans="1:153" ht="12.75">
      <c r="A756" s="188"/>
      <c r="EW756" s="72"/>
    </row>
    <row r="757" spans="1:153" ht="12.75">
      <c r="A757" s="188"/>
      <c r="EW757" s="72"/>
    </row>
    <row r="758" spans="1:153" ht="12.75">
      <c r="A758" s="188"/>
      <c r="EW758" s="72"/>
    </row>
    <row r="759" spans="1:153" ht="12.75">
      <c r="A759" s="188"/>
      <c r="EW759" s="72"/>
    </row>
    <row r="760" spans="1:153" ht="12.75">
      <c r="A760" s="188"/>
      <c r="EW760" s="72"/>
    </row>
    <row r="761" spans="1:153" ht="12.75">
      <c r="A761" s="188"/>
      <c r="EW761" s="72"/>
    </row>
    <row r="762" spans="1:153" ht="12.75">
      <c r="A762" s="188"/>
      <c r="EW762" s="72"/>
    </row>
    <row r="763" spans="1:153" ht="12.75">
      <c r="A763" s="188"/>
      <c r="EW763" s="72"/>
    </row>
    <row r="764" spans="1:153" ht="12.75">
      <c r="A764" s="188"/>
      <c r="EW764" s="72"/>
    </row>
    <row r="765" spans="1:153" ht="12.75">
      <c r="A765" s="188"/>
      <c r="EW765" s="72"/>
    </row>
    <row r="766" spans="1:153" ht="12.75">
      <c r="A766" s="188"/>
      <c r="EW766" s="72"/>
    </row>
    <row r="767" spans="1:153" ht="12.75">
      <c r="A767" s="188"/>
      <c r="EW767" s="72"/>
    </row>
    <row r="768" spans="1:153" ht="12.75">
      <c r="A768" s="188"/>
      <c r="EW768" s="72"/>
    </row>
    <row r="769" spans="1:153" ht="12.75">
      <c r="A769" s="188"/>
      <c r="EW769" s="72"/>
    </row>
    <row r="770" spans="1:153" ht="12.75">
      <c r="A770" s="188"/>
      <c r="EW770" s="72"/>
    </row>
    <row r="771" spans="1:153" ht="12.75">
      <c r="A771" s="188"/>
      <c r="EW771" s="72"/>
    </row>
    <row r="772" spans="1:153" ht="12.75">
      <c r="A772" s="188"/>
      <c r="EW772" s="72"/>
    </row>
    <row r="773" spans="1:153" ht="12.75">
      <c r="A773" s="188"/>
      <c r="EW773" s="72"/>
    </row>
    <row r="774" spans="1:153" ht="12.75">
      <c r="A774" s="188"/>
      <c r="EW774" s="72"/>
    </row>
    <row r="775" spans="1:153" ht="12.75">
      <c r="A775" s="188"/>
      <c r="EW775" s="72"/>
    </row>
    <row r="776" spans="1:153" ht="12.75">
      <c r="A776" s="188"/>
      <c r="EW776" s="72"/>
    </row>
    <row r="777" spans="1:153" ht="12.75">
      <c r="A777" s="188"/>
      <c r="EW777" s="72"/>
    </row>
    <row r="778" spans="1:153" ht="12.75">
      <c r="A778" s="188"/>
      <c r="EW778" s="72"/>
    </row>
    <row r="779" spans="1:153" ht="12.75">
      <c r="A779" s="188"/>
      <c r="EW779" s="72"/>
    </row>
    <row r="780" spans="1:153" ht="12.75">
      <c r="A780" s="188"/>
      <c r="EW780" s="72"/>
    </row>
    <row r="781" spans="1:153" ht="12.75">
      <c r="A781" s="188"/>
      <c r="EW781" s="72"/>
    </row>
    <row r="782" spans="1:153" ht="12.75">
      <c r="A782" s="188"/>
      <c r="EW782" s="72"/>
    </row>
    <row r="783" spans="1:153" ht="12.75">
      <c r="A783" s="188"/>
      <c r="EW783" s="72"/>
    </row>
    <row r="784" spans="1:153" ht="12.75">
      <c r="A784" s="188"/>
      <c r="EW784" s="72"/>
    </row>
    <row r="785" spans="1:153" ht="12.75">
      <c r="A785" s="188"/>
      <c r="EW785" s="72"/>
    </row>
    <row r="786" spans="1:153" ht="12.75">
      <c r="A786" s="188"/>
      <c r="EW786" s="72"/>
    </row>
    <row r="787" spans="1:153" ht="12.75">
      <c r="A787" s="188"/>
      <c r="EW787" s="72"/>
    </row>
    <row r="788" spans="1:153" ht="12.75">
      <c r="A788" s="188"/>
      <c r="EW788" s="72"/>
    </row>
    <row r="789" spans="1:153" ht="12.75">
      <c r="A789" s="188"/>
      <c r="EW789" s="72"/>
    </row>
    <row r="790" spans="1:153" ht="12.75">
      <c r="A790" s="188"/>
      <c r="EW790" s="72"/>
    </row>
    <row r="791" spans="1:153" ht="12.75">
      <c r="A791" s="188"/>
      <c r="EW791" s="72"/>
    </row>
    <row r="792" spans="1:153" ht="12.75">
      <c r="A792" s="188"/>
      <c r="EW792" s="72"/>
    </row>
    <row r="793" spans="1:153" ht="12.75">
      <c r="A793" s="188"/>
      <c r="EW793" s="72"/>
    </row>
    <row r="794" spans="1:153" ht="12.75">
      <c r="A794" s="188"/>
      <c r="EW794" s="72"/>
    </row>
    <row r="795" spans="1:153" ht="12.75">
      <c r="A795" s="188"/>
      <c r="EW795" s="72"/>
    </row>
    <row r="796" spans="1:153" ht="12.75">
      <c r="A796" s="188"/>
      <c r="EW796" s="72"/>
    </row>
    <row r="797" spans="1:153" ht="12.75">
      <c r="A797" s="188"/>
      <c r="EW797" s="72"/>
    </row>
    <row r="798" spans="1:153" ht="12.75">
      <c r="A798" s="188"/>
      <c r="EW798" s="72"/>
    </row>
    <row r="799" spans="1:153" ht="12.75">
      <c r="A799" s="188"/>
      <c r="EW799" s="72"/>
    </row>
    <row r="800" spans="1:153" ht="12.75">
      <c r="A800" s="188"/>
      <c r="EW800" s="72"/>
    </row>
    <row r="801" spans="1:153" ht="12.75">
      <c r="A801" s="188"/>
      <c r="EW801" s="72"/>
    </row>
    <row r="802" spans="1:153" ht="12.75">
      <c r="A802" s="188"/>
      <c r="EW802" s="72"/>
    </row>
    <row r="803" spans="1:153" ht="12.75">
      <c r="A803" s="188"/>
      <c r="EW803" s="72"/>
    </row>
    <row r="804" spans="1:153" ht="12.75">
      <c r="A804" s="188"/>
      <c r="EW804" s="72"/>
    </row>
    <row r="805" spans="1:153" ht="12.75">
      <c r="A805" s="188"/>
      <c r="EW805" s="72"/>
    </row>
    <row r="806" spans="1:153" ht="12.75">
      <c r="A806" s="188"/>
      <c r="EW806" s="72"/>
    </row>
    <row r="807" spans="1:153" ht="12.75">
      <c r="A807" s="188"/>
      <c r="EW807" s="72"/>
    </row>
    <row r="808" spans="1:153" ht="12.75">
      <c r="A808" s="188"/>
      <c r="EW808" s="72"/>
    </row>
    <row r="809" spans="1:153" ht="12.75">
      <c r="A809" s="188"/>
      <c r="EW809" s="72"/>
    </row>
    <row r="810" spans="1:153" ht="12.75">
      <c r="A810" s="188"/>
      <c r="EW810" s="72"/>
    </row>
    <row r="811" spans="1:153" ht="12.75">
      <c r="A811" s="188"/>
      <c r="EW811" s="72"/>
    </row>
    <row r="812" spans="1:153" ht="12.75">
      <c r="A812" s="188"/>
      <c r="EW812" s="72"/>
    </row>
    <row r="813" spans="1:153" ht="12.75">
      <c r="A813" s="188"/>
      <c r="EW813" s="72"/>
    </row>
    <row r="814" spans="1:153" ht="12.75">
      <c r="A814" s="188"/>
      <c r="EW814" s="72"/>
    </row>
    <row r="815" spans="1:153" ht="12.75">
      <c r="A815" s="188"/>
      <c r="EW815" s="72"/>
    </row>
    <row r="816" spans="1:153" ht="12.75">
      <c r="A816" s="188"/>
      <c r="EW816" s="72"/>
    </row>
    <row r="817" spans="1:153" ht="12.75">
      <c r="A817" s="188"/>
      <c r="EW817" s="72"/>
    </row>
    <row r="818" spans="1:153" ht="12.75">
      <c r="A818" s="188"/>
      <c r="EW818" s="72"/>
    </row>
    <row r="819" spans="1:153" ht="12.75">
      <c r="A819" s="188"/>
      <c r="EW819" s="72"/>
    </row>
    <row r="820" spans="1:153" ht="12.75">
      <c r="A820" s="188"/>
      <c r="EW820" s="72"/>
    </row>
    <row r="821" spans="1:153" ht="12.75">
      <c r="A821" s="188"/>
      <c r="EW821" s="72"/>
    </row>
    <row r="822" spans="1:153" ht="12.75">
      <c r="A822" s="188"/>
      <c r="EW822" s="72"/>
    </row>
    <row r="823" spans="1:153" ht="12.75">
      <c r="A823" s="188"/>
      <c r="EW823" s="72"/>
    </row>
    <row r="824" spans="1:153" ht="12.75">
      <c r="A824" s="188"/>
      <c r="EW824" s="72"/>
    </row>
    <row r="825" spans="1:153" ht="12.75">
      <c r="A825" s="188"/>
      <c r="EW825" s="72"/>
    </row>
    <row r="826" spans="1:153" ht="12.75">
      <c r="A826" s="188"/>
      <c r="EW826" s="72"/>
    </row>
    <row r="827" spans="1:153" ht="12.75">
      <c r="A827" s="188"/>
      <c r="EW827" s="72"/>
    </row>
    <row r="828" spans="1:153" ht="12.75">
      <c r="A828" s="188"/>
      <c r="EW828" s="72"/>
    </row>
    <row r="829" spans="1:153" ht="12.75">
      <c r="A829" s="188"/>
      <c r="EW829" s="72"/>
    </row>
    <row r="830" spans="1:153" ht="12.75">
      <c r="A830" s="188"/>
      <c r="EW830" s="72"/>
    </row>
    <row r="831" spans="1:153" ht="12.75">
      <c r="A831" s="188"/>
      <c r="EW831" s="72"/>
    </row>
    <row r="832" spans="1:153" ht="12.75">
      <c r="A832" s="188"/>
      <c r="EW832" s="72"/>
    </row>
    <row r="833" spans="1:153" ht="12.75">
      <c r="A833" s="188"/>
      <c r="EW833" s="72"/>
    </row>
    <row r="834" spans="1:153" ht="12.75">
      <c r="A834" s="188"/>
      <c r="EW834" s="72"/>
    </row>
    <row r="835" spans="1:153" ht="12.75">
      <c r="A835" s="188"/>
      <c r="EW835" s="72"/>
    </row>
    <row r="836" spans="1:153" ht="12.75">
      <c r="A836" s="188"/>
      <c r="EW836" s="72"/>
    </row>
    <row r="837" spans="1:153" ht="12.75">
      <c r="A837" s="188"/>
      <c r="EW837" s="72"/>
    </row>
    <row r="838" spans="1:153" ht="12.75">
      <c r="A838" s="188"/>
      <c r="EW838" s="72"/>
    </row>
    <row r="839" spans="1:153" ht="12.75">
      <c r="A839" s="188"/>
      <c r="EW839" s="72"/>
    </row>
    <row r="840" spans="1:153" ht="12.75">
      <c r="A840" s="188"/>
      <c r="EW840" s="72"/>
    </row>
    <row r="841" spans="1:153" ht="12.75">
      <c r="A841" s="188"/>
      <c r="EW841" s="72"/>
    </row>
    <row r="842" spans="1:153" ht="12.75">
      <c r="A842" s="188"/>
      <c r="EW842" s="72"/>
    </row>
    <row r="843" spans="1:153" ht="12.75">
      <c r="A843" s="188"/>
      <c r="EW843" s="72"/>
    </row>
    <row r="844" spans="1:153" ht="12.75">
      <c r="A844" s="188"/>
      <c r="EW844" s="72"/>
    </row>
    <row r="845" spans="1:153" ht="12.75">
      <c r="A845" s="188"/>
      <c r="EW845" s="72"/>
    </row>
    <row r="846" spans="1:153" ht="12.75">
      <c r="A846" s="188"/>
      <c r="EW846" s="72"/>
    </row>
    <row r="847" spans="1:153" ht="12.75">
      <c r="A847" s="188"/>
      <c r="EW847" s="72"/>
    </row>
    <row r="848" spans="1:153" ht="12.75">
      <c r="A848" s="188"/>
      <c r="EW848" s="72"/>
    </row>
    <row r="849" spans="1:153" ht="12.75">
      <c r="A849" s="188"/>
      <c r="EW849" s="72"/>
    </row>
    <row r="850" spans="1:153" ht="12.75">
      <c r="A850" s="188"/>
      <c r="EW850" s="72"/>
    </row>
    <row r="851" spans="1:153" ht="12.75">
      <c r="A851" s="188"/>
      <c r="EW851" s="72"/>
    </row>
    <row r="852" spans="1:153" ht="12.75">
      <c r="A852" s="188"/>
      <c r="EW852" s="72"/>
    </row>
    <row r="853" spans="1:153" ht="12.75">
      <c r="A853" s="188"/>
      <c r="EW853" s="72"/>
    </row>
    <row r="854" spans="1:153" ht="12.75">
      <c r="A854" s="188"/>
      <c r="EW854" s="72"/>
    </row>
    <row r="855" spans="1:153" ht="12.75">
      <c r="A855" s="188"/>
      <c r="EW855" s="72"/>
    </row>
    <row r="856" spans="1:153" ht="12.75">
      <c r="A856" s="188"/>
      <c r="EW856" s="72"/>
    </row>
    <row r="857" spans="1:153" ht="12.75">
      <c r="A857" s="188"/>
      <c r="EW857" s="72"/>
    </row>
    <row r="858" spans="1:153" ht="12.75">
      <c r="A858" s="188"/>
      <c r="EW858" s="72"/>
    </row>
    <row r="859" spans="1:153" ht="12.75">
      <c r="A859" s="188"/>
      <c r="EW859" s="72"/>
    </row>
    <row r="860" spans="1:153" ht="12.75">
      <c r="A860" s="188"/>
      <c r="EW860" s="72"/>
    </row>
    <row r="861" spans="1:153" ht="12.75">
      <c r="A861" s="188"/>
      <c r="EW861" s="72"/>
    </row>
    <row r="862" spans="1:153" ht="12.75">
      <c r="A862" s="188"/>
      <c r="EW862" s="72"/>
    </row>
    <row r="863" spans="1:153" ht="12.75">
      <c r="A863" s="188"/>
      <c r="EW863" s="72"/>
    </row>
    <row r="864" spans="1:153" ht="12.75">
      <c r="A864" s="188"/>
      <c r="EW864" s="72"/>
    </row>
    <row r="865" spans="1:153" ht="12.75">
      <c r="A865" s="188"/>
      <c r="EW865" s="72"/>
    </row>
    <row r="866" spans="1:153" ht="12.75">
      <c r="A866" s="188"/>
      <c r="EW866" s="72"/>
    </row>
    <row r="867" spans="1:153" ht="12.75">
      <c r="A867" s="188"/>
      <c r="EW867" s="72"/>
    </row>
    <row r="868" spans="1:153" ht="12.75">
      <c r="A868" s="188"/>
      <c r="EW868" s="72"/>
    </row>
    <row r="869" spans="1:153" ht="12.75">
      <c r="A869" s="188"/>
      <c r="EW869" s="72"/>
    </row>
    <row r="870" spans="1:153" ht="12.75">
      <c r="A870" s="188"/>
      <c r="EW870" s="72"/>
    </row>
    <row r="871" spans="1:153" ht="12.75">
      <c r="A871" s="188"/>
      <c r="EW871" s="72"/>
    </row>
    <row r="872" spans="1:153" ht="12.75">
      <c r="A872" s="188"/>
      <c r="EW872" s="72"/>
    </row>
    <row r="873" spans="1:153" ht="12.75">
      <c r="A873" s="188"/>
      <c r="EW873" s="72"/>
    </row>
    <row r="874" spans="1:153" ht="12.75">
      <c r="A874" s="188"/>
      <c r="EW874" s="72"/>
    </row>
    <row r="875" spans="1:153" ht="12.75">
      <c r="A875" s="188"/>
      <c r="EW875" s="72"/>
    </row>
    <row r="876" spans="1:153" ht="12.75">
      <c r="A876" s="188"/>
      <c r="EW876" s="72"/>
    </row>
    <row r="877" spans="1:153" ht="12.75">
      <c r="A877" s="188"/>
      <c r="EW877" s="72"/>
    </row>
    <row r="878" spans="1:153" ht="12.75">
      <c r="A878" s="188"/>
      <c r="EW878" s="72"/>
    </row>
    <row r="879" spans="1:153" ht="12.75">
      <c r="A879" s="188"/>
      <c r="EW879" s="72"/>
    </row>
    <row r="880" spans="1:153" ht="12.75">
      <c r="A880" s="188"/>
      <c r="EW880" s="72"/>
    </row>
    <row r="881" spans="1:153" ht="12.75">
      <c r="A881" s="188"/>
      <c r="EW881" s="72"/>
    </row>
    <row r="882" spans="1:153" ht="12.75">
      <c r="A882" s="188"/>
      <c r="EW882" s="72"/>
    </row>
    <row r="883" spans="1:153" ht="12.75">
      <c r="A883" s="188"/>
      <c r="EW883" s="72"/>
    </row>
    <row r="884" spans="1:153" ht="12.75">
      <c r="A884" s="188"/>
      <c r="EW884" s="72"/>
    </row>
    <row r="885" spans="1:153" ht="12.75">
      <c r="A885" s="188"/>
      <c r="EW885" s="72"/>
    </row>
    <row r="886" spans="1:153" ht="12.75">
      <c r="A886" s="188"/>
      <c r="EW886" s="72"/>
    </row>
    <row r="887" spans="1:153" ht="12.75">
      <c r="A887" s="188"/>
      <c r="EW887" s="72"/>
    </row>
    <row r="888" spans="1:153" ht="12.75">
      <c r="A888" s="188"/>
      <c r="EW888" s="72"/>
    </row>
    <row r="889" spans="1:153" ht="12.75">
      <c r="A889" s="188"/>
      <c r="EW889" s="72"/>
    </row>
    <row r="890" spans="1:153" ht="12.75">
      <c r="A890" s="188"/>
      <c r="EW890" s="72"/>
    </row>
    <row r="891" spans="1:153" ht="12.75">
      <c r="A891" s="188"/>
      <c r="EW891" s="72"/>
    </row>
    <row r="892" spans="1:153" ht="12.75">
      <c r="A892" s="188"/>
      <c r="EW892" s="72"/>
    </row>
    <row r="893" spans="1:153" ht="12.75">
      <c r="A893" s="188"/>
      <c r="EW893" s="72"/>
    </row>
    <row r="894" spans="1:153" ht="12.75">
      <c r="A894" s="188"/>
      <c r="EW894" s="72"/>
    </row>
    <row r="895" spans="1:153" ht="12.75">
      <c r="A895" s="188"/>
      <c r="EW895" s="72"/>
    </row>
    <row r="896" spans="1:153" ht="12.75">
      <c r="A896" s="188"/>
      <c r="EW896" s="72"/>
    </row>
    <row r="897" spans="1:153" ht="12.75">
      <c r="A897" s="188"/>
      <c r="EW897" s="72"/>
    </row>
    <row r="898" spans="1:153" ht="12.75">
      <c r="A898" s="188"/>
      <c r="EW898" s="72"/>
    </row>
    <row r="899" spans="1:153" ht="12.75">
      <c r="A899" s="188"/>
      <c r="EW899" s="72"/>
    </row>
    <row r="900" spans="1:153" ht="12.75">
      <c r="A900" s="188"/>
      <c r="EW900" s="72"/>
    </row>
    <row r="901" spans="1:153" ht="12.75">
      <c r="A901" s="188"/>
      <c r="EW901" s="72"/>
    </row>
    <row r="902" spans="1:153" ht="12.75">
      <c r="A902" s="188"/>
      <c r="EW902" s="72"/>
    </row>
    <row r="903" spans="1:153" ht="12.75">
      <c r="A903" s="188"/>
      <c r="EW903" s="72"/>
    </row>
    <row r="904" spans="1:153" ht="12.75">
      <c r="A904" s="188"/>
      <c r="EW904" s="72"/>
    </row>
    <row r="905" spans="1:153" ht="12.75">
      <c r="A905" s="188"/>
      <c r="EW905" s="72"/>
    </row>
    <row r="906" spans="1:153" ht="12.75">
      <c r="A906" s="188"/>
      <c r="EW906" s="72"/>
    </row>
    <row r="907" spans="1:153" ht="12.75">
      <c r="A907" s="188"/>
      <c r="EW907" s="72"/>
    </row>
    <row r="908" spans="1:153" ht="12.75">
      <c r="A908" s="188"/>
      <c r="EW908" s="72"/>
    </row>
    <row r="909" spans="1:153" ht="12.75">
      <c r="A909" s="188"/>
      <c r="EW909" s="72"/>
    </row>
    <row r="910" spans="1:153" ht="12.75">
      <c r="A910" s="188"/>
      <c r="EW910" s="72"/>
    </row>
    <row r="911" spans="1:153" ht="12.75">
      <c r="A911" s="188"/>
      <c r="EW911" s="72"/>
    </row>
    <row r="912" spans="1:153" ht="12.75">
      <c r="A912" s="188"/>
      <c r="EW912" s="72"/>
    </row>
    <row r="913" spans="1:153" ht="12.75">
      <c r="A913" s="188"/>
      <c r="EW913" s="72"/>
    </row>
    <row r="914" spans="1:153" ht="12.75">
      <c r="A914" s="188"/>
      <c r="EW914" s="72"/>
    </row>
    <row r="915" spans="1:153" ht="12.75">
      <c r="A915" s="188"/>
      <c r="EW915" s="72"/>
    </row>
    <row r="916" spans="1:153" ht="12.75">
      <c r="A916" s="188"/>
      <c r="EW916" s="72"/>
    </row>
    <row r="917" spans="1:153" ht="12.75">
      <c r="A917" s="188"/>
      <c r="EW917" s="72"/>
    </row>
    <row r="918" spans="1:153" ht="12.75">
      <c r="A918" s="188"/>
      <c r="EW918" s="72"/>
    </row>
    <row r="919" spans="1:153" ht="12.75">
      <c r="A919" s="188"/>
      <c r="EW919" s="72"/>
    </row>
    <row r="920" spans="1:153" ht="12.75">
      <c r="A920" s="188"/>
      <c r="EW920" s="72"/>
    </row>
    <row r="921" spans="1:153" ht="12.75">
      <c r="A921" s="188"/>
      <c r="EW921" s="72"/>
    </row>
    <row r="922" spans="1:153" ht="12.75">
      <c r="A922" s="188"/>
      <c r="EW922" s="72"/>
    </row>
    <row r="923" spans="1:153" ht="12.75">
      <c r="A923" s="188"/>
      <c r="EW923" s="72"/>
    </row>
    <row r="924" spans="1:153" ht="12.75">
      <c r="A924" s="188"/>
      <c r="EW924" s="72"/>
    </row>
    <row r="925" spans="1:153" ht="12.75">
      <c r="A925" s="188"/>
      <c r="EW925" s="72"/>
    </row>
    <row r="926" spans="1:153" ht="12.75">
      <c r="A926" s="188"/>
      <c r="EW926" s="72"/>
    </row>
    <row r="927" spans="1:153" ht="12.75">
      <c r="A927" s="188"/>
      <c r="EW927" s="72"/>
    </row>
    <row r="928" spans="1:153" ht="12.75">
      <c r="A928" s="188"/>
      <c r="EW928" s="72"/>
    </row>
    <row r="929" spans="1:153" ht="12.75">
      <c r="A929" s="188"/>
      <c r="EW929" s="72"/>
    </row>
    <row r="930" spans="1:153" ht="12.75">
      <c r="A930" s="188"/>
      <c r="EW930" s="72"/>
    </row>
    <row r="931" spans="1:153" ht="12.75">
      <c r="A931" s="188"/>
      <c r="EW931" s="72"/>
    </row>
    <row r="932" spans="1:153" ht="12.75">
      <c r="A932" s="188"/>
      <c r="EW932" s="72"/>
    </row>
    <row r="933" spans="1:153" ht="12.75">
      <c r="A933" s="188"/>
      <c r="EW933" s="72"/>
    </row>
    <row r="934" spans="1:153" ht="12.75">
      <c r="A934" s="188"/>
      <c r="EW934" s="72"/>
    </row>
    <row r="935" spans="1:153" ht="12.75">
      <c r="A935" s="188"/>
      <c r="EW935" s="72"/>
    </row>
    <row r="936" spans="1:153" ht="12.75">
      <c r="A936" s="188"/>
      <c r="EW936" s="72"/>
    </row>
    <row r="937" spans="1:153" ht="12.75">
      <c r="A937" s="188"/>
      <c r="EW937" s="72"/>
    </row>
    <row r="938" spans="1:153" ht="12.75">
      <c r="A938" s="188"/>
      <c r="EW938" s="72"/>
    </row>
    <row r="939" spans="1:153" ht="12.75">
      <c r="A939" s="188"/>
      <c r="EW939" s="72"/>
    </row>
    <row r="940" spans="1:153" ht="12.75">
      <c r="A940" s="188"/>
      <c r="EW940" s="72"/>
    </row>
    <row r="941" spans="1:153" ht="12.75">
      <c r="A941" s="188"/>
      <c r="EW941" s="72"/>
    </row>
    <row r="942" spans="1:153" ht="12.75">
      <c r="A942" s="188"/>
      <c r="EW942" s="72"/>
    </row>
    <row r="943" spans="1:153" ht="12.75">
      <c r="A943" s="188"/>
      <c r="EW943" s="72"/>
    </row>
    <row r="944" spans="1:153" ht="12.75">
      <c r="A944" s="188"/>
      <c r="EW944" s="72"/>
    </row>
    <row r="945" spans="1:153" ht="12.75">
      <c r="A945" s="188"/>
      <c r="EW945" s="72"/>
    </row>
    <row r="946" spans="1:153" ht="12.75">
      <c r="A946" s="188"/>
      <c r="EW946" s="72"/>
    </row>
    <row r="947" spans="1:153" ht="12.75">
      <c r="A947" s="188"/>
      <c r="EW947" s="72"/>
    </row>
    <row r="948" spans="1:153" ht="12.75">
      <c r="A948" s="188"/>
      <c r="EW948" s="72"/>
    </row>
    <row r="949" spans="1:153" ht="12.75">
      <c r="A949" s="188"/>
      <c r="EW949" s="72"/>
    </row>
    <row r="950" spans="1:153" ht="12.75">
      <c r="A950" s="188"/>
      <c r="EW950" s="72"/>
    </row>
    <row r="951" spans="1:153" ht="12.75">
      <c r="A951" s="188"/>
      <c r="EW951" s="72"/>
    </row>
    <row r="952" spans="1:153" ht="12.75">
      <c r="A952" s="188"/>
      <c r="EW952" s="72"/>
    </row>
    <row r="953" spans="1:153" ht="12.75">
      <c r="A953" s="188"/>
      <c r="EW953" s="72"/>
    </row>
    <row r="954" spans="1:153" ht="12.75">
      <c r="A954" s="188"/>
      <c r="EW954" s="72"/>
    </row>
    <row r="955" spans="1:153" ht="12.75">
      <c r="A955" s="188"/>
      <c r="EW955" s="72"/>
    </row>
    <row r="956" spans="1:153" ht="12.75">
      <c r="A956" s="188"/>
      <c r="EW956" s="72"/>
    </row>
    <row r="957" spans="1:153" ht="12.75">
      <c r="A957" s="188"/>
      <c r="EW957" s="72"/>
    </row>
    <row r="958" spans="1:153" ht="12.75">
      <c r="A958" s="188"/>
      <c r="EW958" s="72"/>
    </row>
    <row r="959" spans="1:153" ht="12.75">
      <c r="A959" s="188"/>
      <c r="EW959" s="72"/>
    </row>
    <row r="960" spans="1:153" ht="12.75">
      <c r="A960" s="188"/>
      <c r="EW960" s="72"/>
    </row>
    <row r="961" spans="1:153" ht="12.75">
      <c r="A961" s="188"/>
      <c r="EW961" s="72"/>
    </row>
    <row r="962" spans="1:153" ht="12.75">
      <c r="A962" s="188"/>
      <c r="EW962" s="72"/>
    </row>
    <row r="963" spans="1:153" ht="12.75">
      <c r="A963" s="188"/>
      <c r="EW963" s="72"/>
    </row>
    <row r="964" spans="1:153" ht="12.75">
      <c r="A964" s="188"/>
      <c r="EW964" s="72"/>
    </row>
    <row r="965" spans="1:153" ht="12.75">
      <c r="A965" s="188"/>
      <c r="EW965" s="72"/>
    </row>
    <row r="966" spans="1:153" ht="12.75">
      <c r="A966" s="188"/>
      <c r="EW966" s="72"/>
    </row>
    <row r="967" spans="1:153" ht="12.75">
      <c r="A967" s="188"/>
      <c r="EW967" s="72"/>
    </row>
    <row r="968" spans="1:153" ht="12.75">
      <c r="A968" s="188"/>
      <c r="EW968" s="72"/>
    </row>
    <row r="969" spans="1:153" ht="12.75">
      <c r="A969" s="188"/>
      <c r="EW969" s="72"/>
    </row>
    <row r="970" spans="1:153" ht="12.75">
      <c r="A970" s="188"/>
      <c r="EW970" s="72"/>
    </row>
    <row r="971" spans="1:153" ht="12.75">
      <c r="A971" s="188"/>
      <c r="EW971" s="72"/>
    </row>
    <row r="972" spans="1:153" ht="12.75">
      <c r="A972" s="188"/>
      <c r="EW972" s="72"/>
    </row>
    <row r="973" spans="1:153" ht="12.75">
      <c r="A973" s="188"/>
      <c r="EW973" s="72"/>
    </row>
    <row r="974" spans="1:153" ht="12.75">
      <c r="A974" s="188"/>
      <c r="EW974" s="72"/>
    </row>
    <row r="975" spans="1:153" ht="12.75">
      <c r="A975" s="188"/>
      <c r="EW975" s="72"/>
    </row>
    <row r="976" spans="1:153" ht="12.75">
      <c r="A976" s="188"/>
      <c r="EW976" s="72"/>
    </row>
    <row r="977" spans="1:153" ht="12.75">
      <c r="A977" s="188"/>
      <c r="EW977" s="72"/>
    </row>
    <row r="978" spans="1:153" ht="12.75">
      <c r="A978" s="188"/>
      <c r="EW978" s="72"/>
    </row>
    <row r="979" spans="1:153" ht="12.75">
      <c r="A979" s="188"/>
      <c r="EW979" s="72"/>
    </row>
    <row r="980" spans="1:153" ht="12.75">
      <c r="A980" s="188"/>
      <c r="EW980" s="72"/>
    </row>
    <row r="981" spans="1:153" ht="12.75">
      <c r="A981" s="188"/>
      <c r="EW981" s="72"/>
    </row>
    <row r="982" spans="1:153" ht="12.75">
      <c r="A982" s="188"/>
      <c r="EW982" s="72"/>
    </row>
    <row r="983" spans="1:153" ht="12.75">
      <c r="A983" s="188"/>
      <c r="EW983" s="72"/>
    </row>
    <row r="984" spans="1:153" ht="12.75">
      <c r="A984" s="188"/>
      <c r="EW984" s="72"/>
    </row>
    <row r="985" spans="1:153" ht="12.75">
      <c r="A985" s="188"/>
      <c r="EW985" s="72"/>
    </row>
    <row r="986" spans="1:153" ht="12.75">
      <c r="A986" s="188"/>
      <c r="EW986" s="72"/>
    </row>
    <row r="987" spans="1:153" ht="12.75">
      <c r="A987" s="188"/>
      <c r="EW987" s="72"/>
    </row>
    <row r="988" spans="1:153" ht="12.75">
      <c r="A988" s="188"/>
      <c r="EW988" s="72"/>
    </row>
    <row r="989" spans="1:153" ht="12.75">
      <c r="A989" s="188"/>
      <c r="EW989" s="72"/>
    </row>
    <row r="990" spans="1:153" ht="12.75">
      <c r="A990" s="188"/>
      <c r="EW990" s="72"/>
    </row>
    <row r="991" spans="1:153" ht="12.75">
      <c r="A991" s="188"/>
      <c r="EW991" s="72"/>
    </row>
    <row r="992" spans="1:153" ht="12.75">
      <c r="A992" s="188"/>
      <c r="EW992" s="72"/>
    </row>
    <row r="993" spans="1:153" ht="12.75">
      <c r="A993" s="188"/>
      <c r="EW993" s="72"/>
    </row>
    <row r="994" spans="1:153" ht="12.75">
      <c r="A994" s="188"/>
      <c r="EW994" s="72"/>
    </row>
    <row r="995" spans="1:153" ht="12.75">
      <c r="A995" s="188"/>
      <c r="EW995" s="72"/>
    </row>
    <row r="996" spans="1:153" ht="12.75">
      <c r="A996" s="188"/>
      <c r="EW996" s="72"/>
    </row>
    <row r="997" spans="1:153" ht="12.75">
      <c r="A997" s="188"/>
      <c r="EW997" s="72"/>
    </row>
    <row r="998" spans="1:153" ht="12.75">
      <c r="A998" s="188"/>
      <c r="EW998" s="72"/>
    </row>
    <row r="999" spans="1:153" ht="12.75">
      <c r="A999" s="188"/>
      <c r="EW999" s="72"/>
    </row>
    <row r="1000" spans="1:153" ht="12.75">
      <c r="A1000" s="188"/>
      <c r="EW1000" s="72"/>
    </row>
    <row r="1001" spans="1:153" ht="12.75">
      <c r="A1001" s="188"/>
      <c r="EW1001" s="72"/>
    </row>
    <row r="1002" spans="1:153" ht="12.75">
      <c r="A1002" s="188"/>
      <c r="EW1002" s="72"/>
    </row>
    <row r="1003" spans="1:153" ht="12.75">
      <c r="A1003" s="188"/>
      <c r="EW1003" s="72"/>
    </row>
    <row r="1004" spans="1:153" ht="12.75">
      <c r="A1004" s="188"/>
      <c r="EW1004" s="72"/>
    </row>
    <row r="1005" spans="1:153" ht="12.75">
      <c r="A1005" s="188"/>
      <c r="EW1005" s="72"/>
    </row>
    <row r="1006" spans="1:153" ht="12.75">
      <c r="A1006" s="188"/>
      <c r="EW1006" s="72"/>
    </row>
    <row r="1007" spans="1:153" ht="12.75">
      <c r="A1007" s="188"/>
      <c r="EW1007" s="72"/>
    </row>
    <row r="1008" spans="1:153" ht="12.75">
      <c r="A1008" s="188"/>
      <c r="EW1008" s="72"/>
    </row>
    <row r="1009" spans="1:153" ht="12.75">
      <c r="A1009" s="188"/>
      <c r="EW1009" s="72"/>
    </row>
    <row r="1010" spans="1:153" ht="12.75">
      <c r="A1010" s="188"/>
      <c r="EW1010" s="72"/>
    </row>
    <row r="1011" spans="1:153" ht="12.75">
      <c r="A1011" s="188"/>
      <c r="EW1011" s="72"/>
    </row>
    <row r="1012" spans="1:153" ht="12.75">
      <c r="A1012" s="188"/>
      <c r="EW1012" s="72"/>
    </row>
    <row r="1013" spans="1:153" ht="12.75">
      <c r="A1013" s="188"/>
      <c r="EW1013" s="72"/>
    </row>
    <row r="1014" spans="1:153" ht="12.75">
      <c r="A1014" s="188"/>
      <c r="EW1014" s="72"/>
    </row>
    <row r="1015" spans="1:153" ht="12.75">
      <c r="A1015" s="188"/>
      <c r="EW1015" s="72"/>
    </row>
    <row r="1016" spans="1:153" ht="12.75">
      <c r="A1016" s="188"/>
      <c r="EW1016" s="72"/>
    </row>
    <row r="1017" spans="1:153" ht="12.75">
      <c r="A1017" s="188"/>
      <c r="EW1017" s="72"/>
    </row>
    <row r="1018" spans="1:153" ht="12.75">
      <c r="A1018" s="188"/>
      <c r="EW1018" s="72"/>
    </row>
    <row r="1019" spans="1:153" ht="12.75">
      <c r="A1019" s="188"/>
      <c r="EW1019" s="72"/>
    </row>
    <row r="1020" spans="1:153" ht="12.75">
      <c r="A1020" s="188"/>
      <c r="EW1020" s="72"/>
    </row>
    <row r="1021" spans="1:153" ht="12.75">
      <c r="A1021" s="188"/>
      <c r="EW1021" s="72"/>
    </row>
    <row r="1022" spans="1:153" ht="12.75">
      <c r="A1022" s="188"/>
      <c r="EW1022" s="72"/>
    </row>
    <row r="1023" spans="1:153" ht="12.75">
      <c r="A1023" s="188"/>
      <c r="EW1023" s="72"/>
    </row>
    <row r="1024" spans="1:153" ht="12.75">
      <c r="A1024" s="188"/>
      <c r="EW1024" s="72"/>
    </row>
    <row r="1025" spans="1:153" ht="12.75">
      <c r="A1025" s="188"/>
      <c r="EW1025" s="72"/>
    </row>
    <row r="1026" spans="1:153" ht="12.75">
      <c r="A1026" s="188"/>
      <c r="EW1026" s="72"/>
    </row>
    <row r="1027" spans="1:153" ht="12.75">
      <c r="A1027" s="188"/>
      <c r="EW1027" s="72"/>
    </row>
    <row r="1028" spans="1:153" ht="12.75">
      <c r="A1028" s="188"/>
      <c r="EW1028" s="72"/>
    </row>
    <row r="1029" spans="1:153" ht="12.75">
      <c r="A1029" s="188"/>
      <c r="EW1029" s="72"/>
    </row>
    <row r="1030" spans="1:153" ht="12.75">
      <c r="A1030" s="188"/>
      <c r="EW1030" s="72"/>
    </row>
    <row r="1031" spans="1:153" ht="12.75">
      <c r="A1031" s="188"/>
      <c r="EW1031" s="72"/>
    </row>
    <row r="1032" spans="1:153" ht="12.75">
      <c r="A1032" s="188"/>
      <c r="EW1032" s="72"/>
    </row>
    <row r="1033" spans="1:153" ht="12.75">
      <c r="A1033" s="188"/>
      <c r="EW1033" s="72"/>
    </row>
    <row r="1034" spans="1:153" ht="12.75">
      <c r="A1034" s="188"/>
      <c r="EW1034" s="72"/>
    </row>
    <row r="1035" spans="1:153" ht="12.75">
      <c r="A1035" s="188"/>
      <c r="EW1035" s="72"/>
    </row>
    <row r="1036" spans="1:153" ht="12.75">
      <c r="A1036" s="188"/>
      <c r="EW1036" s="72"/>
    </row>
    <row r="1037" spans="1:153" ht="12.75">
      <c r="A1037" s="188"/>
      <c r="EW1037" s="72"/>
    </row>
    <row r="1038" spans="1:153" ht="12.75">
      <c r="A1038" s="188"/>
      <c r="EW1038" s="72"/>
    </row>
    <row r="1039" spans="1:153" ht="12.75">
      <c r="A1039" s="188"/>
      <c r="EW1039" s="72"/>
    </row>
    <row r="1040" spans="1:153" ht="12.75">
      <c r="A1040" s="188"/>
      <c r="EW1040" s="72"/>
    </row>
    <row r="1041" spans="1:153" ht="12.75">
      <c r="A1041" s="188"/>
      <c r="EW1041" s="72"/>
    </row>
    <row r="1042" spans="1:153" ht="12.75">
      <c r="A1042" s="188"/>
      <c r="EW1042" s="72"/>
    </row>
    <row r="1043" spans="1:153" ht="12.75">
      <c r="A1043" s="188"/>
      <c r="EW1043" s="72"/>
    </row>
    <row r="1044" spans="1:153" ht="12.75">
      <c r="A1044" s="188"/>
      <c r="EW1044" s="72"/>
    </row>
    <row r="1045" spans="1:153" ht="12.75">
      <c r="A1045" s="188"/>
      <c r="EW1045" s="72"/>
    </row>
    <row r="1046" spans="1:153" ht="12.75">
      <c r="A1046" s="188"/>
      <c r="EW1046" s="72"/>
    </row>
    <row r="1047" spans="1:153" ht="12.75">
      <c r="A1047" s="188"/>
      <c r="EW1047" s="72"/>
    </row>
    <row r="1048" spans="1:153" ht="12.75">
      <c r="A1048" s="188"/>
      <c r="EW1048" s="72"/>
    </row>
    <row r="1049" spans="1:153" ht="12.75">
      <c r="A1049" s="188"/>
      <c r="EW1049" s="72"/>
    </row>
    <row r="1050" spans="1:153" ht="12.75">
      <c r="A1050" s="188"/>
      <c r="EW1050" s="72"/>
    </row>
    <row r="1051" spans="1:153" ht="12.75">
      <c r="A1051" s="188"/>
      <c r="EW1051" s="72"/>
    </row>
    <row r="1052" spans="1:153" ht="12.75">
      <c r="A1052" s="188"/>
      <c r="EW1052" s="72"/>
    </row>
    <row r="1053" spans="1:153" ht="12.75">
      <c r="A1053" s="188"/>
      <c r="EW1053" s="72"/>
    </row>
    <row r="1054" spans="1:153" ht="12.75">
      <c r="A1054" s="188"/>
      <c r="EW1054" s="72"/>
    </row>
    <row r="1055" spans="1:153" ht="12.75">
      <c r="A1055" s="188"/>
      <c r="EW1055" s="72"/>
    </row>
    <row r="1056" spans="1:153" ht="12.75">
      <c r="A1056" s="188"/>
      <c r="EW1056" s="72"/>
    </row>
    <row r="1057" spans="1:153" ht="12.75">
      <c r="A1057" s="188"/>
      <c r="EW1057" s="72"/>
    </row>
    <row r="1058" spans="1:153" ht="12.75">
      <c r="A1058" s="188"/>
      <c r="EW1058" s="72"/>
    </row>
    <row r="1059" spans="1:153" ht="12.75">
      <c r="A1059" s="188"/>
      <c r="EW1059" s="72"/>
    </row>
    <row r="1060" spans="1:153" ht="12.75">
      <c r="A1060" s="188"/>
      <c r="EW1060" s="72"/>
    </row>
    <row r="1061" spans="1:153" ht="12.75">
      <c r="A1061" s="188"/>
      <c r="EW1061" s="72"/>
    </row>
    <row r="1062" spans="1:153" ht="12.75">
      <c r="A1062" s="188"/>
      <c r="EW1062" s="72"/>
    </row>
    <row r="1063" spans="1:153" ht="12.75">
      <c r="A1063" s="188"/>
      <c r="EW1063" s="72"/>
    </row>
    <row r="1064" spans="1:153" ht="12.75">
      <c r="A1064" s="188"/>
      <c r="EW1064" s="72"/>
    </row>
    <row r="1065" spans="1:153" ht="12.75">
      <c r="A1065" s="188"/>
      <c r="EW1065" s="72"/>
    </row>
    <row r="1066" spans="1:153" ht="12.75">
      <c r="A1066" s="188"/>
      <c r="EW1066" s="72"/>
    </row>
    <row r="1067" spans="1:153" ht="12.75">
      <c r="A1067" s="188"/>
      <c r="EW1067" s="72"/>
    </row>
    <row r="1068" spans="1:153" ht="12.75">
      <c r="A1068" s="188"/>
      <c r="EW1068" s="72"/>
    </row>
    <row r="1069" spans="1:153" ht="12.75">
      <c r="A1069" s="188"/>
      <c r="EW1069" s="72"/>
    </row>
    <row r="1070" spans="1:153" ht="12.75">
      <c r="A1070" s="188"/>
      <c r="EW1070" s="72"/>
    </row>
    <row r="1071" spans="1:153" ht="12.75">
      <c r="A1071" s="188"/>
      <c r="EW1071" s="72"/>
    </row>
  </sheetData>
  <mergeCells count="260">
    <mergeCell ref="A1:A5"/>
    <mergeCell ref="B1:E3"/>
    <mergeCell ref="F1:EN1"/>
    <mergeCell ref="DT4:DV4"/>
    <mergeCell ref="DW4:DY4"/>
    <mergeCell ref="DZ4:EB4"/>
    <mergeCell ref="EO3:EQ3"/>
    <mergeCell ref="ES3:EU3"/>
    <mergeCell ref="L4:N4"/>
    <mergeCell ref="O4:Q4"/>
    <mergeCell ref="R4:T4"/>
    <mergeCell ref="U4:W4"/>
    <mergeCell ref="X4:Z4"/>
    <mergeCell ref="AA4:AC4"/>
    <mergeCell ref="AD4:AF4"/>
    <mergeCell ref="AG4:AI4"/>
    <mergeCell ref="AQ4:AS4"/>
    <mergeCell ref="AT4:AV4"/>
    <mergeCell ref="DB113:DD113"/>
    <mergeCell ref="DE113:DG113"/>
    <mergeCell ref="EV1:EV5"/>
    <mergeCell ref="EW1:EW5"/>
    <mergeCell ref="F2:H2"/>
    <mergeCell ref="I2:K2"/>
    <mergeCell ref="BC4:BE4"/>
    <mergeCell ref="BF4:BH4"/>
    <mergeCell ref="BI4:BK4"/>
    <mergeCell ref="BL4:BN4"/>
    <mergeCell ref="BO4:BQ4"/>
    <mergeCell ref="BR4:BT4"/>
    <mergeCell ref="BU4:BW4"/>
    <mergeCell ref="BX4:BZ4"/>
    <mergeCell ref="CA4:CC4"/>
    <mergeCell ref="CD4:CF4"/>
    <mergeCell ref="CG4:CI4"/>
    <mergeCell ref="CJ4:CL4"/>
    <mergeCell ref="CM4:CO4"/>
    <mergeCell ref="CP4:CR4"/>
    <mergeCell ref="EC4:EE4"/>
    <mergeCell ref="EF4:EH4"/>
    <mergeCell ref="DH4:DJ4"/>
    <mergeCell ref="DK4:DM4"/>
    <mergeCell ref="BL114:BN114"/>
    <mergeCell ref="BO114:BQ114"/>
    <mergeCell ref="F127:AK127"/>
    <mergeCell ref="F128:AK128"/>
    <mergeCell ref="AW4:AY4"/>
    <mergeCell ref="AZ4:BB4"/>
    <mergeCell ref="CS4:CU4"/>
    <mergeCell ref="CV4:CX4"/>
    <mergeCell ref="CY4:DA4"/>
    <mergeCell ref="AT113:AV113"/>
    <mergeCell ref="AW113:AY113"/>
    <mergeCell ref="BI113:BK113"/>
    <mergeCell ref="BL113:BN113"/>
    <mergeCell ref="BO113:BQ113"/>
    <mergeCell ref="BR113:BT113"/>
    <mergeCell ref="BU113:BW113"/>
    <mergeCell ref="BX113:BZ113"/>
    <mergeCell ref="CA113:CC113"/>
    <mergeCell ref="CG113:CI113"/>
    <mergeCell ref="CM113:CO113"/>
    <mergeCell ref="CY113:DA113"/>
    <mergeCell ref="AJ4:AM4"/>
    <mergeCell ref="AN4:AP4"/>
    <mergeCell ref="F123:AK123"/>
    <mergeCell ref="F124:AK126"/>
    <mergeCell ref="A125:E125"/>
    <mergeCell ref="A132:E133"/>
    <mergeCell ref="AJ114:AM114"/>
    <mergeCell ref="AN114:AP114"/>
    <mergeCell ref="AZ114:BB114"/>
    <mergeCell ref="BC114:BE114"/>
    <mergeCell ref="BI114:BK114"/>
    <mergeCell ref="EI115:EK115"/>
    <mergeCell ref="AJ115:AM115"/>
    <mergeCell ref="AN115:AP115"/>
    <mergeCell ref="AZ115:BB115"/>
    <mergeCell ref="BC115:BE115"/>
    <mergeCell ref="BI115:BK115"/>
    <mergeCell ref="BL115:BN115"/>
    <mergeCell ref="BO115:BQ115"/>
    <mergeCell ref="A134:E134"/>
    <mergeCell ref="A122:B124"/>
    <mergeCell ref="A126:B128"/>
    <mergeCell ref="C126:E128"/>
    <mergeCell ref="A129:E129"/>
    <mergeCell ref="A130:B130"/>
    <mergeCell ref="C130:E130"/>
    <mergeCell ref="A131:E131"/>
    <mergeCell ref="CM115:CO115"/>
    <mergeCell ref="F129:AK129"/>
    <mergeCell ref="F130:AK130"/>
    <mergeCell ref="AG133:AI133"/>
    <mergeCell ref="AJ117:AM118"/>
    <mergeCell ref="A120:E121"/>
    <mergeCell ref="F120:AK122"/>
    <mergeCell ref="C122:E124"/>
    <mergeCell ref="EI113:EK113"/>
    <mergeCell ref="ES113:EU113"/>
    <mergeCell ref="DK113:DM113"/>
    <mergeCell ref="DN113:DP113"/>
    <mergeCell ref="DQ113:DS113"/>
    <mergeCell ref="DT113:DV113"/>
    <mergeCell ref="DW113:DY113"/>
    <mergeCell ref="DZ113:EB113"/>
    <mergeCell ref="EC113:EE113"/>
    <mergeCell ref="BF113:BH113"/>
    <mergeCell ref="A114:E114"/>
    <mergeCell ref="F114:H114"/>
    <mergeCell ref="A115:E115"/>
    <mergeCell ref="F115:H115"/>
    <mergeCell ref="A116:E116"/>
    <mergeCell ref="G116:H116"/>
    <mergeCell ref="R113:T113"/>
    <mergeCell ref="U113:W113"/>
    <mergeCell ref="AA113:AC113"/>
    <mergeCell ref="B113:E113"/>
    <mergeCell ref="F113:H113"/>
    <mergeCell ref="I113:K113"/>
    <mergeCell ref="L113:N113"/>
    <mergeCell ref="O113:Q113"/>
    <mergeCell ref="EI114:EK114"/>
    <mergeCell ref="BP116:BQ116"/>
    <mergeCell ref="CN116:CO116"/>
    <mergeCell ref="DF116:DG116"/>
    <mergeCell ref="DL116:DM116"/>
    <mergeCell ref="DR116:DS116"/>
    <mergeCell ref="ED116:EE116"/>
    <mergeCell ref="EJ116:EK116"/>
    <mergeCell ref="AJ116:AK116"/>
    <mergeCell ref="AL116:AM116"/>
    <mergeCell ref="AO116:AP116"/>
    <mergeCell ref="BA116:BB116"/>
    <mergeCell ref="BD116:BE116"/>
    <mergeCell ref="BJ116:BK116"/>
    <mergeCell ref="BM116:BN116"/>
    <mergeCell ref="CM114:CO114"/>
    <mergeCell ref="DE114:DG114"/>
    <mergeCell ref="DK114:DM114"/>
    <mergeCell ref="DQ114:DS114"/>
    <mergeCell ref="EC114:EE114"/>
    <mergeCell ref="DE115:DG115"/>
    <mergeCell ref="DK115:DM115"/>
    <mergeCell ref="DQ115:DS115"/>
    <mergeCell ref="EC115:EE115"/>
    <mergeCell ref="EI2:EK2"/>
    <mergeCell ref="CJ2:CL2"/>
    <mergeCell ref="CM2:CO2"/>
    <mergeCell ref="CP2:CR2"/>
    <mergeCell ref="CS2:CU2"/>
    <mergeCell ref="CV2:CX2"/>
    <mergeCell ref="CY2:DA2"/>
    <mergeCell ref="DB2:DD2"/>
    <mergeCell ref="DE2:DG2"/>
    <mergeCell ref="DH2:DJ2"/>
    <mergeCell ref="BF2:BH2"/>
    <mergeCell ref="DK2:DM2"/>
    <mergeCell ref="DN2:DP2"/>
    <mergeCell ref="DQ2:DS2"/>
    <mergeCell ref="DT2:DV2"/>
    <mergeCell ref="DW2:DY2"/>
    <mergeCell ref="DZ2:EB2"/>
    <mergeCell ref="EC2:EE2"/>
    <mergeCell ref="EF2:EH2"/>
    <mergeCell ref="BI2:BK2"/>
    <mergeCell ref="BL2:BN2"/>
    <mergeCell ref="BO2:BQ2"/>
    <mergeCell ref="BR2:BT2"/>
    <mergeCell ref="BU2:BW2"/>
    <mergeCell ref="BX2:BZ2"/>
    <mergeCell ref="CA2:CC2"/>
    <mergeCell ref="CD2:CF2"/>
    <mergeCell ref="CG2:CI2"/>
    <mergeCell ref="BF3:BH3"/>
    <mergeCell ref="BI3:BK3"/>
    <mergeCell ref="BL3:BN3"/>
    <mergeCell ref="BO3:BQ3"/>
    <mergeCell ref="BR3:BT3"/>
    <mergeCell ref="BU3:BW3"/>
    <mergeCell ref="BX3:BZ3"/>
    <mergeCell ref="CA3:CC3"/>
    <mergeCell ref="CD3:CF3"/>
    <mergeCell ref="EV8:EV10"/>
    <mergeCell ref="EW8:EW10"/>
    <mergeCell ref="CV3:CX3"/>
    <mergeCell ref="CY3:DA3"/>
    <mergeCell ref="DB3:DD3"/>
    <mergeCell ref="DE3:DG3"/>
    <mergeCell ref="DH3:DJ3"/>
    <mergeCell ref="DK3:DM3"/>
    <mergeCell ref="DN3:DP3"/>
    <mergeCell ref="EF3:EH3"/>
    <mergeCell ref="EI3:EK3"/>
    <mergeCell ref="EL3:EN3"/>
    <mergeCell ref="DQ3:DS3"/>
    <mergeCell ref="DT3:DV3"/>
    <mergeCell ref="DB4:DD4"/>
    <mergeCell ref="DE4:DG4"/>
    <mergeCell ref="DN4:DP4"/>
    <mergeCell ref="DQ4:DS4"/>
    <mergeCell ref="EI4:EK4"/>
    <mergeCell ref="EL4:EN4"/>
    <mergeCell ref="EO4:EQ4"/>
    <mergeCell ref="ES4:EU4"/>
    <mergeCell ref="EO2:EQ2"/>
    <mergeCell ref="ES2:EU2"/>
    <mergeCell ref="F3:H3"/>
    <mergeCell ref="I3:K3"/>
    <mergeCell ref="L3:N3"/>
    <mergeCell ref="O3:Q3"/>
    <mergeCell ref="R3:T3"/>
    <mergeCell ref="U3:W3"/>
    <mergeCell ref="X3:Z3"/>
    <mergeCell ref="AA3:AC3"/>
    <mergeCell ref="AD3:AF3"/>
    <mergeCell ref="AG3:AI3"/>
    <mergeCell ref="CG3:CI3"/>
    <mergeCell ref="CJ3:CL3"/>
    <mergeCell ref="CM3:CO3"/>
    <mergeCell ref="CP3:CR3"/>
    <mergeCell ref="CS3:CU3"/>
    <mergeCell ref="AJ3:AM3"/>
    <mergeCell ref="AN3:AP3"/>
    <mergeCell ref="DW3:DY3"/>
    <mergeCell ref="DZ3:EB3"/>
    <mergeCell ref="EC3:EE3"/>
    <mergeCell ref="EL2:EN2"/>
    <mergeCell ref="AQ3:AS3"/>
    <mergeCell ref="B4:B5"/>
    <mergeCell ref="C4:C5"/>
    <mergeCell ref="D4:D5"/>
    <mergeCell ref="E4:E5"/>
    <mergeCell ref="F4:H4"/>
    <mergeCell ref="I4:K4"/>
    <mergeCell ref="R2:T2"/>
    <mergeCell ref="U2:W2"/>
    <mergeCell ref="X2:Z2"/>
    <mergeCell ref="L2:N2"/>
    <mergeCell ref="O2:Q2"/>
    <mergeCell ref="AA2:AC2"/>
    <mergeCell ref="AD2:AF2"/>
    <mergeCell ref="AG2:AI2"/>
    <mergeCell ref="AQ2:AS2"/>
    <mergeCell ref="AT2:AV2"/>
    <mergeCell ref="AW2:AY2"/>
    <mergeCell ref="AZ2:BB2"/>
    <mergeCell ref="AZ113:BB113"/>
    <mergeCell ref="BC113:BE113"/>
    <mergeCell ref="BC2:BE2"/>
    <mergeCell ref="AJ2:AM2"/>
    <mergeCell ref="AN2:AP2"/>
    <mergeCell ref="AT3:AV3"/>
    <mergeCell ref="AW3:AY3"/>
    <mergeCell ref="AZ3:BB3"/>
    <mergeCell ref="BC3:BE3"/>
    <mergeCell ref="AD113:AF113"/>
    <mergeCell ref="AJ113:AM113"/>
    <mergeCell ref="AN113:AP113"/>
    <mergeCell ref="AQ113:AS113"/>
  </mergeCells>
  <conditionalFormatting sqref="A6:EQ110 ES6:EW110 AG133">
    <cfRule type="expression" dxfId="3" priority="1">
      <formula>ISODD(ROW())</formula>
    </cfRule>
  </conditionalFormatting>
  <hyperlinks>
    <hyperlink ref="EW8" r:id="rId1" location="11029338" xr:uid="{00000000-0004-0000-0600-000000000000}"/>
    <hyperlink ref="EW12" r:id="rId2" xr:uid="{00000000-0004-0000-0600-000001000000}"/>
    <hyperlink ref="EW14" r:id="rId3" xr:uid="{00000000-0004-0000-0600-000002000000}"/>
    <hyperlink ref="EW19" r:id="rId4" xr:uid="{00000000-0004-0000-0600-000003000000}"/>
    <hyperlink ref="EW21" r:id="rId5" xr:uid="{00000000-0004-0000-0600-000004000000}"/>
    <hyperlink ref="EW22" r:id="rId6" xr:uid="{00000000-0004-0000-0600-000005000000}"/>
    <hyperlink ref="EW23" r:id="rId7" xr:uid="{00000000-0004-0000-0600-000006000000}"/>
    <hyperlink ref="EW24" r:id="rId8" xr:uid="{00000000-0004-0000-0600-000007000000}"/>
    <hyperlink ref="EW25" r:id="rId9" xr:uid="{00000000-0004-0000-0600-000008000000}"/>
    <hyperlink ref="EW26" r:id="rId10" xr:uid="{00000000-0004-0000-0600-000009000000}"/>
    <hyperlink ref="EW27" r:id="rId11" xr:uid="{00000000-0004-0000-0600-00000A000000}"/>
    <hyperlink ref="EW28" r:id="rId12" xr:uid="{00000000-0004-0000-0600-00000B000000}"/>
    <hyperlink ref="EW29" r:id="rId13" xr:uid="{00000000-0004-0000-0600-00000C000000}"/>
    <hyperlink ref="EW30" r:id="rId14" xr:uid="{00000000-0004-0000-0600-00000D000000}"/>
    <hyperlink ref="EW31" r:id="rId15" xr:uid="{00000000-0004-0000-0600-00000E000000}"/>
    <hyperlink ref="EW32" r:id="rId16" xr:uid="{00000000-0004-0000-0600-00000F000000}"/>
    <hyperlink ref="EW33" r:id="rId17" xr:uid="{00000000-0004-0000-0600-000010000000}"/>
    <hyperlink ref="EW34" r:id="rId18" xr:uid="{00000000-0004-0000-0600-000011000000}"/>
    <hyperlink ref="EW35" r:id="rId19" xr:uid="{00000000-0004-0000-0600-000012000000}"/>
    <hyperlink ref="EW36" r:id="rId20" xr:uid="{00000000-0004-0000-0600-000013000000}"/>
    <hyperlink ref="EW37" r:id="rId21" xr:uid="{00000000-0004-0000-0600-000014000000}"/>
    <hyperlink ref="EW38" r:id="rId22" xr:uid="{00000000-0004-0000-0600-000015000000}"/>
    <hyperlink ref="EW39" r:id="rId23" xr:uid="{00000000-0004-0000-0600-000016000000}"/>
    <hyperlink ref="EW40" r:id="rId24" xr:uid="{00000000-0004-0000-0600-000017000000}"/>
    <hyperlink ref="EW42" r:id="rId25" xr:uid="{00000000-0004-0000-0600-000018000000}"/>
    <hyperlink ref="EW43" r:id="rId26" xr:uid="{00000000-0004-0000-0600-000019000000}"/>
    <hyperlink ref="EW44" r:id="rId27" xr:uid="{00000000-0004-0000-0600-00001A000000}"/>
    <hyperlink ref="EW46" r:id="rId28" xr:uid="{00000000-0004-0000-0600-00001B000000}"/>
    <hyperlink ref="EW47" r:id="rId29" xr:uid="{00000000-0004-0000-0600-00001C000000}"/>
    <hyperlink ref="EW49" r:id="rId30" xr:uid="{00000000-0004-0000-0600-00001D000000}"/>
    <hyperlink ref="EW50" r:id="rId31" xr:uid="{00000000-0004-0000-0600-00001E000000}"/>
    <hyperlink ref="EW51" r:id="rId32" xr:uid="{00000000-0004-0000-0600-00001F000000}"/>
    <hyperlink ref="EW52" r:id="rId33" xr:uid="{00000000-0004-0000-0600-000020000000}"/>
    <hyperlink ref="EW53" r:id="rId34" xr:uid="{00000000-0004-0000-0600-000021000000}"/>
    <hyperlink ref="EW54" r:id="rId35" xr:uid="{00000000-0004-0000-0600-000022000000}"/>
    <hyperlink ref="EW55" r:id="rId36" xr:uid="{00000000-0004-0000-0600-000023000000}"/>
    <hyperlink ref="EW56" r:id="rId37" xr:uid="{00000000-0004-0000-0600-000024000000}"/>
    <hyperlink ref="EW57" r:id="rId38" xr:uid="{00000000-0004-0000-0600-000025000000}"/>
    <hyperlink ref="EW58" r:id="rId39" xr:uid="{00000000-0004-0000-0600-000026000000}"/>
    <hyperlink ref="EW59" r:id="rId40" xr:uid="{00000000-0004-0000-0600-000027000000}"/>
    <hyperlink ref="EW61" r:id="rId41" xr:uid="{00000000-0004-0000-0600-000028000000}"/>
    <hyperlink ref="EW65" r:id="rId42" xr:uid="{00000000-0004-0000-0600-000029000000}"/>
    <hyperlink ref="EW72" r:id="rId43" xr:uid="{00000000-0004-0000-0600-00002A000000}"/>
    <hyperlink ref="EW76" r:id="rId44" xr:uid="{00000000-0004-0000-0600-00002B000000}"/>
    <hyperlink ref="EW78" r:id="rId45" xr:uid="{00000000-0004-0000-0600-00002C000000}"/>
    <hyperlink ref="EW79" r:id="rId46" xr:uid="{00000000-0004-0000-0600-00002D000000}"/>
    <hyperlink ref="EW82" r:id="rId47" xr:uid="{00000000-0004-0000-0600-00002E000000}"/>
    <hyperlink ref="EW84" r:id="rId48" xr:uid="{00000000-0004-0000-0600-00002F000000}"/>
    <hyperlink ref="EW86" r:id="rId49" xr:uid="{00000000-0004-0000-0600-000030000000}"/>
    <hyperlink ref="EW88" r:id="rId50" xr:uid="{00000000-0004-0000-0600-000031000000}"/>
    <hyperlink ref="EW93" r:id="rId51" xr:uid="{00000000-0004-0000-0600-000032000000}"/>
    <hyperlink ref="EW94" r:id="rId52" xr:uid="{00000000-0004-0000-0600-000033000000}"/>
    <hyperlink ref="EW100" r:id="rId53" xr:uid="{00000000-0004-0000-0600-000034000000}"/>
    <hyperlink ref="C122" r:id="rId54" xr:uid="{00000000-0004-0000-0600-000035000000}"/>
    <hyperlink ref="C126" r:id="rId55" location="/c88e37cfc43b4ed3baf977d77e4a0667" xr:uid="{00000000-0004-0000-0600-000036000000}"/>
    <hyperlink ref="C130" r:id="rId56" xr:uid="{00000000-0004-0000-0600-000037000000}"/>
  </hyperlinks>
  <printOptions horizontalCentered="1"/>
  <pageMargins left="0.7" right="0.7" top="0.75" bottom="0.75" header="0" footer="0"/>
  <pageSetup fitToHeight="0" pageOrder="overThenDown" orientation="landscape" cellComments="atEnd"/>
  <drawing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AI1071"/>
  <sheetViews>
    <sheetView workbookViewId="0">
      <pane xSplit="5" ySplit="5" topLeftCell="F6" activePane="bottomRight" state="frozen"/>
      <selection pane="topRight" activeCell="F1" sqref="F1"/>
      <selection pane="bottomLeft" activeCell="A6" sqref="A6"/>
      <selection pane="bottomRight" activeCell="F6" sqref="F6"/>
    </sheetView>
  </sheetViews>
  <sheetFormatPr baseColWidth="10" defaultColWidth="14.42578125" defaultRowHeight="15.75" customHeight="1"/>
  <cols>
    <col min="1" max="1" width="10.5703125" customWidth="1"/>
    <col min="2" max="5" width="7.42578125" customWidth="1"/>
    <col min="6" max="8" width="5.85546875" customWidth="1"/>
    <col min="9" max="14" width="4.140625" customWidth="1"/>
    <col min="15" max="18" width="5" customWidth="1"/>
    <col min="19" max="29" width="4.140625" customWidth="1"/>
    <col min="30" max="30" width="4.7109375" customWidth="1"/>
    <col min="31" max="33" width="4.140625" customWidth="1"/>
    <col min="34" max="34" width="45.42578125" customWidth="1"/>
    <col min="35" max="35" width="42.42578125" customWidth="1"/>
  </cols>
  <sheetData>
    <row r="1" spans="1:35" ht="12.75">
      <c r="A1" s="530" t="s">
        <v>16</v>
      </c>
      <c r="B1" s="530" t="s">
        <v>1144</v>
      </c>
      <c r="C1" s="531"/>
      <c r="D1" s="531"/>
      <c r="E1" s="532"/>
      <c r="F1" s="530" t="s">
        <v>77</v>
      </c>
      <c r="G1" s="531"/>
      <c r="H1" s="531"/>
      <c r="I1" s="531"/>
      <c r="J1" s="531"/>
      <c r="K1" s="531"/>
      <c r="L1" s="531"/>
      <c r="M1" s="531"/>
      <c r="N1" s="531"/>
      <c r="O1" s="531"/>
      <c r="P1" s="531"/>
      <c r="Q1" s="531"/>
      <c r="R1" s="531"/>
      <c r="S1" s="531"/>
      <c r="T1" s="531"/>
      <c r="U1" s="531"/>
      <c r="V1" s="531"/>
      <c r="W1" s="531"/>
      <c r="X1" s="531"/>
      <c r="Y1" s="531"/>
      <c r="Z1" s="531"/>
      <c r="AA1" s="250"/>
      <c r="AB1" s="607" t="s">
        <v>1145</v>
      </c>
      <c r="AC1" s="531"/>
      <c r="AD1" s="532"/>
      <c r="AE1" s="607" t="s">
        <v>1146</v>
      </c>
      <c r="AF1" s="531"/>
      <c r="AG1" s="532"/>
      <c r="AH1" s="530" t="s">
        <v>6</v>
      </c>
      <c r="AI1" s="530" t="s">
        <v>7</v>
      </c>
    </row>
    <row r="2" spans="1:35" ht="12.75">
      <c r="A2" s="531"/>
      <c r="B2" s="531"/>
      <c r="C2" s="531"/>
      <c r="D2" s="531"/>
      <c r="E2" s="532"/>
      <c r="F2" s="530" t="s">
        <v>1147</v>
      </c>
      <c r="G2" s="531"/>
      <c r="H2" s="532"/>
      <c r="I2" s="530" t="s">
        <v>1148</v>
      </c>
      <c r="J2" s="531"/>
      <c r="K2" s="532"/>
      <c r="L2" s="530" t="s">
        <v>1149</v>
      </c>
      <c r="M2" s="531"/>
      <c r="N2" s="532"/>
      <c r="O2" s="530" t="s">
        <v>1150</v>
      </c>
      <c r="P2" s="531"/>
      <c r="Q2" s="532"/>
      <c r="R2" s="530" t="s">
        <v>1151</v>
      </c>
      <c r="S2" s="531"/>
      <c r="T2" s="532"/>
      <c r="U2" s="530" t="s">
        <v>1152</v>
      </c>
      <c r="V2" s="531"/>
      <c r="W2" s="532"/>
      <c r="X2" s="530" t="s">
        <v>1153</v>
      </c>
      <c r="Y2" s="531"/>
      <c r="Z2" s="532"/>
      <c r="AA2" s="468"/>
      <c r="AB2" s="543"/>
      <c r="AC2" s="531"/>
      <c r="AD2" s="532"/>
      <c r="AE2" s="543"/>
      <c r="AF2" s="531"/>
      <c r="AG2" s="532"/>
      <c r="AH2" s="531"/>
      <c r="AI2" s="531"/>
    </row>
    <row r="3" spans="1:35" ht="12.75">
      <c r="A3" s="531"/>
      <c r="B3" s="531"/>
      <c r="C3" s="531"/>
      <c r="D3" s="531"/>
      <c r="E3" s="532"/>
      <c r="F3" s="530" t="s">
        <v>1154</v>
      </c>
      <c r="G3" s="531"/>
      <c r="H3" s="532"/>
      <c r="I3" s="530" t="s">
        <v>1155</v>
      </c>
      <c r="J3" s="531"/>
      <c r="K3" s="532"/>
      <c r="L3" s="530" t="s">
        <v>1156</v>
      </c>
      <c r="M3" s="531"/>
      <c r="N3" s="532"/>
      <c r="O3" s="530" t="s">
        <v>1157</v>
      </c>
      <c r="P3" s="531"/>
      <c r="Q3" s="532"/>
      <c r="R3" s="530" t="s">
        <v>1158</v>
      </c>
      <c r="S3" s="531"/>
      <c r="T3" s="532"/>
      <c r="U3" s="530" t="s">
        <v>1159</v>
      </c>
      <c r="V3" s="531"/>
      <c r="W3" s="532"/>
      <c r="X3" s="530" t="s">
        <v>1160</v>
      </c>
      <c r="Y3" s="531"/>
      <c r="Z3" s="532"/>
      <c r="AA3" s="468"/>
      <c r="AB3" s="607" t="s">
        <v>1161</v>
      </c>
      <c r="AC3" s="531"/>
      <c r="AD3" s="532"/>
      <c r="AE3" s="607" t="s">
        <v>1161</v>
      </c>
      <c r="AF3" s="531"/>
      <c r="AG3" s="532"/>
      <c r="AH3" s="531"/>
      <c r="AI3" s="531"/>
    </row>
    <row r="4" spans="1:35" ht="12.75">
      <c r="A4" s="531"/>
      <c r="B4" s="625" t="s">
        <v>8</v>
      </c>
      <c r="C4" s="626" t="s">
        <v>9</v>
      </c>
      <c r="D4" s="642" t="s">
        <v>10</v>
      </c>
      <c r="E4" s="633" t="s">
        <v>11</v>
      </c>
      <c r="F4" s="530"/>
      <c r="G4" s="531"/>
      <c r="H4" s="532"/>
      <c r="I4" s="530"/>
      <c r="J4" s="531"/>
      <c r="K4" s="532"/>
      <c r="L4" s="530"/>
      <c r="M4" s="531"/>
      <c r="N4" s="532"/>
      <c r="O4" s="530"/>
      <c r="P4" s="531"/>
      <c r="Q4" s="532"/>
      <c r="R4" s="530"/>
      <c r="S4" s="531"/>
      <c r="T4" s="532"/>
      <c r="U4" s="530"/>
      <c r="V4" s="531"/>
      <c r="W4" s="532"/>
      <c r="X4" s="530"/>
      <c r="Y4" s="531"/>
      <c r="Z4" s="532"/>
      <c r="AA4" s="468"/>
      <c r="AB4" s="607"/>
      <c r="AC4" s="531"/>
      <c r="AD4" s="532"/>
      <c r="AE4" s="607"/>
      <c r="AF4" s="531"/>
      <c r="AG4" s="532"/>
      <c r="AH4" s="531"/>
      <c r="AI4" s="531"/>
    </row>
    <row r="5" spans="1:35" ht="12.75">
      <c r="A5" s="531"/>
      <c r="B5" s="531"/>
      <c r="C5" s="531"/>
      <c r="D5" s="531"/>
      <c r="E5" s="532"/>
      <c r="F5" s="30" t="s">
        <v>99</v>
      </c>
      <c r="G5" s="31" t="s">
        <v>100</v>
      </c>
      <c r="H5" s="32" t="s">
        <v>102</v>
      </c>
      <c r="I5" s="30" t="s">
        <v>99</v>
      </c>
      <c r="J5" s="31" t="s">
        <v>100</v>
      </c>
      <c r="K5" s="32" t="s">
        <v>102</v>
      </c>
      <c r="L5" s="30" t="s">
        <v>99</v>
      </c>
      <c r="M5" s="31" t="s">
        <v>100</v>
      </c>
      <c r="N5" s="32" t="s">
        <v>102</v>
      </c>
      <c r="O5" s="30" t="s">
        <v>99</v>
      </c>
      <c r="P5" s="31" t="s">
        <v>100</v>
      </c>
      <c r="Q5" s="32" t="s">
        <v>102</v>
      </c>
      <c r="R5" s="30" t="s">
        <v>99</v>
      </c>
      <c r="S5" s="31" t="s">
        <v>100</v>
      </c>
      <c r="T5" s="32" t="s">
        <v>102</v>
      </c>
      <c r="U5" s="30" t="s">
        <v>99</v>
      </c>
      <c r="V5" s="31" t="s">
        <v>100</v>
      </c>
      <c r="W5" s="32" t="s">
        <v>102</v>
      </c>
      <c r="X5" s="30" t="s">
        <v>99</v>
      </c>
      <c r="Y5" s="31" t="s">
        <v>100</v>
      </c>
      <c r="Z5" s="32" t="s">
        <v>102</v>
      </c>
      <c r="AA5" s="469"/>
      <c r="AB5" s="37" t="s">
        <v>99</v>
      </c>
      <c r="AC5" s="31" t="s">
        <v>100</v>
      </c>
      <c r="AD5" s="32" t="s">
        <v>102</v>
      </c>
      <c r="AE5" s="37" t="s">
        <v>99</v>
      </c>
      <c r="AF5" s="31" t="s">
        <v>100</v>
      </c>
      <c r="AG5" s="32" t="s">
        <v>102</v>
      </c>
      <c r="AH5" s="531"/>
      <c r="AI5" s="531"/>
    </row>
    <row r="6" spans="1:35" ht="12.75">
      <c r="A6" s="40">
        <v>43815</v>
      </c>
      <c r="B6" s="15">
        <f t="shared" ref="B6:B57" si="0">SUM(F6)</f>
        <v>0</v>
      </c>
      <c r="C6" s="15">
        <f t="shared" ref="C6:D6" si="1">SUM(G6,)</f>
        <v>0</v>
      </c>
      <c r="D6" s="15">
        <f t="shared" si="1"/>
        <v>0</v>
      </c>
      <c r="E6" s="154">
        <f t="shared" ref="E6:E7" si="2">B6-C518-D6</f>
        <v>0</v>
      </c>
      <c r="F6" s="18">
        <v>0</v>
      </c>
      <c r="G6" s="18">
        <v>0</v>
      </c>
      <c r="H6" s="317">
        <v>0</v>
      </c>
      <c r="I6" s="18">
        <v>0</v>
      </c>
      <c r="J6" s="18">
        <v>0</v>
      </c>
      <c r="K6" s="317">
        <v>0</v>
      </c>
      <c r="L6" s="18">
        <v>0</v>
      </c>
      <c r="M6" s="18">
        <v>0</v>
      </c>
      <c r="N6" s="317">
        <v>0</v>
      </c>
      <c r="O6" s="18">
        <v>0</v>
      </c>
      <c r="P6" s="18">
        <v>0</v>
      </c>
      <c r="Q6" s="317">
        <v>0</v>
      </c>
      <c r="R6" s="18">
        <v>0</v>
      </c>
      <c r="S6" s="18">
        <v>0</v>
      </c>
      <c r="T6" s="317">
        <v>0</v>
      </c>
      <c r="U6" s="18">
        <v>0</v>
      </c>
      <c r="V6" s="18">
        <v>0</v>
      </c>
      <c r="W6" s="317">
        <v>0</v>
      </c>
      <c r="X6" s="18">
        <v>0</v>
      </c>
      <c r="Y6" s="18">
        <v>0</v>
      </c>
      <c r="Z6" s="317">
        <v>0</v>
      </c>
      <c r="AA6" s="226"/>
      <c r="AB6" s="470">
        <v>0</v>
      </c>
      <c r="AC6" s="53">
        <v>0</v>
      </c>
      <c r="AD6" s="471">
        <v>0</v>
      </c>
      <c r="AE6" s="470">
        <v>0</v>
      </c>
      <c r="AF6" s="53">
        <v>0</v>
      </c>
      <c r="AG6" s="471">
        <v>0</v>
      </c>
      <c r="AH6" s="55"/>
      <c r="AI6" s="56"/>
    </row>
    <row r="7" spans="1:35" ht="12.75">
      <c r="A7" s="43">
        <v>43830</v>
      </c>
      <c r="B7" s="22">
        <f t="shared" si="0"/>
        <v>0</v>
      </c>
      <c r="C7" s="22">
        <f t="shared" ref="C7:D7" si="3">SUM(G7,)</f>
        <v>0</v>
      </c>
      <c r="D7" s="22">
        <f t="shared" si="3"/>
        <v>0</v>
      </c>
      <c r="E7" s="319">
        <f t="shared" si="2"/>
        <v>0</v>
      </c>
      <c r="F7" s="22">
        <v>0</v>
      </c>
      <c r="G7" s="22">
        <v>0</v>
      </c>
      <c r="H7" s="24">
        <v>0</v>
      </c>
      <c r="I7" s="22">
        <v>0</v>
      </c>
      <c r="J7" s="22">
        <v>0</v>
      </c>
      <c r="K7" s="24">
        <v>0</v>
      </c>
      <c r="L7" s="22">
        <v>0</v>
      </c>
      <c r="M7" s="22">
        <v>0</v>
      </c>
      <c r="N7" s="24">
        <v>0</v>
      </c>
      <c r="O7" s="22">
        <v>0</v>
      </c>
      <c r="P7" s="22">
        <v>0</v>
      </c>
      <c r="Q7" s="24">
        <v>0</v>
      </c>
      <c r="R7" s="22">
        <v>0</v>
      </c>
      <c r="S7" s="22">
        <v>0</v>
      </c>
      <c r="T7" s="24">
        <v>0</v>
      </c>
      <c r="U7" s="22">
        <v>0</v>
      </c>
      <c r="V7" s="22">
        <v>0</v>
      </c>
      <c r="W7" s="24">
        <v>0</v>
      </c>
      <c r="X7" s="22">
        <v>0</v>
      </c>
      <c r="Y7" s="22">
        <v>0</v>
      </c>
      <c r="Z7" s="24">
        <v>0</v>
      </c>
      <c r="AA7" s="472"/>
      <c r="AB7" s="473">
        <v>0</v>
      </c>
      <c r="AC7" s="65">
        <v>0</v>
      </c>
      <c r="AD7" s="474">
        <v>0</v>
      </c>
      <c r="AE7" s="473">
        <v>0</v>
      </c>
      <c r="AF7" s="65">
        <v>0</v>
      </c>
      <c r="AG7" s="474">
        <v>0</v>
      </c>
      <c r="AH7" s="66"/>
      <c r="AI7" s="67"/>
    </row>
    <row r="8" spans="1:35" ht="12.75">
      <c r="A8" s="40">
        <v>43839</v>
      </c>
      <c r="B8" s="15">
        <f t="shared" si="0"/>
        <v>0</v>
      </c>
      <c r="C8" s="15">
        <f t="shared" ref="C8:D8" si="4">SUM(G8,)</f>
        <v>0</v>
      </c>
      <c r="D8" s="15">
        <f t="shared" si="4"/>
        <v>0</v>
      </c>
      <c r="E8" s="154">
        <f t="shared" ref="E8:E11" si="5">B8-C518-D8</f>
        <v>0</v>
      </c>
      <c r="F8" s="18">
        <v>0</v>
      </c>
      <c r="G8" s="18">
        <v>0</v>
      </c>
      <c r="H8" s="317">
        <v>0</v>
      </c>
      <c r="I8" s="18">
        <v>0</v>
      </c>
      <c r="J8" s="18">
        <v>0</v>
      </c>
      <c r="K8" s="317">
        <v>0</v>
      </c>
      <c r="L8" s="18">
        <v>0</v>
      </c>
      <c r="M8" s="18">
        <v>0</v>
      </c>
      <c r="N8" s="317">
        <v>0</v>
      </c>
      <c r="O8" s="18">
        <v>0</v>
      </c>
      <c r="P8" s="18">
        <v>0</v>
      </c>
      <c r="Q8" s="317">
        <v>0</v>
      </c>
      <c r="R8" s="18">
        <v>0</v>
      </c>
      <c r="S8" s="18">
        <v>0</v>
      </c>
      <c r="T8" s="317">
        <v>0</v>
      </c>
      <c r="U8" s="18">
        <v>0</v>
      </c>
      <c r="V8" s="18">
        <v>0</v>
      </c>
      <c r="W8" s="317">
        <v>0</v>
      </c>
      <c r="X8" s="18">
        <v>0</v>
      </c>
      <c r="Y8" s="18">
        <v>0</v>
      </c>
      <c r="Z8" s="317">
        <v>0</v>
      </c>
      <c r="AA8" s="226"/>
      <c r="AB8" s="470">
        <v>0</v>
      </c>
      <c r="AC8" s="53">
        <v>0</v>
      </c>
      <c r="AD8" s="471">
        <v>0</v>
      </c>
      <c r="AE8" s="470">
        <v>0</v>
      </c>
      <c r="AF8" s="53">
        <v>0</v>
      </c>
      <c r="AG8" s="471">
        <v>0</v>
      </c>
      <c r="AH8" s="55"/>
      <c r="AI8" s="56"/>
    </row>
    <row r="9" spans="1:35" ht="12.75">
      <c r="A9" s="40">
        <v>43840</v>
      </c>
      <c r="B9" s="15">
        <f t="shared" si="0"/>
        <v>0</v>
      </c>
      <c r="C9" s="15">
        <f t="shared" ref="C9:D9" si="6">SUM(G9,)</f>
        <v>0</v>
      </c>
      <c r="D9" s="15">
        <f t="shared" si="6"/>
        <v>0</v>
      </c>
      <c r="E9" s="154">
        <f t="shared" si="5"/>
        <v>0</v>
      </c>
      <c r="F9" s="18">
        <v>0</v>
      </c>
      <c r="G9" s="18">
        <v>0</v>
      </c>
      <c r="H9" s="317">
        <v>0</v>
      </c>
      <c r="I9" s="18">
        <v>0</v>
      </c>
      <c r="J9" s="18">
        <v>0</v>
      </c>
      <c r="K9" s="317">
        <v>0</v>
      </c>
      <c r="L9" s="18">
        <v>0</v>
      </c>
      <c r="M9" s="18">
        <v>0</v>
      </c>
      <c r="N9" s="317">
        <v>0</v>
      </c>
      <c r="O9" s="18">
        <v>0</v>
      </c>
      <c r="P9" s="18">
        <v>0</v>
      </c>
      <c r="Q9" s="317">
        <v>0</v>
      </c>
      <c r="R9" s="18">
        <v>0</v>
      </c>
      <c r="S9" s="18">
        <v>0</v>
      </c>
      <c r="T9" s="317">
        <v>0</v>
      </c>
      <c r="U9" s="18">
        <v>0</v>
      </c>
      <c r="V9" s="18">
        <v>0</v>
      </c>
      <c r="W9" s="317">
        <v>0</v>
      </c>
      <c r="X9" s="18">
        <v>0</v>
      </c>
      <c r="Y9" s="18">
        <v>0</v>
      </c>
      <c r="Z9" s="317">
        <v>0</v>
      </c>
      <c r="AA9" s="226"/>
      <c r="AB9" s="470">
        <v>0</v>
      </c>
      <c r="AC9" s="53">
        <v>0</v>
      </c>
      <c r="AD9" s="471">
        <v>0</v>
      </c>
      <c r="AE9" s="470">
        <v>0</v>
      </c>
      <c r="AF9" s="53">
        <v>0</v>
      </c>
      <c r="AG9" s="471">
        <v>0</v>
      </c>
      <c r="AH9" s="55"/>
      <c r="AI9" s="56"/>
    </row>
    <row r="10" spans="1:35" ht="12.75">
      <c r="A10" s="40">
        <v>43841</v>
      </c>
      <c r="B10" s="15">
        <f t="shared" si="0"/>
        <v>0</v>
      </c>
      <c r="C10" s="15">
        <f t="shared" ref="C10:D10" si="7">SUM(G10,)</f>
        <v>0</v>
      </c>
      <c r="D10" s="15">
        <f t="shared" si="7"/>
        <v>0</v>
      </c>
      <c r="E10" s="154">
        <f t="shared" si="5"/>
        <v>0</v>
      </c>
      <c r="F10" s="18">
        <v>0</v>
      </c>
      <c r="G10" s="18">
        <v>0</v>
      </c>
      <c r="H10" s="317">
        <v>0</v>
      </c>
      <c r="I10" s="18">
        <v>0</v>
      </c>
      <c r="J10" s="18">
        <v>0</v>
      </c>
      <c r="K10" s="317">
        <v>0</v>
      </c>
      <c r="L10" s="18">
        <v>0</v>
      </c>
      <c r="M10" s="18">
        <v>0</v>
      </c>
      <c r="N10" s="317">
        <v>0</v>
      </c>
      <c r="O10" s="18">
        <v>0</v>
      </c>
      <c r="P10" s="18">
        <v>0</v>
      </c>
      <c r="Q10" s="317">
        <v>0</v>
      </c>
      <c r="R10" s="18">
        <v>0</v>
      </c>
      <c r="S10" s="18">
        <v>0</v>
      </c>
      <c r="T10" s="317">
        <v>0</v>
      </c>
      <c r="U10" s="18">
        <v>0</v>
      </c>
      <c r="V10" s="18">
        <v>0</v>
      </c>
      <c r="W10" s="317">
        <v>0</v>
      </c>
      <c r="X10" s="18">
        <v>0</v>
      </c>
      <c r="Y10" s="18">
        <v>0</v>
      </c>
      <c r="Z10" s="317">
        <v>0</v>
      </c>
      <c r="AA10" s="226"/>
      <c r="AB10" s="470">
        <v>0</v>
      </c>
      <c r="AC10" s="53">
        <v>0</v>
      </c>
      <c r="AD10" s="471">
        <v>0</v>
      </c>
      <c r="AE10" s="470">
        <v>0</v>
      </c>
      <c r="AF10" s="53">
        <v>0</v>
      </c>
      <c r="AG10" s="471">
        <v>0</v>
      </c>
      <c r="AH10" s="55"/>
      <c r="AI10" s="56"/>
    </row>
    <row r="11" spans="1:35" ht="12.75">
      <c r="A11" s="40">
        <v>43842</v>
      </c>
      <c r="B11" s="15">
        <f t="shared" si="0"/>
        <v>0</v>
      </c>
      <c r="C11" s="15">
        <f t="shared" ref="C11:D11" si="8">SUM(G11,)</f>
        <v>0</v>
      </c>
      <c r="D11" s="15">
        <f t="shared" si="8"/>
        <v>0</v>
      </c>
      <c r="E11" s="154">
        <f t="shared" si="5"/>
        <v>0</v>
      </c>
      <c r="F11" s="18">
        <v>0</v>
      </c>
      <c r="G11" s="18">
        <v>0</v>
      </c>
      <c r="H11" s="317">
        <v>0</v>
      </c>
      <c r="I11" s="18">
        <v>0</v>
      </c>
      <c r="J11" s="18">
        <v>0</v>
      </c>
      <c r="K11" s="317">
        <v>0</v>
      </c>
      <c r="L11" s="18">
        <v>0</v>
      </c>
      <c r="M11" s="18">
        <v>0</v>
      </c>
      <c r="N11" s="317">
        <v>0</v>
      </c>
      <c r="O11" s="18">
        <v>0</v>
      </c>
      <c r="P11" s="18">
        <v>0</v>
      </c>
      <c r="Q11" s="317">
        <v>0</v>
      </c>
      <c r="R11" s="18">
        <v>0</v>
      </c>
      <c r="S11" s="18">
        <v>0</v>
      </c>
      <c r="T11" s="317">
        <v>0</v>
      </c>
      <c r="U11" s="18">
        <v>0</v>
      </c>
      <c r="V11" s="18">
        <v>0</v>
      </c>
      <c r="W11" s="317">
        <v>0</v>
      </c>
      <c r="X11" s="18">
        <v>0</v>
      </c>
      <c r="Y11" s="18">
        <v>0</v>
      </c>
      <c r="Z11" s="317">
        <v>0</v>
      </c>
      <c r="AA11" s="226"/>
      <c r="AB11" s="470">
        <v>0</v>
      </c>
      <c r="AC11" s="53">
        <v>0</v>
      </c>
      <c r="AD11" s="471">
        <v>0</v>
      </c>
      <c r="AE11" s="470">
        <v>0</v>
      </c>
      <c r="AF11" s="53">
        <v>0</v>
      </c>
      <c r="AG11" s="471">
        <v>0</v>
      </c>
      <c r="AH11" s="55"/>
      <c r="AI11" s="56"/>
    </row>
    <row r="12" spans="1:35" ht="12.75">
      <c r="A12" s="40">
        <v>43843</v>
      </c>
      <c r="B12" s="15">
        <f t="shared" si="0"/>
        <v>0</v>
      </c>
      <c r="C12" s="15">
        <f t="shared" ref="C12:D12" si="9">SUM(G12,)</f>
        <v>0</v>
      </c>
      <c r="D12" s="15">
        <f t="shared" si="9"/>
        <v>0</v>
      </c>
      <c r="E12" s="154">
        <f t="shared" ref="E12:E13" si="10">B12-C521-D12</f>
        <v>0</v>
      </c>
      <c r="F12" s="18">
        <v>0</v>
      </c>
      <c r="G12" s="18">
        <v>0</v>
      </c>
      <c r="H12" s="317">
        <v>0</v>
      </c>
      <c r="I12" s="18">
        <v>0</v>
      </c>
      <c r="J12" s="18">
        <v>0</v>
      </c>
      <c r="K12" s="317">
        <v>0</v>
      </c>
      <c r="L12" s="18">
        <v>0</v>
      </c>
      <c r="M12" s="18">
        <v>0</v>
      </c>
      <c r="N12" s="317">
        <v>0</v>
      </c>
      <c r="O12" s="18">
        <v>0</v>
      </c>
      <c r="P12" s="18">
        <v>0</v>
      </c>
      <c r="Q12" s="317">
        <v>0</v>
      </c>
      <c r="R12" s="18">
        <v>0</v>
      </c>
      <c r="S12" s="18">
        <v>0</v>
      </c>
      <c r="T12" s="317">
        <v>0</v>
      </c>
      <c r="U12" s="18">
        <v>0</v>
      </c>
      <c r="V12" s="18">
        <v>0</v>
      </c>
      <c r="W12" s="317">
        <v>0</v>
      </c>
      <c r="X12" s="18">
        <v>0</v>
      </c>
      <c r="Y12" s="18">
        <v>0</v>
      </c>
      <c r="Z12" s="317">
        <v>0</v>
      </c>
      <c r="AA12" s="226"/>
      <c r="AB12" s="470">
        <v>0</v>
      </c>
      <c r="AC12" s="53">
        <v>0</v>
      </c>
      <c r="AD12" s="471">
        <v>0</v>
      </c>
      <c r="AE12" s="470">
        <v>0</v>
      </c>
      <c r="AF12" s="53">
        <v>0</v>
      </c>
      <c r="AG12" s="471">
        <v>0</v>
      </c>
      <c r="AH12" s="55"/>
      <c r="AI12" s="64"/>
    </row>
    <row r="13" spans="1:35" ht="12.75">
      <c r="A13" s="40">
        <v>43844</v>
      </c>
      <c r="B13" s="15">
        <f t="shared" si="0"/>
        <v>0</v>
      </c>
      <c r="C13" s="15">
        <f t="shared" ref="C13:D13" si="11">SUM(G13,)</f>
        <v>0</v>
      </c>
      <c r="D13" s="15">
        <f t="shared" si="11"/>
        <v>0</v>
      </c>
      <c r="E13" s="154">
        <f t="shared" si="10"/>
        <v>0</v>
      </c>
      <c r="F13" s="18">
        <v>0</v>
      </c>
      <c r="G13" s="18">
        <v>0</v>
      </c>
      <c r="H13" s="317">
        <v>0</v>
      </c>
      <c r="I13" s="18">
        <v>0</v>
      </c>
      <c r="J13" s="18">
        <v>0</v>
      </c>
      <c r="K13" s="317">
        <v>0</v>
      </c>
      <c r="L13" s="18">
        <v>0</v>
      </c>
      <c r="M13" s="18">
        <v>0</v>
      </c>
      <c r="N13" s="317">
        <v>0</v>
      </c>
      <c r="O13" s="18">
        <v>0</v>
      </c>
      <c r="P13" s="18">
        <v>0</v>
      </c>
      <c r="Q13" s="317">
        <v>0</v>
      </c>
      <c r="R13" s="18">
        <v>0</v>
      </c>
      <c r="S13" s="18">
        <v>0</v>
      </c>
      <c r="T13" s="317">
        <v>0</v>
      </c>
      <c r="U13" s="18">
        <v>0</v>
      </c>
      <c r="V13" s="18">
        <v>0</v>
      </c>
      <c r="W13" s="317">
        <v>0</v>
      </c>
      <c r="X13" s="18">
        <v>0</v>
      </c>
      <c r="Y13" s="18">
        <v>0</v>
      </c>
      <c r="Z13" s="317">
        <v>0</v>
      </c>
      <c r="AA13" s="226"/>
      <c r="AB13" s="470">
        <v>0</v>
      </c>
      <c r="AC13" s="53">
        <v>0</v>
      </c>
      <c r="AD13" s="471">
        <v>0</v>
      </c>
      <c r="AE13" s="470">
        <v>0</v>
      </c>
      <c r="AF13" s="53">
        <v>0</v>
      </c>
      <c r="AG13" s="471">
        <v>0</v>
      </c>
      <c r="AH13" s="55"/>
      <c r="AI13" s="64"/>
    </row>
    <row r="14" spans="1:35" ht="12.75">
      <c r="A14" s="40">
        <v>43845</v>
      </c>
      <c r="B14" s="15">
        <f t="shared" si="0"/>
        <v>0</v>
      </c>
      <c r="C14" s="15">
        <f t="shared" ref="C14:D14" si="12">SUM(G14,)</f>
        <v>0</v>
      </c>
      <c r="D14" s="15">
        <f t="shared" si="12"/>
        <v>0</v>
      </c>
      <c r="E14" s="154">
        <f t="shared" ref="E14:E16" si="13">B14-C521-D14</f>
        <v>0</v>
      </c>
      <c r="F14" s="18">
        <v>0</v>
      </c>
      <c r="G14" s="18">
        <v>0</v>
      </c>
      <c r="H14" s="317">
        <v>0</v>
      </c>
      <c r="I14" s="18">
        <v>0</v>
      </c>
      <c r="J14" s="18">
        <v>0</v>
      </c>
      <c r="K14" s="317">
        <v>0</v>
      </c>
      <c r="L14" s="18">
        <v>0</v>
      </c>
      <c r="M14" s="18">
        <v>0</v>
      </c>
      <c r="N14" s="317">
        <v>0</v>
      </c>
      <c r="O14" s="18">
        <v>0</v>
      </c>
      <c r="P14" s="18">
        <v>0</v>
      </c>
      <c r="Q14" s="317">
        <v>0</v>
      </c>
      <c r="R14" s="18">
        <v>0</v>
      </c>
      <c r="S14" s="18">
        <v>0</v>
      </c>
      <c r="T14" s="317">
        <v>0</v>
      </c>
      <c r="U14" s="18">
        <v>0</v>
      </c>
      <c r="V14" s="18">
        <v>0</v>
      </c>
      <c r="W14" s="317">
        <v>0</v>
      </c>
      <c r="X14" s="18">
        <v>0</v>
      </c>
      <c r="Y14" s="18">
        <v>0</v>
      </c>
      <c r="Z14" s="317">
        <v>0</v>
      </c>
      <c r="AA14" s="226"/>
      <c r="AB14" s="470">
        <v>0</v>
      </c>
      <c r="AC14" s="53">
        <v>0</v>
      </c>
      <c r="AD14" s="471">
        <v>0</v>
      </c>
      <c r="AE14" s="470">
        <v>0</v>
      </c>
      <c r="AF14" s="53">
        <v>0</v>
      </c>
      <c r="AG14" s="471">
        <v>0</v>
      </c>
      <c r="AH14" s="55"/>
      <c r="AI14" s="64"/>
    </row>
    <row r="15" spans="1:35" ht="12.75">
      <c r="A15" s="40">
        <v>43846</v>
      </c>
      <c r="B15" s="15">
        <f t="shared" si="0"/>
        <v>0</v>
      </c>
      <c r="C15" s="15">
        <f t="shared" ref="C15:D15" si="14">SUM(G15,)</f>
        <v>0</v>
      </c>
      <c r="D15" s="15">
        <f t="shared" si="14"/>
        <v>0</v>
      </c>
      <c r="E15" s="154">
        <f t="shared" si="13"/>
        <v>0</v>
      </c>
      <c r="F15" s="18">
        <v>0</v>
      </c>
      <c r="G15" s="18">
        <v>0</v>
      </c>
      <c r="H15" s="317">
        <v>0</v>
      </c>
      <c r="I15" s="18">
        <v>0</v>
      </c>
      <c r="J15" s="18">
        <v>0</v>
      </c>
      <c r="K15" s="317">
        <v>0</v>
      </c>
      <c r="L15" s="18">
        <v>0</v>
      </c>
      <c r="M15" s="18">
        <v>0</v>
      </c>
      <c r="N15" s="317">
        <v>0</v>
      </c>
      <c r="O15" s="18">
        <v>0</v>
      </c>
      <c r="P15" s="18">
        <v>0</v>
      </c>
      <c r="Q15" s="317">
        <v>0</v>
      </c>
      <c r="R15" s="18">
        <v>0</v>
      </c>
      <c r="S15" s="18">
        <v>0</v>
      </c>
      <c r="T15" s="317">
        <v>0</v>
      </c>
      <c r="U15" s="18">
        <v>0</v>
      </c>
      <c r="V15" s="18">
        <v>0</v>
      </c>
      <c r="W15" s="317">
        <v>0</v>
      </c>
      <c r="X15" s="18">
        <v>0</v>
      </c>
      <c r="Y15" s="18">
        <v>0</v>
      </c>
      <c r="Z15" s="317">
        <v>0</v>
      </c>
      <c r="AA15" s="226"/>
      <c r="AB15" s="470">
        <v>0</v>
      </c>
      <c r="AC15" s="53">
        <v>0</v>
      </c>
      <c r="AD15" s="471">
        <v>0</v>
      </c>
      <c r="AE15" s="470">
        <v>0</v>
      </c>
      <c r="AF15" s="53">
        <v>0</v>
      </c>
      <c r="AG15" s="471">
        <v>0</v>
      </c>
      <c r="AH15" s="55"/>
      <c r="AI15" s="64"/>
    </row>
    <row r="16" spans="1:35" ht="12.75">
      <c r="A16" s="40">
        <v>43847</v>
      </c>
      <c r="B16" s="15">
        <f t="shared" si="0"/>
        <v>0</v>
      </c>
      <c r="C16" s="15">
        <f t="shared" ref="C16:D16" si="15">SUM(G16,)</f>
        <v>0</v>
      </c>
      <c r="D16" s="15">
        <f t="shared" si="15"/>
        <v>0</v>
      </c>
      <c r="E16" s="154">
        <f t="shared" si="13"/>
        <v>0</v>
      </c>
      <c r="F16" s="18">
        <v>0</v>
      </c>
      <c r="G16" s="18">
        <v>0</v>
      </c>
      <c r="H16" s="317">
        <v>0</v>
      </c>
      <c r="I16" s="18">
        <v>0</v>
      </c>
      <c r="J16" s="18">
        <v>0</v>
      </c>
      <c r="K16" s="317">
        <v>0</v>
      </c>
      <c r="L16" s="18">
        <v>0</v>
      </c>
      <c r="M16" s="18">
        <v>0</v>
      </c>
      <c r="N16" s="317">
        <v>0</v>
      </c>
      <c r="O16" s="18">
        <v>0</v>
      </c>
      <c r="P16" s="18">
        <v>0</v>
      </c>
      <c r="Q16" s="317">
        <v>0</v>
      </c>
      <c r="R16" s="18">
        <v>0</v>
      </c>
      <c r="S16" s="18">
        <v>0</v>
      </c>
      <c r="T16" s="317">
        <v>0</v>
      </c>
      <c r="U16" s="18">
        <v>0</v>
      </c>
      <c r="V16" s="18">
        <v>0</v>
      </c>
      <c r="W16" s="317">
        <v>0</v>
      </c>
      <c r="X16" s="18">
        <v>0</v>
      </c>
      <c r="Y16" s="18">
        <v>0</v>
      </c>
      <c r="Z16" s="317">
        <v>0</v>
      </c>
      <c r="AA16" s="226"/>
      <c r="AB16" s="470">
        <v>0</v>
      </c>
      <c r="AC16" s="53">
        <v>0</v>
      </c>
      <c r="AD16" s="471">
        <v>0</v>
      </c>
      <c r="AE16" s="470">
        <v>0</v>
      </c>
      <c r="AF16" s="53">
        <v>0</v>
      </c>
      <c r="AG16" s="471">
        <v>0</v>
      </c>
      <c r="AH16" s="55"/>
      <c r="AI16" s="64"/>
    </row>
    <row r="17" spans="1:35" ht="12.75">
      <c r="A17" s="40">
        <v>43848</v>
      </c>
      <c r="B17" s="15">
        <f t="shared" si="0"/>
        <v>0</v>
      </c>
      <c r="C17" s="15">
        <f t="shared" ref="C17:D17" si="16">SUM(G17,)</f>
        <v>0</v>
      </c>
      <c r="D17" s="15">
        <f t="shared" si="16"/>
        <v>0</v>
      </c>
      <c r="E17" s="154">
        <f t="shared" ref="E17:E18" si="17">B17-C522-D17</f>
        <v>0</v>
      </c>
      <c r="F17" s="15">
        <v>0</v>
      </c>
      <c r="G17" s="15">
        <v>0</v>
      </c>
      <c r="H17" s="17">
        <v>0</v>
      </c>
      <c r="I17" s="15">
        <v>0</v>
      </c>
      <c r="J17" s="15">
        <v>0</v>
      </c>
      <c r="K17" s="17">
        <v>0</v>
      </c>
      <c r="L17" s="15">
        <v>0</v>
      </c>
      <c r="M17" s="15">
        <v>0</v>
      </c>
      <c r="N17" s="17">
        <v>0</v>
      </c>
      <c r="O17" s="15">
        <v>0</v>
      </c>
      <c r="P17" s="15">
        <v>0</v>
      </c>
      <c r="Q17" s="17">
        <v>0</v>
      </c>
      <c r="R17" s="15">
        <v>0</v>
      </c>
      <c r="S17" s="15">
        <v>0</v>
      </c>
      <c r="T17" s="17">
        <v>0</v>
      </c>
      <c r="U17" s="15">
        <v>0</v>
      </c>
      <c r="V17" s="15">
        <v>0</v>
      </c>
      <c r="W17" s="17">
        <v>0</v>
      </c>
      <c r="X17" s="15">
        <v>0</v>
      </c>
      <c r="Y17" s="15">
        <v>0</v>
      </c>
      <c r="Z17" s="17">
        <v>0</v>
      </c>
      <c r="AA17" s="226"/>
      <c r="AB17" s="470">
        <v>0</v>
      </c>
      <c r="AC17" s="53">
        <v>0</v>
      </c>
      <c r="AD17" s="471">
        <v>0</v>
      </c>
      <c r="AE17" s="470">
        <v>0</v>
      </c>
      <c r="AF17" s="53">
        <v>0</v>
      </c>
      <c r="AG17" s="471">
        <v>0</v>
      </c>
      <c r="AH17" s="55"/>
      <c r="AI17" s="56"/>
    </row>
    <row r="18" spans="1:35" ht="12.75">
      <c r="A18" s="40">
        <v>43849</v>
      </c>
      <c r="B18" s="15">
        <f t="shared" si="0"/>
        <v>0</v>
      </c>
      <c r="C18" s="15">
        <f t="shared" ref="C18:D18" si="18">SUM(G18,)</f>
        <v>0</v>
      </c>
      <c r="D18" s="15">
        <f t="shared" si="18"/>
        <v>0</v>
      </c>
      <c r="E18" s="154">
        <f t="shared" si="17"/>
        <v>0</v>
      </c>
      <c r="F18" s="15">
        <v>0</v>
      </c>
      <c r="G18" s="15">
        <v>0</v>
      </c>
      <c r="H18" s="17">
        <v>0</v>
      </c>
      <c r="I18" s="15">
        <v>0</v>
      </c>
      <c r="J18" s="15">
        <v>0</v>
      </c>
      <c r="K18" s="17">
        <v>0</v>
      </c>
      <c r="L18" s="15">
        <v>0</v>
      </c>
      <c r="M18" s="15">
        <v>0</v>
      </c>
      <c r="N18" s="17">
        <v>0</v>
      </c>
      <c r="O18" s="15">
        <v>0</v>
      </c>
      <c r="P18" s="15">
        <v>0</v>
      </c>
      <c r="Q18" s="17">
        <v>0</v>
      </c>
      <c r="R18" s="15">
        <v>0</v>
      </c>
      <c r="S18" s="15">
        <v>0</v>
      </c>
      <c r="T18" s="17">
        <v>0</v>
      </c>
      <c r="U18" s="15">
        <v>0</v>
      </c>
      <c r="V18" s="15">
        <v>0</v>
      </c>
      <c r="W18" s="17">
        <v>0</v>
      </c>
      <c r="X18" s="15">
        <v>0</v>
      </c>
      <c r="Y18" s="15">
        <v>0</v>
      </c>
      <c r="Z18" s="17">
        <v>0</v>
      </c>
      <c r="AA18" s="226"/>
      <c r="AB18" s="470">
        <v>0</v>
      </c>
      <c r="AC18" s="53">
        <v>0</v>
      </c>
      <c r="AD18" s="471">
        <v>0</v>
      </c>
      <c r="AE18" s="470">
        <v>0</v>
      </c>
      <c r="AF18" s="53">
        <v>0</v>
      </c>
      <c r="AG18" s="471">
        <v>0</v>
      </c>
      <c r="AH18" s="55"/>
      <c r="AI18" s="56"/>
    </row>
    <row r="19" spans="1:35" ht="12.75">
      <c r="A19" s="40">
        <v>43850</v>
      </c>
      <c r="B19" s="15">
        <f t="shared" si="0"/>
        <v>0</v>
      </c>
      <c r="C19" s="15">
        <f t="shared" ref="C19:D19" si="19">SUM(G19,)</f>
        <v>0</v>
      </c>
      <c r="D19" s="15">
        <f t="shared" si="19"/>
        <v>0</v>
      </c>
      <c r="E19" s="154">
        <f t="shared" ref="E19:E110" si="20">B19-C523-D19</f>
        <v>0</v>
      </c>
      <c r="F19" s="18">
        <v>0</v>
      </c>
      <c r="G19" s="18">
        <v>0</v>
      </c>
      <c r="H19" s="317">
        <v>0</v>
      </c>
      <c r="I19" s="18">
        <v>0</v>
      </c>
      <c r="J19" s="18">
        <v>0</v>
      </c>
      <c r="K19" s="317">
        <v>0</v>
      </c>
      <c r="L19" s="18">
        <v>0</v>
      </c>
      <c r="M19" s="18">
        <v>0</v>
      </c>
      <c r="N19" s="317">
        <v>0</v>
      </c>
      <c r="O19" s="18">
        <v>0</v>
      </c>
      <c r="P19" s="18">
        <v>0</v>
      </c>
      <c r="Q19" s="317">
        <v>0</v>
      </c>
      <c r="R19" s="18">
        <v>0</v>
      </c>
      <c r="S19" s="18">
        <v>0</v>
      </c>
      <c r="T19" s="317">
        <v>0</v>
      </c>
      <c r="U19" s="18">
        <v>0</v>
      </c>
      <c r="V19" s="18">
        <v>0</v>
      </c>
      <c r="W19" s="317">
        <v>0</v>
      </c>
      <c r="X19" s="18">
        <v>0</v>
      </c>
      <c r="Y19" s="18">
        <v>0</v>
      </c>
      <c r="Z19" s="317">
        <v>0</v>
      </c>
      <c r="AA19" s="226"/>
      <c r="AB19" s="470">
        <v>0</v>
      </c>
      <c r="AC19" s="53">
        <v>0</v>
      </c>
      <c r="AD19" s="471">
        <v>0</v>
      </c>
      <c r="AE19" s="470">
        <v>0</v>
      </c>
      <c r="AF19" s="53">
        <v>0</v>
      </c>
      <c r="AG19" s="471">
        <v>0</v>
      </c>
      <c r="AH19" s="55"/>
      <c r="AI19" s="64"/>
    </row>
    <row r="20" spans="1:35" ht="12.75">
      <c r="A20" s="40">
        <v>43851</v>
      </c>
      <c r="B20" s="15">
        <f t="shared" si="0"/>
        <v>0</v>
      </c>
      <c r="C20" s="15">
        <f t="shared" ref="C20:D20" si="21">SUM(G20,)</f>
        <v>0</v>
      </c>
      <c r="D20" s="15">
        <f t="shared" si="21"/>
        <v>0</v>
      </c>
      <c r="E20" s="154">
        <f t="shared" si="20"/>
        <v>0</v>
      </c>
      <c r="F20" s="15">
        <v>0</v>
      </c>
      <c r="G20" s="15">
        <v>0</v>
      </c>
      <c r="H20" s="17">
        <v>0</v>
      </c>
      <c r="I20" s="15">
        <v>0</v>
      </c>
      <c r="J20" s="15">
        <v>0</v>
      </c>
      <c r="K20" s="17">
        <v>0</v>
      </c>
      <c r="L20" s="15">
        <v>0</v>
      </c>
      <c r="M20" s="15">
        <v>0</v>
      </c>
      <c r="N20" s="17">
        <v>0</v>
      </c>
      <c r="O20" s="15">
        <v>0</v>
      </c>
      <c r="P20" s="15">
        <v>0</v>
      </c>
      <c r="Q20" s="17">
        <v>0</v>
      </c>
      <c r="R20" s="15">
        <v>0</v>
      </c>
      <c r="S20" s="15">
        <v>0</v>
      </c>
      <c r="T20" s="17">
        <v>0</v>
      </c>
      <c r="U20" s="15">
        <v>0</v>
      </c>
      <c r="V20" s="15">
        <v>0</v>
      </c>
      <c r="W20" s="17">
        <v>0</v>
      </c>
      <c r="X20" s="15">
        <v>0</v>
      </c>
      <c r="Y20" s="15">
        <v>0</v>
      </c>
      <c r="Z20" s="17">
        <v>0</v>
      </c>
      <c r="AA20" s="226"/>
      <c r="AB20" s="470">
        <v>0</v>
      </c>
      <c r="AC20" s="53">
        <v>0</v>
      </c>
      <c r="AD20" s="471">
        <v>0</v>
      </c>
      <c r="AE20" s="470">
        <v>0</v>
      </c>
      <c r="AF20" s="53">
        <v>0</v>
      </c>
      <c r="AG20" s="471">
        <v>0</v>
      </c>
      <c r="AH20" s="55"/>
      <c r="AI20" s="56"/>
    </row>
    <row r="21" spans="1:35" ht="12.75">
      <c r="A21" s="40">
        <v>43852</v>
      </c>
      <c r="B21" s="15">
        <f t="shared" si="0"/>
        <v>0</v>
      </c>
      <c r="C21" s="15">
        <f t="shared" ref="C21:D21" si="22">SUM(G21,)</f>
        <v>0</v>
      </c>
      <c r="D21" s="15">
        <f t="shared" si="22"/>
        <v>0</v>
      </c>
      <c r="E21" s="154">
        <f t="shared" si="20"/>
        <v>0</v>
      </c>
      <c r="F21" s="18">
        <v>0</v>
      </c>
      <c r="G21" s="18">
        <v>0</v>
      </c>
      <c r="H21" s="317">
        <v>0</v>
      </c>
      <c r="I21" s="18">
        <v>0</v>
      </c>
      <c r="J21" s="18">
        <v>0</v>
      </c>
      <c r="K21" s="317">
        <v>0</v>
      </c>
      <c r="L21" s="18">
        <v>0</v>
      </c>
      <c r="M21" s="18">
        <v>0</v>
      </c>
      <c r="N21" s="317">
        <v>0</v>
      </c>
      <c r="O21" s="18">
        <v>0</v>
      </c>
      <c r="P21" s="18">
        <v>0</v>
      </c>
      <c r="Q21" s="317">
        <v>0</v>
      </c>
      <c r="R21" s="18">
        <v>0</v>
      </c>
      <c r="S21" s="18">
        <v>0</v>
      </c>
      <c r="T21" s="317">
        <v>0</v>
      </c>
      <c r="U21" s="18">
        <v>0</v>
      </c>
      <c r="V21" s="18">
        <v>0</v>
      </c>
      <c r="W21" s="317">
        <v>0</v>
      </c>
      <c r="X21" s="18">
        <v>0</v>
      </c>
      <c r="Y21" s="18">
        <v>0</v>
      </c>
      <c r="Z21" s="317">
        <v>0</v>
      </c>
      <c r="AA21" s="226"/>
      <c r="AB21" s="470">
        <v>0</v>
      </c>
      <c r="AC21" s="53">
        <v>0</v>
      </c>
      <c r="AD21" s="471">
        <v>0</v>
      </c>
      <c r="AE21" s="470">
        <v>0</v>
      </c>
      <c r="AF21" s="53">
        <v>0</v>
      </c>
      <c r="AG21" s="471">
        <v>0</v>
      </c>
      <c r="AH21" s="55"/>
      <c r="AI21" s="56"/>
    </row>
    <row r="22" spans="1:35" ht="12.75">
      <c r="A22" s="40">
        <v>43853</v>
      </c>
      <c r="B22" s="15">
        <f t="shared" si="0"/>
        <v>0</v>
      </c>
      <c r="C22" s="15">
        <f t="shared" ref="C22:D22" si="23">SUM(G22,)</f>
        <v>0</v>
      </c>
      <c r="D22" s="15">
        <f t="shared" si="23"/>
        <v>0</v>
      </c>
      <c r="E22" s="154">
        <f t="shared" si="20"/>
        <v>0</v>
      </c>
      <c r="F22" s="15">
        <v>0</v>
      </c>
      <c r="G22" s="15">
        <v>0</v>
      </c>
      <c r="H22" s="17">
        <v>0</v>
      </c>
      <c r="I22" s="15">
        <v>0</v>
      </c>
      <c r="J22" s="15">
        <v>0</v>
      </c>
      <c r="K22" s="17">
        <v>0</v>
      </c>
      <c r="L22" s="15">
        <v>0</v>
      </c>
      <c r="M22" s="15">
        <v>0</v>
      </c>
      <c r="N22" s="17">
        <v>0</v>
      </c>
      <c r="O22" s="15">
        <v>0</v>
      </c>
      <c r="P22" s="15">
        <v>0</v>
      </c>
      <c r="Q22" s="17">
        <v>0</v>
      </c>
      <c r="R22" s="15">
        <v>0</v>
      </c>
      <c r="S22" s="15">
        <v>0</v>
      </c>
      <c r="T22" s="17">
        <v>0</v>
      </c>
      <c r="U22" s="15">
        <v>0</v>
      </c>
      <c r="V22" s="15">
        <v>0</v>
      </c>
      <c r="W22" s="17">
        <v>0</v>
      </c>
      <c r="X22" s="15">
        <v>0</v>
      </c>
      <c r="Y22" s="15">
        <v>0</v>
      </c>
      <c r="Z22" s="17">
        <v>0</v>
      </c>
      <c r="AA22" s="226"/>
      <c r="AB22" s="470">
        <v>0</v>
      </c>
      <c r="AC22" s="53">
        <v>0</v>
      </c>
      <c r="AD22" s="471">
        <v>0</v>
      </c>
      <c r="AE22" s="470">
        <v>0</v>
      </c>
      <c r="AF22" s="53">
        <v>0</v>
      </c>
      <c r="AG22" s="471">
        <v>0</v>
      </c>
      <c r="AH22" s="55"/>
      <c r="AI22" s="64"/>
    </row>
    <row r="23" spans="1:35" ht="12.75">
      <c r="A23" s="40">
        <v>43854</v>
      </c>
      <c r="B23" s="14">
        <f t="shared" si="0"/>
        <v>3</v>
      </c>
      <c r="C23" s="15">
        <f t="shared" ref="C23:D23" si="24">SUM(G23,)</f>
        <v>0</v>
      </c>
      <c r="D23" s="15">
        <f t="shared" si="24"/>
        <v>0</v>
      </c>
      <c r="E23" s="350">
        <f t="shared" si="20"/>
        <v>3</v>
      </c>
      <c r="F23" s="87">
        <v>3</v>
      </c>
      <c r="G23" s="18">
        <v>0</v>
      </c>
      <c r="H23" s="317">
        <v>0</v>
      </c>
      <c r="I23" s="18">
        <v>0</v>
      </c>
      <c r="J23" s="18">
        <v>0</v>
      </c>
      <c r="K23" s="317">
        <v>0</v>
      </c>
      <c r="L23" s="18">
        <v>0</v>
      </c>
      <c r="M23" s="18">
        <v>0</v>
      </c>
      <c r="N23" s="317">
        <v>0</v>
      </c>
      <c r="O23" s="18">
        <v>0</v>
      </c>
      <c r="P23" s="18">
        <v>0</v>
      </c>
      <c r="Q23" s="317">
        <v>0</v>
      </c>
      <c r="R23" s="18">
        <v>0</v>
      </c>
      <c r="S23" s="18">
        <v>0</v>
      </c>
      <c r="T23" s="317">
        <v>0</v>
      </c>
      <c r="U23" s="18">
        <v>0</v>
      </c>
      <c r="V23" s="18">
        <v>0</v>
      </c>
      <c r="W23" s="317">
        <v>0</v>
      </c>
      <c r="X23" s="18">
        <v>0</v>
      </c>
      <c r="Y23" s="18">
        <v>0</v>
      </c>
      <c r="Z23" s="317">
        <v>0</v>
      </c>
      <c r="AA23" s="226"/>
      <c r="AB23" s="470">
        <v>0</v>
      </c>
      <c r="AC23" s="53">
        <v>0</v>
      </c>
      <c r="AD23" s="471">
        <v>0</v>
      </c>
      <c r="AE23" s="470">
        <v>0</v>
      </c>
      <c r="AF23" s="53">
        <v>0</v>
      </c>
      <c r="AG23" s="471">
        <v>0</v>
      </c>
      <c r="AH23" s="55" t="s">
        <v>1166</v>
      </c>
      <c r="AI23" s="57" t="s">
        <v>192</v>
      </c>
    </row>
    <row r="24" spans="1:35" ht="12.75">
      <c r="A24" s="40">
        <v>43855</v>
      </c>
      <c r="B24" s="14">
        <f t="shared" si="0"/>
        <v>4</v>
      </c>
      <c r="C24" s="15">
        <f t="shared" ref="C24:D24" si="25">SUM(G24,)</f>
        <v>0</v>
      </c>
      <c r="D24" s="15">
        <f t="shared" si="25"/>
        <v>0</v>
      </c>
      <c r="E24" s="350">
        <f t="shared" si="20"/>
        <v>4</v>
      </c>
      <c r="F24" s="87">
        <v>4</v>
      </c>
      <c r="G24" s="15">
        <v>0</v>
      </c>
      <c r="H24" s="17">
        <v>0</v>
      </c>
      <c r="I24" s="15">
        <v>0</v>
      </c>
      <c r="J24" s="15">
        <v>0</v>
      </c>
      <c r="K24" s="17">
        <v>0</v>
      </c>
      <c r="L24" s="15">
        <v>0</v>
      </c>
      <c r="M24" s="15">
        <v>0</v>
      </c>
      <c r="N24" s="17">
        <v>0</v>
      </c>
      <c r="O24" s="15">
        <v>0</v>
      </c>
      <c r="P24" s="15">
        <v>0</v>
      </c>
      <c r="Q24" s="17">
        <v>0</v>
      </c>
      <c r="R24" s="15">
        <v>0</v>
      </c>
      <c r="S24" s="15">
        <v>0</v>
      </c>
      <c r="T24" s="17">
        <v>0</v>
      </c>
      <c r="U24" s="15">
        <v>0</v>
      </c>
      <c r="V24" s="15">
        <v>0</v>
      </c>
      <c r="W24" s="17">
        <v>0</v>
      </c>
      <c r="X24" s="15">
        <v>0</v>
      </c>
      <c r="Y24" s="15">
        <v>0</v>
      </c>
      <c r="Z24" s="17">
        <v>0</v>
      </c>
      <c r="AA24" s="226"/>
      <c r="AB24" s="470">
        <v>0</v>
      </c>
      <c r="AC24" s="53">
        <v>0</v>
      </c>
      <c r="AD24" s="471">
        <v>0</v>
      </c>
      <c r="AE24" s="470">
        <v>0</v>
      </c>
      <c r="AF24" s="53">
        <v>0</v>
      </c>
      <c r="AG24" s="471">
        <v>0</v>
      </c>
      <c r="AH24" s="55"/>
      <c r="AI24" s="57" t="s">
        <v>194</v>
      </c>
    </row>
    <row r="25" spans="1:35" ht="12.75">
      <c r="A25" s="40">
        <v>43856</v>
      </c>
      <c r="B25" s="14">
        <f t="shared" si="0"/>
        <v>4</v>
      </c>
      <c r="C25" s="15">
        <f t="shared" ref="C25:D25" si="26">SUM(G25,)</f>
        <v>0</v>
      </c>
      <c r="D25" s="15">
        <f t="shared" si="26"/>
        <v>0</v>
      </c>
      <c r="E25" s="350">
        <f t="shared" si="20"/>
        <v>4</v>
      </c>
      <c r="F25" s="87">
        <v>4</v>
      </c>
      <c r="G25" s="18">
        <v>0</v>
      </c>
      <c r="H25" s="317">
        <v>0</v>
      </c>
      <c r="I25" s="18">
        <v>0</v>
      </c>
      <c r="J25" s="18">
        <v>0</v>
      </c>
      <c r="K25" s="317">
        <v>0</v>
      </c>
      <c r="L25" s="18">
        <v>0</v>
      </c>
      <c r="M25" s="18">
        <v>0</v>
      </c>
      <c r="N25" s="317">
        <v>0</v>
      </c>
      <c r="O25" s="18">
        <v>0</v>
      </c>
      <c r="P25" s="18">
        <v>0</v>
      </c>
      <c r="Q25" s="317">
        <v>0</v>
      </c>
      <c r="R25" s="18">
        <v>0</v>
      </c>
      <c r="S25" s="18">
        <v>0</v>
      </c>
      <c r="T25" s="317">
        <v>0</v>
      </c>
      <c r="U25" s="18">
        <v>0</v>
      </c>
      <c r="V25" s="18">
        <v>0</v>
      </c>
      <c r="W25" s="317">
        <v>0</v>
      </c>
      <c r="X25" s="18">
        <v>0</v>
      </c>
      <c r="Y25" s="18">
        <v>0</v>
      </c>
      <c r="Z25" s="317">
        <v>0</v>
      </c>
      <c r="AA25" s="226"/>
      <c r="AB25" s="470">
        <v>0</v>
      </c>
      <c r="AC25" s="53">
        <v>0</v>
      </c>
      <c r="AD25" s="471">
        <v>0</v>
      </c>
      <c r="AE25" s="470">
        <v>0</v>
      </c>
      <c r="AF25" s="53">
        <v>0</v>
      </c>
      <c r="AG25" s="471">
        <v>0</v>
      </c>
      <c r="AH25" s="55"/>
      <c r="AI25" s="56"/>
    </row>
    <row r="26" spans="1:35" ht="12.75">
      <c r="A26" s="40">
        <v>43857</v>
      </c>
      <c r="B26" s="14">
        <f t="shared" si="0"/>
        <v>5</v>
      </c>
      <c r="C26" s="15">
        <f t="shared" ref="C26:D26" si="27">SUM(G26,)</f>
        <v>0</v>
      </c>
      <c r="D26" s="15">
        <f t="shared" si="27"/>
        <v>0</v>
      </c>
      <c r="E26" s="350">
        <f t="shared" si="20"/>
        <v>5</v>
      </c>
      <c r="F26" s="87">
        <v>5</v>
      </c>
      <c r="G26" s="15">
        <v>0</v>
      </c>
      <c r="H26" s="17">
        <v>0</v>
      </c>
      <c r="I26" s="15">
        <v>0</v>
      </c>
      <c r="J26" s="15">
        <v>0</v>
      </c>
      <c r="K26" s="17">
        <v>0</v>
      </c>
      <c r="L26" s="15">
        <v>0</v>
      </c>
      <c r="M26" s="15">
        <v>0</v>
      </c>
      <c r="N26" s="17">
        <v>0</v>
      </c>
      <c r="O26" s="15">
        <v>0</v>
      </c>
      <c r="P26" s="15">
        <v>0</v>
      </c>
      <c r="Q26" s="17">
        <v>0</v>
      </c>
      <c r="R26" s="15">
        <v>0</v>
      </c>
      <c r="S26" s="15">
        <v>0</v>
      </c>
      <c r="T26" s="17">
        <v>0</v>
      </c>
      <c r="U26" s="15">
        <v>0</v>
      </c>
      <c r="V26" s="15">
        <v>0</v>
      </c>
      <c r="W26" s="17">
        <v>0</v>
      </c>
      <c r="X26" s="15">
        <v>0</v>
      </c>
      <c r="Y26" s="15">
        <v>0</v>
      </c>
      <c r="Z26" s="17">
        <v>0</v>
      </c>
      <c r="AA26" s="226"/>
      <c r="AB26" s="470">
        <v>0</v>
      </c>
      <c r="AC26" s="53">
        <v>0</v>
      </c>
      <c r="AD26" s="471">
        <v>0</v>
      </c>
      <c r="AE26" s="470">
        <v>0</v>
      </c>
      <c r="AF26" s="53">
        <v>0</v>
      </c>
      <c r="AG26" s="471">
        <v>0</v>
      </c>
      <c r="AH26" s="55"/>
      <c r="AI26" s="57" t="s">
        <v>195</v>
      </c>
    </row>
    <row r="27" spans="1:35" ht="12.75">
      <c r="A27" s="40">
        <v>43858</v>
      </c>
      <c r="B27" s="14">
        <f t="shared" si="0"/>
        <v>7</v>
      </c>
      <c r="C27" s="15">
        <f t="shared" ref="C27:D27" si="28">SUM(G27,)</f>
        <v>0</v>
      </c>
      <c r="D27" s="15">
        <f t="shared" si="28"/>
        <v>0</v>
      </c>
      <c r="E27" s="350">
        <f t="shared" si="20"/>
        <v>7</v>
      </c>
      <c r="F27" s="87">
        <v>7</v>
      </c>
      <c r="G27" s="18">
        <v>0</v>
      </c>
      <c r="H27" s="317">
        <v>0</v>
      </c>
      <c r="I27" s="18">
        <v>0</v>
      </c>
      <c r="J27" s="18">
        <v>0</v>
      </c>
      <c r="K27" s="317">
        <v>0</v>
      </c>
      <c r="L27" s="18">
        <v>0</v>
      </c>
      <c r="M27" s="18">
        <v>0</v>
      </c>
      <c r="N27" s="317">
        <v>0</v>
      </c>
      <c r="O27" s="18">
        <v>0</v>
      </c>
      <c r="P27" s="18">
        <v>0</v>
      </c>
      <c r="Q27" s="317">
        <v>0</v>
      </c>
      <c r="R27" s="18">
        <v>0</v>
      </c>
      <c r="S27" s="18">
        <v>0</v>
      </c>
      <c r="T27" s="317">
        <v>0</v>
      </c>
      <c r="U27" s="18">
        <v>0</v>
      </c>
      <c r="V27" s="18">
        <v>0</v>
      </c>
      <c r="W27" s="317">
        <v>0</v>
      </c>
      <c r="X27" s="18">
        <v>0</v>
      </c>
      <c r="Y27" s="18">
        <v>0</v>
      </c>
      <c r="Z27" s="317">
        <v>0</v>
      </c>
      <c r="AA27" s="226"/>
      <c r="AB27" s="470">
        <v>0</v>
      </c>
      <c r="AC27" s="53">
        <v>0</v>
      </c>
      <c r="AD27" s="471">
        <v>0</v>
      </c>
      <c r="AE27" s="470">
        <v>0</v>
      </c>
      <c r="AF27" s="53">
        <v>0</v>
      </c>
      <c r="AG27" s="471">
        <v>0</v>
      </c>
      <c r="AH27" s="55"/>
      <c r="AI27" s="57" t="s">
        <v>196</v>
      </c>
    </row>
    <row r="28" spans="1:35" ht="12.75">
      <c r="A28" s="40">
        <v>43859</v>
      </c>
      <c r="B28" s="14">
        <f t="shared" si="0"/>
        <v>7</v>
      </c>
      <c r="C28" s="15">
        <f t="shared" ref="C28:D28" si="29">SUM(G28,)</f>
        <v>0</v>
      </c>
      <c r="D28" s="15">
        <f t="shared" si="29"/>
        <v>0</v>
      </c>
      <c r="E28" s="350">
        <f t="shared" si="20"/>
        <v>7</v>
      </c>
      <c r="F28" s="87">
        <v>7</v>
      </c>
      <c r="G28" s="15">
        <v>0</v>
      </c>
      <c r="H28" s="17">
        <v>0</v>
      </c>
      <c r="I28" s="15">
        <v>0</v>
      </c>
      <c r="J28" s="15">
        <v>0</v>
      </c>
      <c r="K28" s="17">
        <v>0</v>
      </c>
      <c r="L28" s="15">
        <v>0</v>
      </c>
      <c r="M28" s="15">
        <v>0</v>
      </c>
      <c r="N28" s="17">
        <v>0</v>
      </c>
      <c r="O28" s="15">
        <v>0</v>
      </c>
      <c r="P28" s="15">
        <v>0</v>
      </c>
      <c r="Q28" s="17">
        <v>0</v>
      </c>
      <c r="R28" s="15">
        <v>0</v>
      </c>
      <c r="S28" s="15">
        <v>0</v>
      </c>
      <c r="T28" s="17">
        <v>0</v>
      </c>
      <c r="U28" s="15">
        <v>0</v>
      </c>
      <c r="V28" s="15">
        <v>0</v>
      </c>
      <c r="W28" s="17">
        <v>0</v>
      </c>
      <c r="X28" s="15">
        <v>0</v>
      </c>
      <c r="Y28" s="15">
        <v>0</v>
      </c>
      <c r="Z28" s="17">
        <v>0</v>
      </c>
      <c r="AA28" s="226"/>
      <c r="AB28" s="470">
        <v>0</v>
      </c>
      <c r="AC28" s="53">
        <v>0</v>
      </c>
      <c r="AD28" s="471">
        <v>0</v>
      </c>
      <c r="AE28" s="470">
        <v>0</v>
      </c>
      <c r="AF28" s="53">
        <v>0</v>
      </c>
      <c r="AG28" s="471">
        <v>0</v>
      </c>
      <c r="AH28" s="55"/>
      <c r="AI28" s="56"/>
    </row>
    <row r="29" spans="1:35" ht="12.75">
      <c r="A29" s="40">
        <v>43860</v>
      </c>
      <c r="B29" s="14">
        <f t="shared" si="0"/>
        <v>9</v>
      </c>
      <c r="C29" s="15">
        <f t="shared" ref="C29:D29" si="30">SUM(G29,)</f>
        <v>0</v>
      </c>
      <c r="D29" s="15">
        <f t="shared" si="30"/>
        <v>0</v>
      </c>
      <c r="E29" s="350">
        <f t="shared" si="20"/>
        <v>9</v>
      </c>
      <c r="F29" s="87">
        <v>9</v>
      </c>
      <c r="G29" s="18">
        <v>0</v>
      </c>
      <c r="H29" s="317">
        <v>0</v>
      </c>
      <c r="I29" s="18">
        <v>0</v>
      </c>
      <c r="J29" s="18">
        <v>0</v>
      </c>
      <c r="K29" s="317">
        <v>0</v>
      </c>
      <c r="L29" s="18">
        <v>0</v>
      </c>
      <c r="M29" s="18">
        <v>0</v>
      </c>
      <c r="N29" s="317">
        <v>0</v>
      </c>
      <c r="O29" s="18">
        <v>0</v>
      </c>
      <c r="P29" s="18">
        <v>0</v>
      </c>
      <c r="Q29" s="317">
        <v>0</v>
      </c>
      <c r="R29" s="18">
        <v>0</v>
      </c>
      <c r="S29" s="18">
        <v>0</v>
      </c>
      <c r="T29" s="317">
        <v>0</v>
      </c>
      <c r="U29" s="18">
        <v>0</v>
      </c>
      <c r="V29" s="18">
        <v>0</v>
      </c>
      <c r="W29" s="317">
        <v>0</v>
      </c>
      <c r="X29" s="18">
        <v>0</v>
      </c>
      <c r="Y29" s="18">
        <v>0</v>
      </c>
      <c r="Z29" s="317">
        <v>0</v>
      </c>
      <c r="AA29" s="226"/>
      <c r="AB29" s="470">
        <v>0</v>
      </c>
      <c r="AC29" s="53">
        <v>0</v>
      </c>
      <c r="AD29" s="471">
        <v>0</v>
      </c>
      <c r="AE29" s="470">
        <v>0</v>
      </c>
      <c r="AF29" s="53">
        <v>0</v>
      </c>
      <c r="AG29" s="471">
        <v>0</v>
      </c>
      <c r="AH29" s="55"/>
      <c r="AI29" s="57" t="s">
        <v>209</v>
      </c>
    </row>
    <row r="30" spans="1:35" ht="12.75">
      <c r="A30" s="43">
        <v>43861</v>
      </c>
      <c r="B30" s="21">
        <f t="shared" si="0"/>
        <v>12</v>
      </c>
      <c r="C30" s="22">
        <f t="shared" ref="C30:D30" si="31">SUM(G30,)</f>
        <v>0</v>
      </c>
      <c r="D30" s="22">
        <f t="shared" si="31"/>
        <v>0</v>
      </c>
      <c r="E30" s="353">
        <f t="shared" si="20"/>
        <v>12</v>
      </c>
      <c r="F30" s="92">
        <v>12</v>
      </c>
      <c r="G30" s="22">
        <v>0</v>
      </c>
      <c r="H30" s="24">
        <v>0</v>
      </c>
      <c r="I30" s="22">
        <v>0</v>
      </c>
      <c r="J30" s="22">
        <v>0</v>
      </c>
      <c r="K30" s="24">
        <v>0</v>
      </c>
      <c r="L30" s="22">
        <v>0</v>
      </c>
      <c r="M30" s="22">
        <v>0</v>
      </c>
      <c r="N30" s="24">
        <v>0</v>
      </c>
      <c r="O30" s="22">
        <v>0</v>
      </c>
      <c r="P30" s="22">
        <v>0</v>
      </c>
      <c r="Q30" s="24">
        <v>0</v>
      </c>
      <c r="R30" s="22">
        <v>0</v>
      </c>
      <c r="S30" s="22">
        <v>0</v>
      </c>
      <c r="T30" s="24">
        <v>0</v>
      </c>
      <c r="U30" s="22">
        <v>0</v>
      </c>
      <c r="V30" s="22">
        <v>0</v>
      </c>
      <c r="W30" s="24">
        <v>0</v>
      </c>
      <c r="X30" s="22">
        <v>0</v>
      </c>
      <c r="Y30" s="22">
        <v>0</v>
      </c>
      <c r="Z30" s="24">
        <v>0</v>
      </c>
      <c r="AA30" s="472"/>
      <c r="AB30" s="473">
        <v>0</v>
      </c>
      <c r="AC30" s="65">
        <v>0</v>
      </c>
      <c r="AD30" s="474">
        <v>0</v>
      </c>
      <c r="AE30" s="473">
        <v>0</v>
      </c>
      <c r="AF30" s="65">
        <v>0</v>
      </c>
      <c r="AG30" s="474">
        <v>0</v>
      </c>
      <c r="AH30" s="66"/>
      <c r="AI30" s="352" t="s">
        <v>198</v>
      </c>
    </row>
    <row r="31" spans="1:35" ht="12.75">
      <c r="A31" s="40">
        <v>43862</v>
      </c>
      <c r="B31" s="14">
        <f t="shared" si="0"/>
        <v>12</v>
      </c>
      <c r="C31" s="15">
        <f t="shared" ref="C31:D31" si="32">SUM(G31,)</f>
        <v>0</v>
      </c>
      <c r="D31" s="15">
        <f t="shared" si="32"/>
        <v>0</v>
      </c>
      <c r="E31" s="350">
        <f t="shared" si="20"/>
        <v>12</v>
      </c>
      <c r="F31" s="87">
        <v>12</v>
      </c>
      <c r="G31" s="18">
        <v>0</v>
      </c>
      <c r="H31" s="317">
        <v>0</v>
      </c>
      <c r="I31" s="18">
        <v>0</v>
      </c>
      <c r="J31" s="18">
        <v>0</v>
      </c>
      <c r="K31" s="317">
        <v>0</v>
      </c>
      <c r="L31" s="18">
        <v>0</v>
      </c>
      <c r="M31" s="18">
        <v>0</v>
      </c>
      <c r="N31" s="317">
        <v>0</v>
      </c>
      <c r="O31" s="18">
        <v>0</v>
      </c>
      <c r="P31" s="18">
        <v>0</v>
      </c>
      <c r="Q31" s="317">
        <v>0</v>
      </c>
      <c r="R31" s="18">
        <v>0</v>
      </c>
      <c r="S31" s="18">
        <v>0</v>
      </c>
      <c r="T31" s="317">
        <v>0</v>
      </c>
      <c r="U31" s="18">
        <v>0</v>
      </c>
      <c r="V31" s="18">
        <v>0</v>
      </c>
      <c r="W31" s="317">
        <v>0</v>
      </c>
      <c r="X31" s="18">
        <v>0</v>
      </c>
      <c r="Y31" s="18">
        <v>0</v>
      </c>
      <c r="Z31" s="317">
        <v>0</v>
      </c>
      <c r="AA31" s="226"/>
      <c r="AB31" s="470">
        <v>0</v>
      </c>
      <c r="AC31" s="53">
        <v>0</v>
      </c>
      <c r="AD31" s="471">
        <v>0</v>
      </c>
      <c r="AE31" s="470">
        <v>0</v>
      </c>
      <c r="AF31" s="53">
        <v>0</v>
      </c>
      <c r="AG31" s="471">
        <v>0</v>
      </c>
      <c r="AH31" s="55"/>
      <c r="AI31" s="56"/>
    </row>
    <row r="32" spans="1:35" ht="12.75">
      <c r="A32" s="40">
        <v>43863</v>
      </c>
      <c r="B32" s="14">
        <f t="shared" si="0"/>
        <v>12</v>
      </c>
      <c r="C32" s="15">
        <f t="shared" ref="C32:D32" si="33">SUM(G32,)</f>
        <v>0</v>
      </c>
      <c r="D32" s="15">
        <f t="shared" si="33"/>
        <v>0</v>
      </c>
      <c r="E32" s="350">
        <f t="shared" si="20"/>
        <v>12</v>
      </c>
      <c r="F32" s="87">
        <v>12</v>
      </c>
      <c r="G32" s="15">
        <v>0</v>
      </c>
      <c r="H32" s="17">
        <v>0</v>
      </c>
      <c r="I32" s="15">
        <v>0</v>
      </c>
      <c r="J32" s="15">
        <v>0</v>
      </c>
      <c r="K32" s="17">
        <v>0</v>
      </c>
      <c r="L32" s="15">
        <v>0</v>
      </c>
      <c r="M32" s="15">
        <v>0</v>
      </c>
      <c r="N32" s="17">
        <v>0</v>
      </c>
      <c r="O32" s="15">
        <v>0</v>
      </c>
      <c r="P32" s="15">
        <v>0</v>
      </c>
      <c r="Q32" s="17">
        <v>0</v>
      </c>
      <c r="R32" s="15">
        <v>0</v>
      </c>
      <c r="S32" s="15">
        <v>0</v>
      </c>
      <c r="T32" s="17">
        <v>0</v>
      </c>
      <c r="U32" s="15">
        <v>0</v>
      </c>
      <c r="V32" s="15">
        <v>0</v>
      </c>
      <c r="W32" s="17">
        <v>0</v>
      </c>
      <c r="X32" s="15">
        <v>0</v>
      </c>
      <c r="Y32" s="15">
        <v>0</v>
      </c>
      <c r="Z32" s="17">
        <v>0</v>
      </c>
      <c r="AA32" s="226"/>
      <c r="AB32" s="470">
        <v>0</v>
      </c>
      <c r="AC32" s="53">
        <v>0</v>
      </c>
      <c r="AD32" s="471">
        <v>0</v>
      </c>
      <c r="AE32" s="470">
        <v>0</v>
      </c>
      <c r="AF32" s="53">
        <v>0</v>
      </c>
      <c r="AG32" s="471">
        <v>0</v>
      </c>
      <c r="AH32" s="55"/>
      <c r="AI32" s="56"/>
    </row>
    <row r="33" spans="1:35" ht="12.75">
      <c r="A33" s="40">
        <v>43864</v>
      </c>
      <c r="B33" s="14">
        <f t="shared" si="0"/>
        <v>12</v>
      </c>
      <c r="C33" s="15">
        <f t="shared" ref="C33:D33" si="34">SUM(G33,)</f>
        <v>0</v>
      </c>
      <c r="D33" s="15">
        <f t="shared" si="34"/>
        <v>0</v>
      </c>
      <c r="E33" s="350">
        <f t="shared" si="20"/>
        <v>12</v>
      </c>
      <c r="F33" s="87">
        <v>12</v>
      </c>
      <c r="G33" s="18">
        <v>0</v>
      </c>
      <c r="H33" s="317">
        <v>0</v>
      </c>
      <c r="I33" s="18">
        <v>0</v>
      </c>
      <c r="J33" s="18">
        <v>0</v>
      </c>
      <c r="K33" s="317">
        <v>0</v>
      </c>
      <c r="L33" s="18">
        <v>0</v>
      </c>
      <c r="M33" s="18">
        <v>0</v>
      </c>
      <c r="N33" s="317">
        <v>0</v>
      </c>
      <c r="O33" s="18">
        <v>0</v>
      </c>
      <c r="P33" s="18">
        <v>0</v>
      </c>
      <c r="Q33" s="317">
        <v>0</v>
      </c>
      <c r="R33" s="18">
        <v>0</v>
      </c>
      <c r="S33" s="18">
        <v>0</v>
      </c>
      <c r="T33" s="317">
        <v>0</v>
      </c>
      <c r="U33" s="18">
        <v>0</v>
      </c>
      <c r="V33" s="18">
        <v>0</v>
      </c>
      <c r="W33" s="317">
        <v>0</v>
      </c>
      <c r="X33" s="18">
        <v>0</v>
      </c>
      <c r="Y33" s="18">
        <v>0</v>
      </c>
      <c r="Z33" s="317">
        <v>0</v>
      </c>
      <c r="AA33" s="226"/>
      <c r="AB33" s="470">
        <v>0</v>
      </c>
      <c r="AC33" s="53">
        <v>0</v>
      </c>
      <c r="AD33" s="471">
        <v>0</v>
      </c>
      <c r="AE33" s="470">
        <v>0</v>
      </c>
      <c r="AF33" s="53">
        <v>0</v>
      </c>
      <c r="AG33" s="471">
        <v>0</v>
      </c>
      <c r="AH33" s="55"/>
      <c r="AI33" s="56"/>
    </row>
    <row r="34" spans="1:35" ht="12.75">
      <c r="A34" s="40">
        <v>43865</v>
      </c>
      <c r="B34" s="14">
        <f t="shared" si="0"/>
        <v>13</v>
      </c>
      <c r="C34" s="15">
        <f t="shared" ref="C34:D34" si="35">SUM(G34,)</f>
        <v>0</v>
      </c>
      <c r="D34" s="15">
        <f t="shared" si="35"/>
        <v>0</v>
      </c>
      <c r="E34" s="350">
        <f t="shared" si="20"/>
        <v>13</v>
      </c>
      <c r="F34" s="87">
        <v>13</v>
      </c>
      <c r="G34" s="15">
        <v>0</v>
      </c>
      <c r="H34" s="17">
        <v>0</v>
      </c>
      <c r="I34" s="15">
        <v>0</v>
      </c>
      <c r="J34" s="15">
        <v>0</v>
      </c>
      <c r="K34" s="17">
        <v>0</v>
      </c>
      <c r="L34" s="15">
        <v>0</v>
      </c>
      <c r="M34" s="15">
        <v>0</v>
      </c>
      <c r="N34" s="17">
        <v>0</v>
      </c>
      <c r="O34" s="15">
        <v>0</v>
      </c>
      <c r="P34" s="15">
        <v>0</v>
      </c>
      <c r="Q34" s="17">
        <v>0</v>
      </c>
      <c r="R34" s="15">
        <v>0</v>
      </c>
      <c r="S34" s="15">
        <v>0</v>
      </c>
      <c r="T34" s="17">
        <v>0</v>
      </c>
      <c r="U34" s="15">
        <v>0</v>
      </c>
      <c r="V34" s="15">
        <v>0</v>
      </c>
      <c r="W34" s="17">
        <v>0</v>
      </c>
      <c r="X34" s="15">
        <v>0</v>
      </c>
      <c r="Y34" s="15">
        <v>0</v>
      </c>
      <c r="Z34" s="17">
        <v>0</v>
      </c>
      <c r="AA34" s="226"/>
      <c r="AB34" s="445">
        <v>10</v>
      </c>
      <c r="AC34" s="53">
        <v>0</v>
      </c>
      <c r="AD34" s="471">
        <v>0</v>
      </c>
      <c r="AE34" s="470">
        <v>0</v>
      </c>
      <c r="AF34" s="53">
        <v>0</v>
      </c>
      <c r="AG34" s="471">
        <v>0</v>
      </c>
      <c r="AH34" s="55" t="s">
        <v>1168</v>
      </c>
      <c r="AI34" s="64"/>
    </row>
    <row r="35" spans="1:35" ht="12.75">
      <c r="A35" s="40">
        <v>43866</v>
      </c>
      <c r="B35" s="14">
        <f t="shared" si="0"/>
        <v>14</v>
      </c>
      <c r="C35" s="15">
        <f t="shared" ref="C35:D35" si="36">SUM(G35,)</f>
        <v>0</v>
      </c>
      <c r="D35" s="15">
        <f t="shared" si="36"/>
        <v>0</v>
      </c>
      <c r="E35" s="350">
        <f t="shared" si="20"/>
        <v>14</v>
      </c>
      <c r="F35" s="87">
        <v>14</v>
      </c>
      <c r="G35" s="18">
        <v>0</v>
      </c>
      <c r="H35" s="317">
        <v>0</v>
      </c>
      <c r="I35" s="18">
        <v>0</v>
      </c>
      <c r="J35" s="18">
        <v>0</v>
      </c>
      <c r="K35" s="317">
        <v>0</v>
      </c>
      <c r="L35" s="18">
        <v>0</v>
      </c>
      <c r="M35" s="18">
        <v>0</v>
      </c>
      <c r="N35" s="317">
        <v>0</v>
      </c>
      <c r="O35" s="18">
        <v>0</v>
      </c>
      <c r="P35" s="18">
        <v>0</v>
      </c>
      <c r="Q35" s="317">
        <v>0</v>
      </c>
      <c r="R35" s="18">
        <v>0</v>
      </c>
      <c r="S35" s="18">
        <v>0</v>
      </c>
      <c r="T35" s="317">
        <v>0</v>
      </c>
      <c r="U35" s="18">
        <v>0</v>
      </c>
      <c r="V35" s="18">
        <v>0</v>
      </c>
      <c r="W35" s="317">
        <v>0</v>
      </c>
      <c r="X35" s="18">
        <v>0</v>
      </c>
      <c r="Y35" s="18">
        <v>0</v>
      </c>
      <c r="Z35" s="317">
        <v>0</v>
      </c>
      <c r="AA35" s="226"/>
      <c r="AB35" s="445">
        <v>20</v>
      </c>
      <c r="AC35" s="53">
        <v>0</v>
      </c>
      <c r="AD35" s="471">
        <v>0</v>
      </c>
      <c r="AE35" s="470">
        <v>0</v>
      </c>
      <c r="AF35" s="53">
        <v>0</v>
      </c>
      <c r="AG35" s="471">
        <v>0</v>
      </c>
      <c r="AH35" s="55"/>
      <c r="AI35" s="57" t="s">
        <v>838</v>
      </c>
    </row>
    <row r="36" spans="1:35" ht="12.75">
      <c r="A36" s="40">
        <v>43867</v>
      </c>
      <c r="B36" s="14">
        <f t="shared" si="0"/>
        <v>15</v>
      </c>
      <c r="C36" s="15">
        <f t="shared" ref="C36:D36" si="37">SUM(G36,)</f>
        <v>0</v>
      </c>
      <c r="D36" s="15">
        <f t="shared" si="37"/>
        <v>0</v>
      </c>
      <c r="E36" s="350">
        <f t="shared" si="20"/>
        <v>15</v>
      </c>
      <c r="F36" s="87">
        <v>15</v>
      </c>
      <c r="G36" s="15">
        <v>0</v>
      </c>
      <c r="H36" s="17">
        <v>0</v>
      </c>
      <c r="I36" s="15">
        <v>0</v>
      </c>
      <c r="J36" s="15">
        <v>0</v>
      </c>
      <c r="K36" s="17">
        <v>0</v>
      </c>
      <c r="L36" s="15">
        <v>0</v>
      </c>
      <c r="M36" s="15">
        <v>0</v>
      </c>
      <c r="N36" s="17">
        <v>0</v>
      </c>
      <c r="O36" s="15">
        <v>0</v>
      </c>
      <c r="P36" s="15">
        <v>0</v>
      </c>
      <c r="Q36" s="17">
        <v>0</v>
      </c>
      <c r="R36" s="15">
        <v>0</v>
      </c>
      <c r="S36" s="15">
        <v>0</v>
      </c>
      <c r="T36" s="17">
        <v>0</v>
      </c>
      <c r="U36" s="15">
        <v>0</v>
      </c>
      <c r="V36" s="15">
        <v>0</v>
      </c>
      <c r="W36" s="17">
        <v>0</v>
      </c>
      <c r="X36" s="15">
        <v>0</v>
      </c>
      <c r="Y36" s="15">
        <v>0</v>
      </c>
      <c r="Z36" s="17">
        <v>0</v>
      </c>
      <c r="AA36" s="226"/>
      <c r="AB36" s="445">
        <v>41</v>
      </c>
      <c r="AC36" s="53">
        <v>0</v>
      </c>
      <c r="AD36" s="471">
        <v>0</v>
      </c>
      <c r="AE36" s="470">
        <v>0</v>
      </c>
      <c r="AF36" s="53">
        <v>0</v>
      </c>
      <c r="AG36" s="471">
        <v>0</v>
      </c>
      <c r="AH36" s="55"/>
      <c r="AI36" s="57" t="s">
        <v>227</v>
      </c>
    </row>
    <row r="37" spans="1:35" ht="12.75">
      <c r="A37" s="40">
        <v>43868</v>
      </c>
      <c r="B37" s="14">
        <f t="shared" si="0"/>
        <v>15</v>
      </c>
      <c r="C37" s="15">
        <f t="shared" ref="C37:D37" si="38">SUM(G37,)</f>
        <v>0</v>
      </c>
      <c r="D37" s="15">
        <f t="shared" si="38"/>
        <v>0</v>
      </c>
      <c r="E37" s="350">
        <f t="shared" si="20"/>
        <v>15</v>
      </c>
      <c r="F37" s="87">
        <v>15</v>
      </c>
      <c r="G37" s="18">
        <v>0</v>
      </c>
      <c r="H37" s="317">
        <v>0</v>
      </c>
      <c r="I37" s="18">
        <v>0</v>
      </c>
      <c r="J37" s="18">
        <v>0</v>
      </c>
      <c r="K37" s="317">
        <v>0</v>
      </c>
      <c r="L37" s="18">
        <v>0</v>
      </c>
      <c r="M37" s="18">
        <v>0</v>
      </c>
      <c r="N37" s="317">
        <v>0</v>
      </c>
      <c r="O37" s="18">
        <v>0</v>
      </c>
      <c r="P37" s="18">
        <v>0</v>
      </c>
      <c r="Q37" s="317">
        <v>0</v>
      </c>
      <c r="R37" s="18">
        <v>0</v>
      </c>
      <c r="S37" s="18">
        <v>0</v>
      </c>
      <c r="T37" s="317">
        <v>0</v>
      </c>
      <c r="U37" s="18">
        <v>0</v>
      </c>
      <c r="V37" s="18">
        <v>0</v>
      </c>
      <c r="W37" s="317">
        <v>0</v>
      </c>
      <c r="X37" s="18">
        <v>0</v>
      </c>
      <c r="Y37" s="18">
        <v>0</v>
      </c>
      <c r="Z37" s="317">
        <v>0</v>
      </c>
      <c r="AA37" s="226"/>
      <c r="AB37" s="445">
        <v>64</v>
      </c>
      <c r="AC37" s="53">
        <v>0</v>
      </c>
      <c r="AD37" s="471">
        <v>0</v>
      </c>
      <c r="AE37" s="470">
        <v>0</v>
      </c>
      <c r="AF37" s="53">
        <v>0</v>
      </c>
      <c r="AG37" s="471">
        <v>0</v>
      </c>
      <c r="AH37" s="55"/>
      <c r="AI37" s="57" t="s">
        <v>232</v>
      </c>
    </row>
    <row r="38" spans="1:35" ht="12.75">
      <c r="A38" s="40">
        <v>43869</v>
      </c>
      <c r="B38" s="14">
        <f t="shared" si="0"/>
        <v>15</v>
      </c>
      <c r="C38" s="15">
        <f t="shared" ref="C38:D38" si="39">SUM(G38,)</f>
        <v>0</v>
      </c>
      <c r="D38" s="15">
        <f t="shared" si="39"/>
        <v>0</v>
      </c>
      <c r="E38" s="350">
        <f t="shared" si="20"/>
        <v>15</v>
      </c>
      <c r="F38" s="87">
        <v>15</v>
      </c>
      <c r="G38" s="15">
        <v>0</v>
      </c>
      <c r="H38" s="17">
        <v>0</v>
      </c>
      <c r="I38" s="15">
        <v>0</v>
      </c>
      <c r="J38" s="15">
        <v>0</v>
      </c>
      <c r="K38" s="17">
        <v>0</v>
      </c>
      <c r="L38" s="15">
        <v>0</v>
      </c>
      <c r="M38" s="15">
        <v>0</v>
      </c>
      <c r="N38" s="17">
        <v>0</v>
      </c>
      <c r="O38" s="15">
        <v>0</v>
      </c>
      <c r="P38" s="15">
        <v>0</v>
      </c>
      <c r="Q38" s="17">
        <v>0</v>
      </c>
      <c r="R38" s="15">
        <v>0</v>
      </c>
      <c r="S38" s="15">
        <v>0</v>
      </c>
      <c r="T38" s="17">
        <v>0</v>
      </c>
      <c r="U38" s="15">
        <v>0</v>
      </c>
      <c r="V38" s="15">
        <v>0</v>
      </c>
      <c r="W38" s="17">
        <v>0</v>
      </c>
      <c r="X38" s="15">
        <v>0</v>
      </c>
      <c r="Y38" s="15">
        <v>0</v>
      </c>
      <c r="Z38" s="17">
        <v>0</v>
      </c>
      <c r="AA38" s="226"/>
      <c r="AB38" s="445">
        <v>64</v>
      </c>
      <c r="AC38" s="53">
        <v>0</v>
      </c>
      <c r="AD38" s="471">
        <v>0</v>
      </c>
      <c r="AE38" s="470">
        <v>0</v>
      </c>
      <c r="AF38" s="53">
        <v>0</v>
      </c>
      <c r="AG38" s="471">
        <v>0</v>
      </c>
      <c r="AH38" s="55"/>
      <c r="AI38" s="56"/>
    </row>
    <row r="39" spans="1:35" ht="12.75">
      <c r="A39" s="40">
        <v>43870</v>
      </c>
      <c r="B39" s="14">
        <f t="shared" si="0"/>
        <v>15</v>
      </c>
      <c r="C39" s="15">
        <f t="shared" ref="C39:D39" si="40">SUM(G39,)</f>
        <v>0</v>
      </c>
      <c r="D39" s="15">
        <f t="shared" si="40"/>
        <v>0</v>
      </c>
      <c r="E39" s="350">
        <f t="shared" si="20"/>
        <v>15</v>
      </c>
      <c r="F39" s="87">
        <v>15</v>
      </c>
      <c r="G39" s="18">
        <v>0</v>
      </c>
      <c r="H39" s="317">
        <v>0</v>
      </c>
      <c r="I39" s="18">
        <v>0</v>
      </c>
      <c r="J39" s="18">
        <v>0</v>
      </c>
      <c r="K39" s="317">
        <v>0</v>
      </c>
      <c r="L39" s="18">
        <v>0</v>
      </c>
      <c r="M39" s="18">
        <v>0</v>
      </c>
      <c r="N39" s="317">
        <v>0</v>
      </c>
      <c r="O39" s="18">
        <v>0</v>
      </c>
      <c r="P39" s="18">
        <v>0</v>
      </c>
      <c r="Q39" s="317">
        <v>0</v>
      </c>
      <c r="R39" s="18">
        <v>0</v>
      </c>
      <c r="S39" s="18">
        <v>0</v>
      </c>
      <c r="T39" s="317">
        <v>0</v>
      </c>
      <c r="U39" s="18">
        <v>0</v>
      </c>
      <c r="V39" s="18">
        <v>0</v>
      </c>
      <c r="W39" s="317">
        <v>0</v>
      </c>
      <c r="X39" s="18">
        <v>0</v>
      </c>
      <c r="Y39" s="18">
        <v>0</v>
      </c>
      <c r="Z39" s="317">
        <v>0</v>
      </c>
      <c r="AA39" s="226"/>
      <c r="AB39" s="445">
        <v>70</v>
      </c>
      <c r="AC39" s="53">
        <v>0</v>
      </c>
      <c r="AD39" s="471">
        <v>0</v>
      </c>
      <c r="AE39" s="470">
        <v>0</v>
      </c>
      <c r="AF39" s="53">
        <v>0</v>
      </c>
      <c r="AG39" s="471">
        <v>0</v>
      </c>
      <c r="AH39" s="55"/>
      <c r="AI39" s="57" t="s">
        <v>238</v>
      </c>
    </row>
    <row r="40" spans="1:35" ht="12.75">
      <c r="A40" s="40">
        <v>43871</v>
      </c>
      <c r="B40" s="14">
        <f t="shared" si="0"/>
        <v>15</v>
      </c>
      <c r="C40" s="15">
        <f t="shared" ref="C40:D40" si="41">SUM(G40,)</f>
        <v>0</v>
      </c>
      <c r="D40" s="15">
        <f t="shared" si="41"/>
        <v>0</v>
      </c>
      <c r="E40" s="350">
        <f t="shared" si="20"/>
        <v>15</v>
      </c>
      <c r="F40" s="87">
        <v>15</v>
      </c>
      <c r="G40" s="15">
        <v>0</v>
      </c>
      <c r="H40" s="17">
        <v>0</v>
      </c>
      <c r="I40" s="15">
        <v>0</v>
      </c>
      <c r="J40" s="15">
        <v>0</v>
      </c>
      <c r="K40" s="17">
        <v>0</v>
      </c>
      <c r="L40" s="15">
        <v>0</v>
      </c>
      <c r="M40" s="15">
        <v>0</v>
      </c>
      <c r="N40" s="17">
        <v>0</v>
      </c>
      <c r="O40" s="15">
        <v>0</v>
      </c>
      <c r="P40" s="15">
        <v>0</v>
      </c>
      <c r="Q40" s="17">
        <v>0</v>
      </c>
      <c r="R40" s="15">
        <v>0</v>
      </c>
      <c r="S40" s="15">
        <v>0</v>
      </c>
      <c r="T40" s="17">
        <v>0</v>
      </c>
      <c r="U40" s="15">
        <v>0</v>
      </c>
      <c r="V40" s="15">
        <v>0</v>
      </c>
      <c r="W40" s="17">
        <v>0</v>
      </c>
      <c r="X40" s="15">
        <v>0</v>
      </c>
      <c r="Y40" s="15">
        <v>0</v>
      </c>
      <c r="Z40" s="17">
        <v>0</v>
      </c>
      <c r="AA40" s="226"/>
      <c r="AB40" s="445">
        <v>135</v>
      </c>
      <c r="AC40" s="53">
        <v>0</v>
      </c>
      <c r="AD40" s="471">
        <v>0</v>
      </c>
      <c r="AE40" s="470">
        <v>0</v>
      </c>
      <c r="AF40" s="53">
        <v>0</v>
      </c>
      <c r="AG40" s="471">
        <v>0</v>
      </c>
      <c r="AH40" s="55"/>
      <c r="AI40" s="57" t="s">
        <v>241</v>
      </c>
    </row>
    <row r="41" spans="1:35" ht="12.75">
      <c r="A41" s="40">
        <v>43872</v>
      </c>
      <c r="B41" s="14">
        <f t="shared" si="0"/>
        <v>15</v>
      </c>
      <c r="C41" s="15">
        <f t="shared" ref="C41:D41" si="42">SUM(G41,)</f>
        <v>0</v>
      </c>
      <c r="D41" s="15">
        <f t="shared" si="42"/>
        <v>0</v>
      </c>
      <c r="E41" s="350">
        <f t="shared" si="20"/>
        <v>15</v>
      </c>
      <c r="F41" s="87">
        <v>15</v>
      </c>
      <c r="G41" s="18">
        <v>0</v>
      </c>
      <c r="H41" s="317">
        <v>0</v>
      </c>
      <c r="I41" s="18">
        <v>0</v>
      </c>
      <c r="J41" s="18">
        <v>0</v>
      </c>
      <c r="K41" s="317">
        <v>0</v>
      </c>
      <c r="L41" s="18">
        <v>0</v>
      </c>
      <c r="M41" s="18">
        <v>0</v>
      </c>
      <c r="N41" s="317">
        <v>0</v>
      </c>
      <c r="O41" s="18">
        <v>0</v>
      </c>
      <c r="P41" s="18">
        <v>0</v>
      </c>
      <c r="Q41" s="317">
        <v>0</v>
      </c>
      <c r="R41" s="18">
        <v>0</v>
      </c>
      <c r="S41" s="18">
        <v>0</v>
      </c>
      <c r="T41" s="317">
        <v>0</v>
      </c>
      <c r="U41" s="18">
        <v>0</v>
      </c>
      <c r="V41" s="18">
        <v>0</v>
      </c>
      <c r="W41" s="317">
        <v>0</v>
      </c>
      <c r="X41" s="18">
        <v>0</v>
      </c>
      <c r="Y41" s="18">
        <v>0</v>
      </c>
      <c r="Z41" s="317">
        <v>0</v>
      </c>
      <c r="AA41" s="226"/>
      <c r="AB41" s="445">
        <v>175</v>
      </c>
      <c r="AC41" s="53">
        <v>0</v>
      </c>
      <c r="AD41" s="471">
        <v>0</v>
      </c>
      <c r="AE41" s="470">
        <v>0</v>
      </c>
      <c r="AF41" s="53">
        <v>0</v>
      </c>
      <c r="AG41" s="471">
        <v>0</v>
      </c>
      <c r="AH41" s="55"/>
      <c r="AI41" s="57" t="s">
        <v>1178</v>
      </c>
    </row>
    <row r="42" spans="1:35" ht="12.75">
      <c r="A42" s="40">
        <v>43873</v>
      </c>
      <c r="B42" s="14">
        <f t="shared" si="0"/>
        <v>15</v>
      </c>
      <c r="C42" s="15">
        <f t="shared" ref="C42:D42" si="43">SUM(G42,)</f>
        <v>0</v>
      </c>
      <c r="D42" s="15">
        <f t="shared" si="43"/>
        <v>0</v>
      </c>
      <c r="E42" s="350">
        <f t="shared" si="20"/>
        <v>15</v>
      </c>
      <c r="F42" s="87">
        <v>15</v>
      </c>
      <c r="G42" s="15">
        <v>0</v>
      </c>
      <c r="H42" s="17">
        <v>0</v>
      </c>
      <c r="I42" s="15">
        <v>0</v>
      </c>
      <c r="J42" s="15">
        <v>0</v>
      </c>
      <c r="K42" s="17">
        <v>0</v>
      </c>
      <c r="L42" s="15">
        <v>0</v>
      </c>
      <c r="M42" s="15">
        <v>0</v>
      </c>
      <c r="N42" s="17">
        <v>0</v>
      </c>
      <c r="O42" s="15">
        <v>0</v>
      </c>
      <c r="P42" s="15">
        <v>0</v>
      </c>
      <c r="Q42" s="17">
        <v>0</v>
      </c>
      <c r="R42" s="15">
        <v>0</v>
      </c>
      <c r="S42" s="15">
        <v>0</v>
      </c>
      <c r="T42" s="17">
        <v>0</v>
      </c>
      <c r="U42" s="15">
        <v>0</v>
      </c>
      <c r="V42" s="15">
        <v>0</v>
      </c>
      <c r="W42" s="17">
        <v>0</v>
      </c>
      <c r="X42" s="15">
        <v>0</v>
      </c>
      <c r="Y42" s="15">
        <v>0</v>
      </c>
      <c r="Z42" s="17">
        <v>0</v>
      </c>
      <c r="AA42" s="226"/>
      <c r="AB42" s="445">
        <v>175</v>
      </c>
      <c r="AC42" s="53">
        <v>0</v>
      </c>
      <c r="AD42" s="471">
        <v>0</v>
      </c>
      <c r="AE42" s="470">
        <v>0</v>
      </c>
      <c r="AF42" s="53">
        <v>0</v>
      </c>
      <c r="AG42" s="471">
        <v>0</v>
      </c>
      <c r="AH42" s="55"/>
      <c r="AI42" s="56"/>
    </row>
    <row r="43" spans="1:35" ht="12.75">
      <c r="A43" s="40">
        <v>43874</v>
      </c>
      <c r="B43" s="14">
        <f t="shared" si="0"/>
        <v>15</v>
      </c>
      <c r="C43" s="15">
        <f t="shared" ref="C43:D43" si="44">SUM(G43,)</f>
        <v>0</v>
      </c>
      <c r="D43" s="15">
        <f t="shared" si="44"/>
        <v>0</v>
      </c>
      <c r="E43" s="350">
        <f t="shared" si="20"/>
        <v>15</v>
      </c>
      <c r="F43" s="87">
        <v>15</v>
      </c>
      <c r="G43" s="18">
        <v>0</v>
      </c>
      <c r="H43" s="317">
        <v>0</v>
      </c>
      <c r="I43" s="18">
        <v>0</v>
      </c>
      <c r="J43" s="18">
        <v>0</v>
      </c>
      <c r="K43" s="317">
        <v>0</v>
      </c>
      <c r="L43" s="18">
        <v>0</v>
      </c>
      <c r="M43" s="18">
        <v>0</v>
      </c>
      <c r="N43" s="317">
        <v>0</v>
      </c>
      <c r="O43" s="18">
        <v>0</v>
      </c>
      <c r="P43" s="18">
        <v>0</v>
      </c>
      <c r="Q43" s="317">
        <v>0</v>
      </c>
      <c r="R43" s="18">
        <v>0</v>
      </c>
      <c r="S43" s="18">
        <v>0</v>
      </c>
      <c r="T43" s="317">
        <v>0</v>
      </c>
      <c r="U43" s="18">
        <v>0</v>
      </c>
      <c r="V43" s="18">
        <v>0</v>
      </c>
      <c r="W43" s="317">
        <v>0</v>
      </c>
      <c r="X43" s="18">
        <v>0</v>
      </c>
      <c r="Y43" s="18">
        <v>0</v>
      </c>
      <c r="Z43" s="317">
        <v>0</v>
      </c>
      <c r="AA43" s="226"/>
      <c r="AB43" s="445">
        <v>218</v>
      </c>
      <c r="AC43" s="53">
        <v>0</v>
      </c>
      <c r="AD43" s="471">
        <v>0</v>
      </c>
      <c r="AE43" s="470">
        <v>0</v>
      </c>
      <c r="AF43" s="53">
        <v>0</v>
      </c>
      <c r="AG43" s="471">
        <v>0</v>
      </c>
      <c r="AH43" s="55"/>
      <c r="AI43" s="57" t="s">
        <v>841</v>
      </c>
    </row>
    <row r="44" spans="1:35" ht="12.75">
      <c r="A44" s="40">
        <v>43875</v>
      </c>
      <c r="B44" s="14">
        <f t="shared" si="0"/>
        <v>15</v>
      </c>
      <c r="C44" s="15">
        <f t="shared" ref="C44:D44" si="45">SUM(G44,)</f>
        <v>0</v>
      </c>
      <c r="D44" s="15">
        <f t="shared" si="45"/>
        <v>0</v>
      </c>
      <c r="E44" s="350">
        <f t="shared" si="20"/>
        <v>15</v>
      </c>
      <c r="F44" s="87">
        <v>15</v>
      </c>
      <c r="G44" s="15">
        <v>0</v>
      </c>
      <c r="H44" s="17">
        <v>0</v>
      </c>
      <c r="I44" s="15">
        <v>0</v>
      </c>
      <c r="J44" s="15">
        <v>0</v>
      </c>
      <c r="K44" s="17">
        <v>0</v>
      </c>
      <c r="L44" s="15">
        <v>0</v>
      </c>
      <c r="M44" s="15">
        <v>0</v>
      </c>
      <c r="N44" s="17">
        <v>0</v>
      </c>
      <c r="O44" s="15">
        <v>0</v>
      </c>
      <c r="P44" s="15">
        <v>0</v>
      </c>
      <c r="Q44" s="17">
        <v>0</v>
      </c>
      <c r="R44" s="15">
        <v>0</v>
      </c>
      <c r="S44" s="15">
        <v>0</v>
      </c>
      <c r="T44" s="17">
        <v>0</v>
      </c>
      <c r="U44" s="15">
        <v>0</v>
      </c>
      <c r="V44" s="15">
        <v>0</v>
      </c>
      <c r="W44" s="17">
        <v>0</v>
      </c>
      <c r="X44" s="15">
        <v>0</v>
      </c>
      <c r="Y44" s="15">
        <v>0</v>
      </c>
      <c r="Z44" s="17">
        <v>0</v>
      </c>
      <c r="AA44" s="226"/>
      <c r="AB44" s="445">
        <v>218</v>
      </c>
      <c r="AC44" s="53">
        <v>0</v>
      </c>
      <c r="AD44" s="471">
        <v>0</v>
      </c>
      <c r="AE44" s="470">
        <v>0</v>
      </c>
      <c r="AF44" s="53">
        <v>0</v>
      </c>
      <c r="AG44" s="471">
        <v>0</v>
      </c>
      <c r="AH44" s="55"/>
      <c r="AI44" s="56"/>
    </row>
    <row r="45" spans="1:35" ht="12.75">
      <c r="A45" s="40">
        <v>43876</v>
      </c>
      <c r="B45" s="14">
        <f t="shared" si="0"/>
        <v>15</v>
      </c>
      <c r="C45" s="15">
        <f t="shared" ref="C45:D45" si="46">SUM(G45,)</f>
        <v>0</v>
      </c>
      <c r="D45" s="15">
        <f t="shared" si="46"/>
        <v>0</v>
      </c>
      <c r="E45" s="350">
        <f t="shared" si="20"/>
        <v>15</v>
      </c>
      <c r="F45" s="87">
        <v>15</v>
      </c>
      <c r="G45" s="18">
        <v>0</v>
      </c>
      <c r="H45" s="317">
        <v>0</v>
      </c>
      <c r="I45" s="18">
        <v>0</v>
      </c>
      <c r="J45" s="18">
        <v>0</v>
      </c>
      <c r="K45" s="317">
        <v>0</v>
      </c>
      <c r="L45" s="18">
        <v>0</v>
      </c>
      <c r="M45" s="18">
        <v>0</v>
      </c>
      <c r="N45" s="317">
        <v>0</v>
      </c>
      <c r="O45" s="18">
        <v>0</v>
      </c>
      <c r="P45" s="18">
        <v>0</v>
      </c>
      <c r="Q45" s="317">
        <v>0</v>
      </c>
      <c r="R45" s="18">
        <v>0</v>
      </c>
      <c r="S45" s="18">
        <v>0</v>
      </c>
      <c r="T45" s="317">
        <v>0</v>
      </c>
      <c r="U45" s="18">
        <v>0</v>
      </c>
      <c r="V45" s="18">
        <v>0</v>
      </c>
      <c r="W45" s="317">
        <v>0</v>
      </c>
      <c r="X45" s="18">
        <v>0</v>
      </c>
      <c r="Y45" s="18">
        <v>0</v>
      </c>
      <c r="Z45" s="317">
        <v>0</v>
      </c>
      <c r="AA45" s="226"/>
      <c r="AB45" s="445">
        <v>355</v>
      </c>
      <c r="AC45" s="53">
        <v>0</v>
      </c>
      <c r="AD45" s="471">
        <v>0</v>
      </c>
      <c r="AE45" s="470">
        <v>0</v>
      </c>
      <c r="AF45" s="53">
        <v>0</v>
      </c>
      <c r="AG45" s="471">
        <v>0</v>
      </c>
      <c r="AH45" s="55"/>
      <c r="AI45" s="57" t="s">
        <v>256</v>
      </c>
    </row>
    <row r="46" spans="1:35" ht="12.75">
      <c r="A46" s="40">
        <v>43877</v>
      </c>
      <c r="B46" s="14">
        <f t="shared" si="0"/>
        <v>15</v>
      </c>
      <c r="C46" s="15">
        <f t="shared" ref="C46:D46" si="47">SUM(G46,)</f>
        <v>0</v>
      </c>
      <c r="D46" s="15">
        <f t="shared" si="47"/>
        <v>0</v>
      </c>
      <c r="E46" s="350">
        <f t="shared" si="20"/>
        <v>15</v>
      </c>
      <c r="F46" s="87">
        <v>15</v>
      </c>
      <c r="G46" s="15">
        <v>0</v>
      </c>
      <c r="H46" s="17">
        <v>0</v>
      </c>
      <c r="I46" s="15">
        <v>0</v>
      </c>
      <c r="J46" s="15">
        <v>0</v>
      </c>
      <c r="K46" s="17">
        <v>0</v>
      </c>
      <c r="L46" s="15">
        <v>0</v>
      </c>
      <c r="M46" s="15">
        <v>0</v>
      </c>
      <c r="N46" s="17">
        <v>0</v>
      </c>
      <c r="O46" s="15">
        <v>0</v>
      </c>
      <c r="P46" s="15">
        <v>0</v>
      </c>
      <c r="Q46" s="17">
        <v>0</v>
      </c>
      <c r="R46" s="15">
        <v>0</v>
      </c>
      <c r="S46" s="15">
        <v>0</v>
      </c>
      <c r="T46" s="17">
        <v>0</v>
      </c>
      <c r="U46" s="15">
        <v>0</v>
      </c>
      <c r="V46" s="15">
        <v>0</v>
      </c>
      <c r="W46" s="17">
        <v>0</v>
      </c>
      <c r="X46" s="15">
        <v>0</v>
      </c>
      <c r="Y46" s="15">
        <v>0</v>
      </c>
      <c r="Z46" s="17">
        <v>0</v>
      </c>
      <c r="AA46" s="226"/>
      <c r="AB46" s="445">
        <v>454</v>
      </c>
      <c r="AC46" s="53">
        <v>0</v>
      </c>
      <c r="AD46" s="471">
        <v>0</v>
      </c>
      <c r="AE46" s="470">
        <v>0</v>
      </c>
      <c r="AF46" s="53">
        <v>0</v>
      </c>
      <c r="AG46" s="471">
        <v>0</v>
      </c>
      <c r="AH46" s="55"/>
      <c r="AI46" s="77" t="s">
        <v>205</v>
      </c>
    </row>
    <row r="47" spans="1:35" ht="12.75">
      <c r="A47" s="40">
        <v>43878</v>
      </c>
      <c r="B47" s="14">
        <f t="shared" si="0"/>
        <v>15</v>
      </c>
      <c r="C47" s="15">
        <f t="shared" ref="C47:D47" si="48">SUM(G47,)</f>
        <v>0</v>
      </c>
      <c r="D47" s="15">
        <f t="shared" si="48"/>
        <v>0</v>
      </c>
      <c r="E47" s="350">
        <f t="shared" si="20"/>
        <v>15</v>
      </c>
      <c r="F47" s="87">
        <v>15</v>
      </c>
      <c r="G47" s="18">
        <v>0</v>
      </c>
      <c r="H47" s="317">
        <v>0</v>
      </c>
      <c r="I47" s="18">
        <v>0</v>
      </c>
      <c r="J47" s="18">
        <v>0</v>
      </c>
      <c r="K47" s="317">
        <v>0</v>
      </c>
      <c r="L47" s="18">
        <v>0</v>
      </c>
      <c r="M47" s="18">
        <v>0</v>
      </c>
      <c r="N47" s="317">
        <v>0</v>
      </c>
      <c r="O47" s="18">
        <v>0</v>
      </c>
      <c r="P47" s="18">
        <v>0</v>
      </c>
      <c r="Q47" s="317">
        <v>0</v>
      </c>
      <c r="R47" s="18">
        <v>0</v>
      </c>
      <c r="S47" s="18">
        <v>0</v>
      </c>
      <c r="T47" s="317">
        <v>0</v>
      </c>
      <c r="U47" s="18">
        <v>0</v>
      </c>
      <c r="V47" s="18">
        <v>0</v>
      </c>
      <c r="W47" s="317">
        <v>0</v>
      </c>
      <c r="X47" s="18">
        <v>0</v>
      </c>
      <c r="Y47" s="18">
        <v>0</v>
      </c>
      <c r="Z47" s="317">
        <v>0</v>
      </c>
      <c r="AA47" s="226"/>
      <c r="AB47" s="445">
        <v>454</v>
      </c>
      <c r="AC47" s="53">
        <v>0</v>
      </c>
      <c r="AD47" s="471">
        <v>0</v>
      </c>
      <c r="AE47" s="470">
        <v>0</v>
      </c>
      <c r="AF47" s="53">
        <v>0</v>
      </c>
      <c r="AG47" s="471">
        <v>0</v>
      </c>
      <c r="AH47" s="55"/>
      <c r="AI47" s="56"/>
    </row>
    <row r="48" spans="1:35" ht="12.75">
      <c r="A48" s="40">
        <v>43879</v>
      </c>
      <c r="B48" s="14">
        <f t="shared" si="0"/>
        <v>15</v>
      </c>
      <c r="C48" s="15">
        <f t="shared" ref="C48:D48" si="49">SUM(G48,)</f>
        <v>0</v>
      </c>
      <c r="D48" s="15">
        <f t="shared" si="49"/>
        <v>0</v>
      </c>
      <c r="E48" s="350">
        <f t="shared" si="20"/>
        <v>15</v>
      </c>
      <c r="F48" s="87">
        <v>15</v>
      </c>
      <c r="G48" s="15">
        <v>0</v>
      </c>
      <c r="H48" s="17">
        <v>0</v>
      </c>
      <c r="I48" s="15">
        <v>0</v>
      </c>
      <c r="J48" s="15">
        <v>0</v>
      </c>
      <c r="K48" s="17">
        <v>0</v>
      </c>
      <c r="L48" s="15">
        <v>0</v>
      </c>
      <c r="M48" s="15">
        <v>0</v>
      </c>
      <c r="N48" s="17">
        <v>0</v>
      </c>
      <c r="O48" s="15">
        <v>0</v>
      </c>
      <c r="P48" s="15">
        <v>0</v>
      </c>
      <c r="Q48" s="17">
        <v>0</v>
      </c>
      <c r="R48" s="15">
        <v>0</v>
      </c>
      <c r="S48" s="15">
        <v>0</v>
      </c>
      <c r="T48" s="17">
        <v>0</v>
      </c>
      <c r="U48" s="15">
        <v>0</v>
      </c>
      <c r="V48" s="15">
        <v>0</v>
      </c>
      <c r="W48" s="17">
        <v>0</v>
      </c>
      <c r="X48" s="15">
        <v>0</v>
      </c>
      <c r="Y48" s="15">
        <v>0</v>
      </c>
      <c r="Z48" s="17">
        <v>0</v>
      </c>
      <c r="AA48" s="226"/>
      <c r="AB48" s="445">
        <v>542</v>
      </c>
      <c r="AC48" s="53">
        <v>0</v>
      </c>
      <c r="AD48" s="471">
        <v>0</v>
      </c>
      <c r="AE48" s="470">
        <v>0</v>
      </c>
      <c r="AF48" s="53">
        <v>0</v>
      </c>
      <c r="AG48" s="471">
        <v>0</v>
      </c>
      <c r="AH48" s="55"/>
      <c r="AI48" s="77" t="s">
        <v>1179</v>
      </c>
    </row>
    <row r="49" spans="1:35" ht="12.75">
      <c r="A49" s="40">
        <v>43880</v>
      </c>
      <c r="B49" s="14">
        <f t="shared" si="0"/>
        <v>15</v>
      </c>
      <c r="C49" s="15">
        <f t="shared" ref="C49:D49" si="50">SUM(G49,)</f>
        <v>0</v>
      </c>
      <c r="D49" s="15">
        <f t="shared" si="50"/>
        <v>0</v>
      </c>
      <c r="E49" s="350">
        <f t="shared" si="20"/>
        <v>15</v>
      </c>
      <c r="F49" s="87">
        <v>15</v>
      </c>
      <c r="G49" s="18">
        <v>0</v>
      </c>
      <c r="H49" s="317">
        <v>0</v>
      </c>
      <c r="I49" s="18">
        <v>0</v>
      </c>
      <c r="J49" s="18">
        <v>0</v>
      </c>
      <c r="K49" s="317">
        <v>0</v>
      </c>
      <c r="L49" s="18">
        <v>0</v>
      </c>
      <c r="M49" s="18">
        <v>0</v>
      </c>
      <c r="N49" s="317">
        <v>0</v>
      </c>
      <c r="O49" s="18">
        <v>0</v>
      </c>
      <c r="P49" s="18">
        <v>0</v>
      </c>
      <c r="Q49" s="317">
        <v>0</v>
      </c>
      <c r="R49" s="18">
        <v>0</v>
      </c>
      <c r="S49" s="18">
        <v>0</v>
      </c>
      <c r="T49" s="317">
        <v>0</v>
      </c>
      <c r="U49" s="18">
        <v>0</v>
      </c>
      <c r="V49" s="18">
        <v>0</v>
      </c>
      <c r="W49" s="317">
        <v>0</v>
      </c>
      <c r="X49" s="18">
        <v>0</v>
      </c>
      <c r="Y49" s="18">
        <v>0</v>
      </c>
      <c r="Z49" s="317">
        <v>0</v>
      </c>
      <c r="AA49" s="226"/>
      <c r="AB49" s="445">
        <v>621</v>
      </c>
      <c r="AC49" s="53">
        <v>0</v>
      </c>
      <c r="AD49" s="471">
        <v>0</v>
      </c>
      <c r="AE49" s="470">
        <v>0</v>
      </c>
      <c r="AF49" s="53">
        <v>0</v>
      </c>
      <c r="AG49" s="471">
        <v>0</v>
      </c>
      <c r="AH49" s="55"/>
      <c r="AI49" s="77" t="s">
        <v>1075</v>
      </c>
    </row>
    <row r="50" spans="1:35" ht="12.75">
      <c r="A50" s="40">
        <v>43881</v>
      </c>
      <c r="B50" s="14">
        <f t="shared" si="0"/>
        <v>17</v>
      </c>
      <c r="C50" s="15">
        <f t="shared" ref="C50:D50" si="51">SUM(G50,)</f>
        <v>0</v>
      </c>
      <c r="D50" s="15">
        <f t="shared" si="51"/>
        <v>0</v>
      </c>
      <c r="E50" s="350">
        <f t="shared" si="20"/>
        <v>17</v>
      </c>
      <c r="F50" s="87">
        <v>17</v>
      </c>
      <c r="G50" s="15">
        <v>0</v>
      </c>
      <c r="H50" s="17">
        <v>0</v>
      </c>
      <c r="I50" s="15">
        <v>0</v>
      </c>
      <c r="J50" s="15">
        <v>0</v>
      </c>
      <c r="K50" s="17">
        <v>0</v>
      </c>
      <c r="L50" s="15">
        <v>0</v>
      </c>
      <c r="M50" s="15">
        <v>0</v>
      </c>
      <c r="N50" s="17">
        <v>0</v>
      </c>
      <c r="O50" s="15">
        <v>0</v>
      </c>
      <c r="P50" s="15">
        <v>0</v>
      </c>
      <c r="Q50" s="17">
        <v>0</v>
      </c>
      <c r="R50" s="15">
        <v>0</v>
      </c>
      <c r="S50" s="15">
        <v>0</v>
      </c>
      <c r="T50" s="17">
        <v>0</v>
      </c>
      <c r="U50" s="15">
        <v>0</v>
      </c>
      <c r="V50" s="15">
        <v>0</v>
      </c>
      <c r="W50" s="17">
        <v>0</v>
      </c>
      <c r="X50" s="15">
        <v>0</v>
      </c>
      <c r="Y50" s="15">
        <v>0</v>
      </c>
      <c r="Z50" s="17">
        <v>0</v>
      </c>
      <c r="AA50" s="226"/>
      <c r="AB50" s="445">
        <v>634</v>
      </c>
      <c r="AC50" s="135">
        <v>2</v>
      </c>
      <c r="AD50" s="471">
        <v>0</v>
      </c>
      <c r="AE50" s="470">
        <v>0</v>
      </c>
      <c r="AF50" s="53">
        <v>0</v>
      </c>
      <c r="AG50" s="471">
        <v>0</v>
      </c>
      <c r="AH50" s="55" t="s">
        <v>1180</v>
      </c>
      <c r="AI50" s="77" t="s">
        <v>1076</v>
      </c>
    </row>
    <row r="51" spans="1:35" ht="12.75">
      <c r="A51" s="40">
        <v>43882</v>
      </c>
      <c r="B51" s="14">
        <f t="shared" si="0"/>
        <v>21</v>
      </c>
      <c r="C51" s="15">
        <f t="shared" ref="C51:D51" si="52">SUM(G51,)</f>
        <v>0</v>
      </c>
      <c r="D51" s="15">
        <f t="shared" si="52"/>
        <v>0</v>
      </c>
      <c r="E51" s="350">
        <f t="shared" si="20"/>
        <v>21</v>
      </c>
      <c r="F51" s="87">
        <v>21</v>
      </c>
      <c r="G51" s="18">
        <v>0</v>
      </c>
      <c r="H51" s="317">
        <v>0</v>
      </c>
      <c r="I51" s="18">
        <v>0</v>
      </c>
      <c r="J51" s="18">
        <v>0</v>
      </c>
      <c r="K51" s="317">
        <v>0</v>
      </c>
      <c r="L51" s="18">
        <v>0</v>
      </c>
      <c r="M51" s="18">
        <v>0</v>
      </c>
      <c r="N51" s="317">
        <v>0</v>
      </c>
      <c r="O51" s="18">
        <v>0</v>
      </c>
      <c r="P51" s="18">
        <v>0</v>
      </c>
      <c r="Q51" s="317">
        <v>0</v>
      </c>
      <c r="R51" s="18">
        <v>0</v>
      </c>
      <c r="S51" s="18">
        <v>0</v>
      </c>
      <c r="T51" s="317">
        <v>0</v>
      </c>
      <c r="U51" s="18">
        <v>0</v>
      </c>
      <c r="V51" s="18">
        <v>0</v>
      </c>
      <c r="W51" s="317">
        <v>0</v>
      </c>
      <c r="X51" s="18">
        <v>0</v>
      </c>
      <c r="Y51" s="18">
        <v>0</v>
      </c>
      <c r="Z51" s="317">
        <v>0</v>
      </c>
      <c r="AA51" s="226"/>
      <c r="AB51" s="445">
        <v>634</v>
      </c>
      <c r="AC51" s="135">
        <v>2</v>
      </c>
      <c r="AD51" s="471">
        <v>0</v>
      </c>
      <c r="AE51" s="470">
        <v>0</v>
      </c>
      <c r="AF51" s="53">
        <v>0</v>
      </c>
      <c r="AG51" s="471">
        <v>0</v>
      </c>
      <c r="AH51" s="55"/>
      <c r="AI51" s="77" t="s">
        <v>211</v>
      </c>
    </row>
    <row r="52" spans="1:35" ht="12.75">
      <c r="A52" s="40">
        <v>43883</v>
      </c>
      <c r="B52" s="14">
        <f t="shared" si="0"/>
        <v>22</v>
      </c>
      <c r="C52" s="15">
        <f t="shared" ref="C52:D52" si="53">SUM(G52,)</f>
        <v>0</v>
      </c>
      <c r="D52" s="15">
        <f t="shared" si="53"/>
        <v>0</v>
      </c>
      <c r="E52" s="350">
        <f t="shared" si="20"/>
        <v>22</v>
      </c>
      <c r="F52" s="87">
        <v>22</v>
      </c>
      <c r="G52" s="15">
        <v>0</v>
      </c>
      <c r="H52" s="17">
        <v>0</v>
      </c>
      <c r="I52" s="15">
        <v>0</v>
      </c>
      <c r="J52" s="15">
        <v>0</v>
      </c>
      <c r="K52" s="17">
        <v>0</v>
      </c>
      <c r="L52" s="15">
        <v>0</v>
      </c>
      <c r="M52" s="15">
        <v>0</v>
      </c>
      <c r="N52" s="17">
        <v>0</v>
      </c>
      <c r="O52" s="15">
        <v>0</v>
      </c>
      <c r="P52" s="15">
        <v>0</v>
      </c>
      <c r="Q52" s="17">
        <v>0</v>
      </c>
      <c r="R52" s="15">
        <v>0</v>
      </c>
      <c r="S52" s="15">
        <v>0</v>
      </c>
      <c r="T52" s="17">
        <v>0</v>
      </c>
      <c r="U52" s="15">
        <v>0</v>
      </c>
      <c r="V52" s="15">
        <v>0</v>
      </c>
      <c r="W52" s="17">
        <v>0</v>
      </c>
      <c r="X52" s="15">
        <v>0</v>
      </c>
      <c r="Y52" s="15">
        <v>0</v>
      </c>
      <c r="Z52" s="17">
        <v>0</v>
      </c>
      <c r="AA52" s="226"/>
      <c r="AB52" s="445">
        <v>634</v>
      </c>
      <c r="AC52" s="135">
        <v>2</v>
      </c>
      <c r="AD52" s="471">
        <v>0</v>
      </c>
      <c r="AE52" s="470">
        <v>0</v>
      </c>
      <c r="AF52" s="53">
        <v>0</v>
      </c>
      <c r="AG52" s="471">
        <v>0</v>
      </c>
      <c r="AH52" s="55"/>
      <c r="AI52" s="77" t="s">
        <v>273</v>
      </c>
    </row>
    <row r="53" spans="1:35" ht="12.75">
      <c r="A53" s="93">
        <v>43884</v>
      </c>
      <c r="B53" s="14">
        <f t="shared" si="0"/>
        <v>22</v>
      </c>
      <c r="C53" s="15">
        <f t="shared" ref="C53:D53" si="54">SUM(G53,)</f>
        <v>0</v>
      </c>
      <c r="D53" s="15">
        <f t="shared" si="54"/>
        <v>0</v>
      </c>
      <c r="E53" s="350">
        <f t="shared" si="20"/>
        <v>22</v>
      </c>
      <c r="F53" s="87">
        <v>22</v>
      </c>
      <c r="G53" s="18">
        <v>0</v>
      </c>
      <c r="H53" s="317">
        <v>0</v>
      </c>
      <c r="I53" s="18">
        <v>0</v>
      </c>
      <c r="J53" s="18">
        <v>0</v>
      </c>
      <c r="K53" s="317">
        <v>0</v>
      </c>
      <c r="L53" s="18">
        <v>0</v>
      </c>
      <c r="M53" s="18">
        <v>0</v>
      </c>
      <c r="N53" s="317">
        <v>0</v>
      </c>
      <c r="O53" s="18">
        <v>0</v>
      </c>
      <c r="P53" s="18">
        <v>0</v>
      </c>
      <c r="Q53" s="317">
        <v>0</v>
      </c>
      <c r="R53" s="18">
        <v>0</v>
      </c>
      <c r="S53" s="18">
        <v>0</v>
      </c>
      <c r="T53" s="317">
        <v>0</v>
      </c>
      <c r="U53" s="18">
        <v>0</v>
      </c>
      <c r="V53" s="18">
        <v>0</v>
      </c>
      <c r="W53" s="317">
        <v>0</v>
      </c>
      <c r="X53" s="18">
        <v>0</v>
      </c>
      <c r="Y53" s="18">
        <v>0</v>
      </c>
      <c r="Z53" s="317">
        <v>0</v>
      </c>
      <c r="AA53" s="105"/>
      <c r="AB53" s="445">
        <v>691</v>
      </c>
      <c r="AC53" s="139">
        <v>3</v>
      </c>
      <c r="AD53" s="471">
        <v>0</v>
      </c>
      <c r="AE53" s="470">
        <v>0</v>
      </c>
      <c r="AF53" s="53">
        <v>0</v>
      </c>
      <c r="AG53" s="471">
        <v>0</v>
      </c>
      <c r="AH53" s="55"/>
      <c r="AI53" s="77" t="s">
        <v>214</v>
      </c>
    </row>
    <row r="54" spans="1:35" ht="12.75">
      <c r="A54" s="97">
        <v>43885</v>
      </c>
      <c r="B54" s="14">
        <f t="shared" si="0"/>
        <v>22</v>
      </c>
      <c r="C54" s="15">
        <f t="shared" ref="C54:D54" si="55">SUM(G54,)</f>
        <v>0</v>
      </c>
      <c r="D54" s="15">
        <f t="shared" si="55"/>
        <v>0</v>
      </c>
      <c r="E54" s="350">
        <f t="shared" si="20"/>
        <v>22</v>
      </c>
      <c r="F54" s="87">
        <v>22</v>
      </c>
      <c r="G54" s="15">
        <v>0</v>
      </c>
      <c r="H54" s="17">
        <v>0</v>
      </c>
      <c r="I54" s="15">
        <v>0</v>
      </c>
      <c r="J54" s="15">
        <v>0</v>
      </c>
      <c r="K54" s="17">
        <v>0</v>
      </c>
      <c r="L54" s="15">
        <v>0</v>
      </c>
      <c r="M54" s="15">
        <v>0</v>
      </c>
      <c r="N54" s="17">
        <v>0</v>
      </c>
      <c r="O54" s="15">
        <v>0</v>
      </c>
      <c r="P54" s="15">
        <v>0</v>
      </c>
      <c r="Q54" s="17">
        <v>0</v>
      </c>
      <c r="R54" s="15">
        <v>0</v>
      </c>
      <c r="S54" s="15">
        <v>0</v>
      </c>
      <c r="T54" s="17">
        <v>0</v>
      </c>
      <c r="U54" s="15">
        <v>0</v>
      </c>
      <c r="V54" s="15">
        <v>0</v>
      </c>
      <c r="W54" s="17">
        <v>0</v>
      </c>
      <c r="X54" s="15">
        <v>0</v>
      </c>
      <c r="Y54" s="15">
        <v>0</v>
      </c>
      <c r="Z54" s="17">
        <v>0</v>
      </c>
      <c r="AA54" s="105"/>
      <c r="AB54" s="445">
        <v>691</v>
      </c>
      <c r="AC54" s="139">
        <v>3</v>
      </c>
      <c r="AD54" s="471">
        <v>0</v>
      </c>
      <c r="AE54" s="470">
        <v>0</v>
      </c>
      <c r="AF54" s="53">
        <v>0</v>
      </c>
      <c r="AG54" s="471">
        <v>0</v>
      </c>
      <c r="AH54" s="55"/>
      <c r="AI54" s="56"/>
    </row>
    <row r="55" spans="1:35" ht="12.75">
      <c r="A55" s="97">
        <v>43886</v>
      </c>
      <c r="B55" s="14">
        <f t="shared" si="0"/>
        <v>23</v>
      </c>
      <c r="C55" s="15">
        <f t="shared" ref="C55:D55" si="56">SUM(G55,)</f>
        <v>0</v>
      </c>
      <c r="D55" s="73">
        <f t="shared" si="56"/>
        <v>11</v>
      </c>
      <c r="E55" s="350">
        <f t="shared" si="20"/>
        <v>12</v>
      </c>
      <c r="F55" s="105">
        <v>23</v>
      </c>
      <c r="G55" s="18">
        <v>0</v>
      </c>
      <c r="H55" s="150">
        <v>11</v>
      </c>
      <c r="I55" s="18">
        <v>0</v>
      </c>
      <c r="J55" s="18">
        <v>0</v>
      </c>
      <c r="K55" s="317">
        <v>0</v>
      </c>
      <c r="L55" s="18">
        <v>0</v>
      </c>
      <c r="M55" s="18">
        <v>0</v>
      </c>
      <c r="N55" s="317">
        <v>0</v>
      </c>
      <c r="O55" s="18">
        <v>0</v>
      </c>
      <c r="P55" s="18">
        <v>0</v>
      </c>
      <c r="Q55" s="317">
        <v>0</v>
      </c>
      <c r="R55" s="18">
        <v>0</v>
      </c>
      <c r="S55" s="18">
        <v>0</v>
      </c>
      <c r="T55" s="317">
        <v>0</v>
      </c>
      <c r="U55" s="18">
        <v>0</v>
      </c>
      <c r="V55" s="18">
        <v>0</v>
      </c>
      <c r="W55" s="317">
        <v>0</v>
      </c>
      <c r="X55" s="18">
        <v>0</v>
      </c>
      <c r="Y55" s="18">
        <v>0</v>
      </c>
      <c r="Z55" s="317">
        <v>0</v>
      </c>
      <c r="AA55" s="105"/>
      <c r="AB55" s="444">
        <v>691</v>
      </c>
      <c r="AC55" s="139">
        <v>3</v>
      </c>
      <c r="AD55" s="150">
        <v>0</v>
      </c>
      <c r="AE55" s="470">
        <v>0</v>
      </c>
      <c r="AF55" s="53">
        <v>0</v>
      </c>
      <c r="AG55" s="471">
        <v>0</v>
      </c>
      <c r="AH55" s="151"/>
      <c r="AI55" s="77" t="s">
        <v>219</v>
      </c>
    </row>
    <row r="56" spans="1:35" ht="12.75">
      <c r="A56" s="97">
        <v>43887</v>
      </c>
      <c r="B56" s="14">
        <f t="shared" si="0"/>
        <v>23</v>
      </c>
      <c r="C56" s="15">
        <f t="shared" ref="C56:D56" si="57">SUM(G56,)</f>
        <v>0</v>
      </c>
      <c r="D56" s="73">
        <f t="shared" si="57"/>
        <v>11</v>
      </c>
      <c r="E56" s="350">
        <f t="shared" si="20"/>
        <v>12</v>
      </c>
      <c r="F56" s="105">
        <v>23</v>
      </c>
      <c r="G56" s="15">
        <v>0</v>
      </c>
      <c r="H56" s="150">
        <v>11</v>
      </c>
      <c r="I56" s="15">
        <v>0</v>
      </c>
      <c r="J56" s="15">
        <v>0</v>
      </c>
      <c r="K56" s="17">
        <v>0</v>
      </c>
      <c r="L56" s="15">
        <v>0</v>
      </c>
      <c r="M56" s="15">
        <v>0</v>
      </c>
      <c r="N56" s="17">
        <v>0</v>
      </c>
      <c r="O56" s="15">
        <v>0</v>
      </c>
      <c r="P56" s="15">
        <v>0</v>
      </c>
      <c r="Q56" s="17">
        <v>0</v>
      </c>
      <c r="R56" s="15">
        <v>0</v>
      </c>
      <c r="S56" s="15">
        <v>0</v>
      </c>
      <c r="T56" s="17">
        <v>0</v>
      </c>
      <c r="U56" s="15">
        <v>0</v>
      </c>
      <c r="V56" s="15">
        <v>0</v>
      </c>
      <c r="W56" s="17">
        <v>0</v>
      </c>
      <c r="X56" s="15">
        <v>0</v>
      </c>
      <c r="Y56" s="15">
        <v>0</v>
      </c>
      <c r="Z56" s="17">
        <v>0</v>
      </c>
      <c r="AA56" s="105"/>
      <c r="AB56" s="444">
        <v>705</v>
      </c>
      <c r="AC56" s="139">
        <v>4</v>
      </c>
      <c r="AD56" s="150">
        <v>10</v>
      </c>
      <c r="AE56" s="470">
        <v>0</v>
      </c>
      <c r="AF56" s="53">
        <v>0</v>
      </c>
      <c r="AG56" s="471">
        <v>0</v>
      </c>
      <c r="AH56" s="55"/>
      <c r="AI56" s="77" t="s">
        <v>289</v>
      </c>
    </row>
    <row r="57" spans="1:35" ht="12.75">
      <c r="A57" s="97">
        <v>43888</v>
      </c>
      <c r="B57" s="14">
        <f t="shared" si="0"/>
        <v>24</v>
      </c>
      <c r="C57" s="15">
        <f t="shared" ref="C57:D57" si="58">SUM(G57,)</f>
        <v>0</v>
      </c>
      <c r="D57" s="73">
        <f t="shared" si="58"/>
        <v>11</v>
      </c>
      <c r="E57" s="350">
        <f t="shared" si="20"/>
        <v>13</v>
      </c>
      <c r="F57" s="105">
        <v>24</v>
      </c>
      <c r="G57" s="18">
        <v>0</v>
      </c>
      <c r="H57" s="150">
        <v>11</v>
      </c>
      <c r="I57" s="15">
        <v>0</v>
      </c>
      <c r="J57" s="18">
        <v>0</v>
      </c>
      <c r="K57" s="317">
        <v>0</v>
      </c>
      <c r="L57" s="15">
        <v>0</v>
      </c>
      <c r="M57" s="18">
        <v>0</v>
      </c>
      <c r="N57" s="317">
        <v>0</v>
      </c>
      <c r="O57" s="15">
        <v>0</v>
      </c>
      <c r="P57" s="18">
        <v>0</v>
      </c>
      <c r="Q57" s="317">
        <v>0</v>
      </c>
      <c r="R57" s="105">
        <v>1</v>
      </c>
      <c r="S57" s="18">
        <v>0</v>
      </c>
      <c r="T57" s="317">
        <v>0</v>
      </c>
      <c r="U57" s="15">
        <v>0</v>
      </c>
      <c r="V57" s="18">
        <v>0</v>
      </c>
      <c r="W57" s="317">
        <v>0</v>
      </c>
      <c r="X57" s="15">
        <v>0</v>
      </c>
      <c r="Y57" s="18">
        <v>0</v>
      </c>
      <c r="Z57" s="317">
        <v>0</v>
      </c>
      <c r="AA57" s="105"/>
      <c r="AB57" s="444">
        <v>705</v>
      </c>
      <c r="AC57" s="139">
        <v>4</v>
      </c>
      <c r="AD57" s="150">
        <v>10</v>
      </c>
      <c r="AE57" s="470">
        <v>0</v>
      </c>
      <c r="AF57" s="53">
        <v>0</v>
      </c>
      <c r="AG57" s="471">
        <v>0</v>
      </c>
      <c r="AH57" s="55" t="s">
        <v>1187</v>
      </c>
      <c r="AI57" s="77" t="s">
        <v>293</v>
      </c>
    </row>
    <row r="58" spans="1:35" ht="12.75">
      <c r="A58" s="97">
        <v>43889</v>
      </c>
      <c r="B58" s="14">
        <f t="shared" ref="B58:D58" si="59">SUM(F58,R58)</f>
        <v>25</v>
      </c>
      <c r="C58" s="15">
        <f t="shared" si="59"/>
        <v>0</v>
      </c>
      <c r="D58" s="73">
        <f t="shared" si="59"/>
        <v>11</v>
      </c>
      <c r="E58" s="350">
        <f t="shared" si="20"/>
        <v>14</v>
      </c>
      <c r="F58" s="105">
        <v>24</v>
      </c>
      <c r="G58" s="18">
        <v>0</v>
      </c>
      <c r="H58" s="150">
        <v>11</v>
      </c>
      <c r="I58" s="15">
        <v>0</v>
      </c>
      <c r="J58" s="15">
        <v>0</v>
      </c>
      <c r="K58" s="17">
        <v>0</v>
      </c>
      <c r="L58" s="15">
        <v>0</v>
      </c>
      <c r="M58" s="15">
        <v>0</v>
      </c>
      <c r="N58" s="17">
        <v>0</v>
      </c>
      <c r="O58" s="15">
        <v>0</v>
      </c>
      <c r="P58" s="15">
        <v>0</v>
      </c>
      <c r="Q58" s="17">
        <v>0</v>
      </c>
      <c r="R58" s="105">
        <v>1</v>
      </c>
      <c r="S58" s="15">
        <v>0</v>
      </c>
      <c r="T58" s="17">
        <v>0</v>
      </c>
      <c r="U58" s="15">
        <v>0</v>
      </c>
      <c r="V58" s="15">
        <v>0</v>
      </c>
      <c r="W58" s="17">
        <v>0</v>
      </c>
      <c r="X58" s="15">
        <v>0</v>
      </c>
      <c r="Y58" s="15">
        <v>0</v>
      </c>
      <c r="Z58" s="17">
        <v>0</v>
      </c>
      <c r="AA58" s="105"/>
      <c r="AB58" s="444">
        <v>705</v>
      </c>
      <c r="AC58" s="139">
        <v>5</v>
      </c>
      <c r="AD58" s="150">
        <v>10</v>
      </c>
      <c r="AE58" s="470">
        <v>0</v>
      </c>
      <c r="AF58" s="53">
        <v>0</v>
      </c>
      <c r="AG58" s="471">
        <v>0</v>
      </c>
      <c r="AH58" s="55"/>
      <c r="AI58" s="77" t="s">
        <v>224</v>
      </c>
    </row>
    <row r="59" spans="1:35" ht="12.75">
      <c r="A59" s="110">
        <v>43890</v>
      </c>
      <c r="B59" s="21">
        <f t="shared" ref="B59:D59" si="60">SUM(F59,R59)</f>
        <v>26</v>
      </c>
      <c r="C59" s="22">
        <f t="shared" si="60"/>
        <v>0</v>
      </c>
      <c r="D59" s="79">
        <f t="shared" si="60"/>
        <v>11</v>
      </c>
      <c r="E59" s="353">
        <f t="shared" si="20"/>
        <v>15</v>
      </c>
      <c r="F59" s="116">
        <v>25</v>
      </c>
      <c r="G59" s="27">
        <v>0</v>
      </c>
      <c r="H59" s="162">
        <v>11</v>
      </c>
      <c r="I59" s="22">
        <v>0</v>
      </c>
      <c r="J59" s="22">
        <v>0</v>
      </c>
      <c r="K59" s="24">
        <v>0</v>
      </c>
      <c r="L59" s="22">
        <v>0</v>
      </c>
      <c r="M59" s="22">
        <v>0</v>
      </c>
      <c r="N59" s="24">
        <v>0</v>
      </c>
      <c r="O59" s="22">
        <v>0</v>
      </c>
      <c r="P59" s="22">
        <v>0</v>
      </c>
      <c r="Q59" s="24">
        <v>0</v>
      </c>
      <c r="R59" s="116">
        <v>1</v>
      </c>
      <c r="S59" s="22">
        <v>0</v>
      </c>
      <c r="T59" s="24">
        <v>0</v>
      </c>
      <c r="U59" s="22">
        <v>0</v>
      </c>
      <c r="V59" s="22">
        <v>0</v>
      </c>
      <c r="W59" s="24">
        <v>0</v>
      </c>
      <c r="X59" s="22">
        <v>0</v>
      </c>
      <c r="Y59" s="22">
        <v>0</v>
      </c>
      <c r="Z59" s="24">
        <v>0</v>
      </c>
      <c r="AA59" s="105"/>
      <c r="AB59" s="485">
        <v>705</v>
      </c>
      <c r="AC59" s="163">
        <v>6</v>
      </c>
      <c r="AD59" s="162">
        <v>10</v>
      </c>
      <c r="AE59" s="473">
        <v>0</v>
      </c>
      <c r="AF59" s="65">
        <v>0</v>
      </c>
      <c r="AG59" s="474">
        <v>0</v>
      </c>
      <c r="AH59" s="66"/>
      <c r="AI59" s="486"/>
    </row>
    <row r="60" spans="1:35" ht="12.75">
      <c r="A60" s="97">
        <v>43891</v>
      </c>
      <c r="B60" s="14">
        <f t="shared" ref="B60:D60" si="61">SUM(F60,R60)</f>
        <v>28</v>
      </c>
      <c r="C60" s="34">
        <f t="shared" si="61"/>
        <v>1</v>
      </c>
      <c r="D60" s="73">
        <f t="shared" si="61"/>
        <v>11</v>
      </c>
      <c r="E60" s="350">
        <f t="shared" si="20"/>
        <v>17</v>
      </c>
      <c r="F60" s="105">
        <v>27</v>
      </c>
      <c r="G60" s="139">
        <v>1</v>
      </c>
      <c r="H60" s="150">
        <v>11</v>
      </c>
      <c r="I60" s="15">
        <v>0</v>
      </c>
      <c r="J60" s="15">
        <v>0</v>
      </c>
      <c r="K60" s="17">
        <v>0</v>
      </c>
      <c r="L60" s="15">
        <v>0</v>
      </c>
      <c r="M60" s="15">
        <v>0</v>
      </c>
      <c r="N60" s="17">
        <v>0</v>
      </c>
      <c r="O60" s="15">
        <v>0</v>
      </c>
      <c r="P60" s="15">
        <v>0</v>
      </c>
      <c r="Q60" s="17">
        <v>0</v>
      </c>
      <c r="R60" s="105">
        <v>1</v>
      </c>
      <c r="S60" s="15">
        <v>0</v>
      </c>
      <c r="T60" s="17">
        <v>0</v>
      </c>
      <c r="U60" s="15">
        <v>0</v>
      </c>
      <c r="V60" s="15">
        <v>0</v>
      </c>
      <c r="W60" s="17">
        <v>0</v>
      </c>
      <c r="X60" s="15">
        <v>0</v>
      </c>
      <c r="Y60" s="15">
        <v>0</v>
      </c>
      <c r="Z60" s="17">
        <v>0</v>
      </c>
      <c r="AA60" s="105"/>
      <c r="AB60" s="444">
        <v>705</v>
      </c>
      <c r="AC60" s="139">
        <v>6</v>
      </c>
      <c r="AD60" s="150">
        <v>10</v>
      </c>
      <c r="AE60" s="470">
        <v>0</v>
      </c>
      <c r="AF60" s="53">
        <v>0</v>
      </c>
      <c r="AG60" s="471">
        <v>0</v>
      </c>
      <c r="AH60" s="55" t="s">
        <v>1188</v>
      </c>
      <c r="AI60" s="77" t="s">
        <v>1189</v>
      </c>
    </row>
    <row r="61" spans="1:35" ht="12.75">
      <c r="A61" s="97">
        <v>43892</v>
      </c>
      <c r="B61" s="14">
        <f t="shared" ref="B61:D61" si="62">SUM(F61,R61)</f>
        <v>31</v>
      </c>
      <c r="C61" s="34">
        <f t="shared" si="62"/>
        <v>1</v>
      </c>
      <c r="D61" s="73">
        <f t="shared" si="62"/>
        <v>11</v>
      </c>
      <c r="E61" s="350">
        <f t="shared" si="20"/>
        <v>20</v>
      </c>
      <c r="F61" s="105">
        <v>30</v>
      </c>
      <c r="G61" s="139">
        <v>1</v>
      </c>
      <c r="H61" s="150">
        <v>11</v>
      </c>
      <c r="I61" s="15">
        <v>0</v>
      </c>
      <c r="J61" s="15">
        <v>0</v>
      </c>
      <c r="K61" s="17">
        <v>0</v>
      </c>
      <c r="L61" s="15">
        <v>0</v>
      </c>
      <c r="M61" s="15">
        <v>0</v>
      </c>
      <c r="N61" s="17">
        <v>0</v>
      </c>
      <c r="O61" s="15">
        <v>0</v>
      </c>
      <c r="P61" s="15">
        <v>0</v>
      </c>
      <c r="Q61" s="17">
        <v>0</v>
      </c>
      <c r="R61" s="105">
        <v>1</v>
      </c>
      <c r="S61" s="15">
        <v>0</v>
      </c>
      <c r="T61" s="17">
        <v>0</v>
      </c>
      <c r="U61" s="15">
        <v>0</v>
      </c>
      <c r="V61" s="15">
        <v>0</v>
      </c>
      <c r="W61" s="17">
        <v>0</v>
      </c>
      <c r="X61" s="15">
        <v>0</v>
      </c>
      <c r="Y61" s="15">
        <v>0</v>
      </c>
      <c r="Z61" s="17">
        <v>0</v>
      </c>
      <c r="AA61" s="105"/>
      <c r="AB61" s="444">
        <v>705</v>
      </c>
      <c r="AC61" s="139">
        <v>6</v>
      </c>
      <c r="AD61" s="150">
        <v>10</v>
      </c>
      <c r="AE61" s="470">
        <v>0</v>
      </c>
      <c r="AF61" s="53">
        <v>0</v>
      </c>
      <c r="AG61" s="471">
        <v>0</v>
      </c>
      <c r="AH61" s="55"/>
      <c r="AI61" s="64"/>
    </row>
    <row r="62" spans="1:35" ht="12.75">
      <c r="A62" s="97">
        <v>43893</v>
      </c>
      <c r="B62" s="14">
        <f t="shared" ref="B62:D62" si="63">SUM(F62,R62)</f>
        <v>40</v>
      </c>
      <c r="C62" s="34">
        <f t="shared" si="63"/>
        <v>1</v>
      </c>
      <c r="D62" s="73">
        <f t="shared" si="63"/>
        <v>11</v>
      </c>
      <c r="E62" s="350">
        <f t="shared" si="20"/>
        <v>29</v>
      </c>
      <c r="F62" s="105">
        <v>39</v>
      </c>
      <c r="G62" s="139">
        <v>1</v>
      </c>
      <c r="H62" s="150">
        <v>11</v>
      </c>
      <c r="I62" s="15">
        <v>0</v>
      </c>
      <c r="J62" s="15">
        <v>0</v>
      </c>
      <c r="K62" s="17">
        <v>0</v>
      </c>
      <c r="L62" s="15">
        <v>0</v>
      </c>
      <c r="M62" s="15">
        <v>0</v>
      </c>
      <c r="N62" s="17">
        <v>0</v>
      </c>
      <c r="O62" s="15">
        <v>0</v>
      </c>
      <c r="P62" s="15">
        <v>0</v>
      </c>
      <c r="Q62" s="17">
        <v>0</v>
      </c>
      <c r="R62" s="105">
        <v>1</v>
      </c>
      <c r="S62" s="15">
        <v>0</v>
      </c>
      <c r="T62" s="17">
        <v>0</v>
      </c>
      <c r="U62" s="15">
        <v>0</v>
      </c>
      <c r="V62" s="15">
        <v>0</v>
      </c>
      <c r="W62" s="17">
        <v>0</v>
      </c>
      <c r="X62" s="15">
        <v>0</v>
      </c>
      <c r="Y62" s="15">
        <v>0</v>
      </c>
      <c r="Z62" s="17">
        <v>0</v>
      </c>
      <c r="AA62" s="105"/>
      <c r="AB62" s="444">
        <v>706</v>
      </c>
      <c r="AC62" s="139">
        <v>6</v>
      </c>
      <c r="AD62" s="150">
        <v>10</v>
      </c>
      <c r="AE62" s="470">
        <v>0</v>
      </c>
      <c r="AF62" s="53">
        <v>0</v>
      </c>
      <c r="AG62" s="471">
        <v>0</v>
      </c>
      <c r="AH62" s="55"/>
      <c r="AI62" s="64"/>
    </row>
    <row r="63" spans="1:35" ht="12.75">
      <c r="A63" s="97">
        <v>43894</v>
      </c>
      <c r="B63" s="14">
        <f t="shared" ref="B63:D63" si="64">SUM(F63,R63)</f>
        <v>55</v>
      </c>
      <c r="C63" s="34">
        <f t="shared" si="64"/>
        <v>2</v>
      </c>
      <c r="D63" s="73">
        <f t="shared" si="64"/>
        <v>11</v>
      </c>
      <c r="E63" s="350">
        <f t="shared" si="20"/>
        <v>44</v>
      </c>
      <c r="F63" s="105">
        <v>52</v>
      </c>
      <c r="G63" s="139">
        <v>2</v>
      </c>
      <c r="H63" s="150">
        <v>11</v>
      </c>
      <c r="I63" s="15">
        <v>0</v>
      </c>
      <c r="J63" s="15">
        <v>0</v>
      </c>
      <c r="K63" s="17">
        <v>0</v>
      </c>
      <c r="L63" s="15">
        <v>0</v>
      </c>
      <c r="M63" s="15">
        <v>0</v>
      </c>
      <c r="N63" s="17">
        <v>0</v>
      </c>
      <c r="O63" s="15">
        <v>0</v>
      </c>
      <c r="P63" s="15">
        <v>0</v>
      </c>
      <c r="Q63" s="17">
        <v>0</v>
      </c>
      <c r="R63" s="105">
        <v>3</v>
      </c>
      <c r="S63" s="15">
        <v>0</v>
      </c>
      <c r="T63" s="17">
        <v>0</v>
      </c>
      <c r="U63" s="15">
        <v>0</v>
      </c>
      <c r="V63" s="15">
        <v>0</v>
      </c>
      <c r="W63" s="17">
        <v>0</v>
      </c>
      <c r="X63" s="15">
        <v>0</v>
      </c>
      <c r="Y63" s="15">
        <v>0</v>
      </c>
      <c r="Z63" s="17">
        <v>0</v>
      </c>
      <c r="AA63" s="105"/>
      <c r="AB63" s="444">
        <v>706</v>
      </c>
      <c r="AC63" s="139">
        <v>6</v>
      </c>
      <c r="AD63" s="150">
        <v>10</v>
      </c>
      <c r="AE63" s="470">
        <v>0</v>
      </c>
      <c r="AF63" s="53">
        <v>0</v>
      </c>
      <c r="AG63" s="471">
        <v>0</v>
      </c>
      <c r="AH63" s="55"/>
      <c r="AI63" s="64"/>
    </row>
    <row r="64" spans="1:35" ht="12.75">
      <c r="A64" s="97">
        <v>43895</v>
      </c>
      <c r="B64" s="14">
        <f t="shared" ref="B64:D64" si="65">SUM(F64,R64)</f>
        <v>58</v>
      </c>
      <c r="C64" s="34">
        <f t="shared" si="65"/>
        <v>2</v>
      </c>
      <c r="D64" s="73">
        <f t="shared" si="65"/>
        <v>21</v>
      </c>
      <c r="E64" s="350">
        <f t="shared" si="20"/>
        <v>37</v>
      </c>
      <c r="F64" s="105">
        <v>55</v>
      </c>
      <c r="G64" s="139">
        <v>2</v>
      </c>
      <c r="H64" s="150">
        <v>21</v>
      </c>
      <c r="I64" s="15">
        <v>0</v>
      </c>
      <c r="J64" s="15">
        <v>0</v>
      </c>
      <c r="K64" s="17">
        <v>0</v>
      </c>
      <c r="L64" s="15">
        <v>0</v>
      </c>
      <c r="M64" s="15">
        <v>0</v>
      </c>
      <c r="N64" s="17">
        <v>0</v>
      </c>
      <c r="O64" s="15">
        <v>0</v>
      </c>
      <c r="P64" s="15">
        <v>0</v>
      </c>
      <c r="Q64" s="17">
        <v>0</v>
      </c>
      <c r="R64" s="105">
        <v>3</v>
      </c>
      <c r="S64" s="15">
        <v>0</v>
      </c>
      <c r="T64" s="17">
        <v>0</v>
      </c>
      <c r="U64" s="15">
        <v>0</v>
      </c>
      <c r="V64" s="15">
        <v>0</v>
      </c>
      <c r="W64" s="17">
        <v>0</v>
      </c>
      <c r="X64" s="15">
        <v>0</v>
      </c>
      <c r="Y64" s="15">
        <v>0</v>
      </c>
      <c r="Z64" s="17">
        <v>0</v>
      </c>
      <c r="AA64" s="105"/>
      <c r="AB64" s="444">
        <v>706</v>
      </c>
      <c r="AC64" s="139">
        <v>6</v>
      </c>
      <c r="AD64" s="150">
        <v>10</v>
      </c>
      <c r="AE64" s="470">
        <v>0</v>
      </c>
      <c r="AF64" s="53">
        <v>0</v>
      </c>
      <c r="AG64" s="471">
        <v>0</v>
      </c>
      <c r="AH64" s="55"/>
      <c r="AI64" s="64"/>
    </row>
    <row r="65" spans="1:35" ht="12.75">
      <c r="A65" s="97">
        <v>43896</v>
      </c>
      <c r="B65" s="14">
        <f t="shared" ref="B65:D65" si="66">SUM(F65,R65)</f>
        <v>64</v>
      </c>
      <c r="C65" s="34">
        <f t="shared" si="66"/>
        <v>2</v>
      </c>
      <c r="D65" s="73">
        <f t="shared" si="66"/>
        <v>21</v>
      </c>
      <c r="E65" s="350">
        <f t="shared" si="20"/>
        <v>43</v>
      </c>
      <c r="F65" s="105">
        <v>60</v>
      </c>
      <c r="G65" s="139">
        <v>2</v>
      </c>
      <c r="H65" s="150">
        <v>21</v>
      </c>
      <c r="I65" s="15">
        <v>0</v>
      </c>
      <c r="J65" s="15">
        <v>0</v>
      </c>
      <c r="K65" s="17">
        <v>0</v>
      </c>
      <c r="L65" s="15">
        <v>0</v>
      </c>
      <c r="M65" s="15">
        <v>0</v>
      </c>
      <c r="N65" s="17">
        <v>0</v>
      </c>
      <c r="O65" s="15">
        <v>0</v>
      </c>
      <c r="P65" s="15">
        <v>0</v>
      </c>
      <c r="Q65" s="17">
        <v>0</v>
      </c>
      <c r="R65" s="105">
        <v>4</v>
      </c>
      <c r="S65" s="15">
        <v>0</v>
      </c>
      <c r="T65" s="17">
        <v>0</v>
      </c>
      <c r="U65" s="15">
        <v>0</v>
      </c>
      <c r="V65" s="15">
        <v>0</v>
      </c>
      <c r="W65" s="17">
        <v>0</v>
      </c>
      <c r="X65" s="15">
        <v>0</v>
      </c>
      <c r="Y65" s="15">
        <v>0</v>
      </c>
      <c r="Z65" s="17">
        <v>0</v>
      </c>
      <c r="AA65" s="105"/>
      <c r="AB65" s="444">
        <v>706</v>
      </c>
      <c r="AC65" s="139">
        <v>6</v>
      </c>
      <c r="AD65" s="150">
        <v>40</v>
      </c>
      <c r="AE65" s="470">
        <v>0</v>
      </c>
      <c r="AF65" s="53">
        <v>0</v>
      </c>
      <c r="AG65" s="471">
        <v>0</v>
      </c>
      <c r="AH65" s="55"/>
      <c r="AI65" s="64"/>
    </row>
    <row r="66" spans="1:35" ht="12.75">
      <c r="A66" s="97">
        <v>43897</v>
      </c>
      <c r="B66" s="14">
        <f t="shared" ref="B66:D66" si="67">SUM(F66,R66)</f>
        <v>68</v>
      </c>
      <c r="C66" s="34">
        <f t="shared" si="67"/>
        <v>2</v>
      </c>
      <c r="D66" s="73">
        <f t="shared" si="67"/>
        <v>21</v>
      </c>
      <c r="E66" s="350">
        <f t="shared" si="20"/>
        <v>47</v>
      </c>
      <c r="F66" s="105">
        <v>63</v>
      </c>
      <c r="G66" s="139">
        <v>2</v>
      </c>
      <c r="H66" s="150">
        <v>21</v>
      </c>
      <c r="I66" s="15">
        <v>0</v>
      </c>
      <c r="J66" s="15">
        <v>0</v>
      </c>
      <c r="K66" s="17">
        <v>0</v>
      </c>
      <c r="L66" s="15">
        <v>0</v>
      </c>
      <c r="M66" s="15">
        <v>0</v>
      </c>
      <c r="N66" s="17">
        <v>0</v>
      </c>
      <c r="O66" s="15">
        <v>0</v>
      </c>
      <c r="P66" s="15">
        <v>0</v>
      </c>
      <c r="Q66" s="17">
        <v>0</v>
      </c>
      <c r="R66" s="105">
        <v>5</v>
      </c>
      <c r="S66" s="15">
        <v>0</v>
      </c>
      <c r="T66" s="17">
        <v>0</v>
      </c>
      <c r="U66" s="15">
        <v>0</v>
      </c>
      <c r="V66" s="15">
        <v>0</v>
      </c>
      <c r="W66" s="17">
        <v>0</v>
      </c>
      <c r="X66" s="15">
        <v>0</v>
      </c>
      <c r="Y66" s="15">
        <v>0</v>
      </c>
      <c r="Z66" s="17">
        <v>0</v>
      </c>
      <c r="AA66" s="105"/>
      <c r="AB66" s="444">
        <v>706</v>
      </c>
      <c r="AC66" s="139">
        <v>6</v>
      </c>
      <c r="AD66" s="150">
        <v>40</v>
      </c>
      <c r="AE66" s="470">
        <v>0</v>
      </c>
      <c r="AF66" s="53">
        <v>0</v>
      </c>
      <c r="AG66" s="471">
        <v>0</v>
      </c>
      <c r="AH66" s="55"/>
      <c r="AI66" s="64"/>
    </row>
    <row r="67" spans="1:35" ht="12.75">
      <c r="A67" s="97">
        <v>43898</v>
      </c>
      <c r="B67" s="14">
        <f t="shared" ref="B67:D67" si="68">SUM(F67,R67)</f>
        <v>81</v>
      </c>
      <c r="C67" s="34">
        <f t="shared" si="68"/>
        <v>3</v>
      </c>
      <c r="D67" s="73">
        <f t="shared" si="68"/>
        <v>21</v>
      </c>
      <c r="E67" s="350">
        <f t="shared" si="20"/>
        <v>60</v>
      </c>
      <c r="F67" s="105">
        <v>76</v>
      </c>
      <c r="G67" s="139">
        <v>3</v>
      </c>
      <c r="H67" s="150">
        <v>21</v>
      </c>
      <c r="I67" s="15">
        <v>0</v>
      </c>
      <c r="J67" s="15">
        <v>0</v>
      </c>
      <c r="K67" s="17">
        <v>0</v>
      </c>
      <c r="L67" s="15">
        <v>0</v>
      </c>
      <c r="M67" s="15">
        <v>0</v>
      </c>
      <c r="N67" s="17">
        <v>0</v>
      </c>
      <c r="O67" s="15">
        <v>0</v>
      </c>
      <c r="P67" s="15">
        <v>0</v>
      </c>
      <c r="Q67" s="17">
        <v>0</v>
      </c>
      <c r="R67" s="105">
        <v>5</v>
      </c>
      <c r="S67" s="15">
        <v>0</v>
      </c>
      <c r="T67" s="17">
        <v>0</v>
      </c>
      <c r="U67" s="15">
        <v>0</v>
      </c>
      <c r="V67" s="15">
        <v>0</v>
      </c>
      <c r="W67" s="17">
        <v>0</v>
      </c>
      <c r="X67" s="15">
        <v>0</v>
      </c>
      <c r="Y67" s="15">
        <v>0</v>
      </c>
      <c r="Z67" s="17">
        <v>0</v>
      </c>
      <c r="AA67" s="105"/>
      <c r="AB67" s="444">
        <v>706</v>
      </c>
      <c r="AC67" s="139">
        <v>6</v>
      </c>
      <c r="AD67" s="150">
        <v>40</v>
      </c>
      <c r="AE67" s="470">
        <v>0</v>
      </c>
      <c r="AF67" s="53">
        <v>0</v>
      </c>
      <c r="AG67" s="471">
        <v>0</v>
      </c>
      <c r="AH67" s="55"/>
      <c r="AI67" s="64"/>
    </row>
    <row r="68" spans="1:35" ht="12.75">
      <c r="A68" s="97">
        <v>43899</v>
      </c>
      <c r="B68" s="14">
        <f t="shared" ref="B68:D68" si="69">SUM(F68,R68)</f>
        <v>96</v>
      </c>
      <c r="C68" s="34">
        <f t="shared" si="69"/>
        <v>3</v>
      </c>
      <c r="D68" s="73">
        <f t="shared" si="69"/>
        <v>21</v>
      </c>
      <c r="E68" s="350">
        <f t="shared" si="20"/>
        <v>75</v>
      </c>
      <c r="F68" s="105">
        <v>91</v>
      </c>
      <c r="G68" s="139">
        <v>3</v>
      </c>
      <c r="H68" s="150">
        <v>21</v>
      </c>
      <c r="I68" s="15">
        <v>0</v>
      </c>
      <c r="J68" s="15">
        <v>0</v>
      </c>
      <c r="K68" s="17">
        <v>0</v>
      </c>
      <c r="L68" s="15">
        <v>0</v>
      </c>
      <c r="M68" s="15">
        <v>0</v>
      </c>
      <c r="N68" s="17">
        <v>0</v>
      </c>
      <c r="O68" s="15">
        <v>0</v>
      </c>
      <c r="P68" s="15">
        <v>0</v>
      </c>
      <c r="Q68" s="17">
        <v>0</v>
      </c>
      <c r="R68" s="105">
        <v>5</v>
      </c>
      <c r="S68" s="15">
        <v>0</v>
      </c>
      <c r="T68" s="17">
        <v>0</v>
      </c>
      <c r="U68" s="15">
        <v>0</v>
      </c>
      <c r="V68" s="15">
        <v>0</v>
      </c>
      <c r="W68" s="17">
        <v>0</v>
      </c>
      <c r="X68" s="15">
        <v>0</v>
      </c>
      <c r="Y68" s="15">
        <v>0</v>
      </c>
      <c r="Z68" s="17">
        <v>0</v>
      </c>
      <c r="AA68" s="105"/>
      <c r="AB68" s="444">
        <v>706</v>
      </c>
      <c r="AC68" s="139">
        <v>6</v>
      </c>
      <c r="AD68" s="150">
        <v>40</v>
      </c>
      <c r="AE68" s="470">
        <v>0</v>
      </c>
      <c r="AF68" s="53">
        <v>0</v>
      </c>
      <c r="AG68" s="471">
        <v>0</v>
      </c>
      <c r="AH68" s="55"/>
      <c r="AI68" s="64"/>
    </row>
    <row r="69" spans="1:35" ht="12.75">
      <c r="A69" s="97">
        <v>43900</v>
      </c>
      <c r="B69" s="14">
        <f t="shared" ref="B69:D69" si="70">SUM(F69,R69)</f>
        <v>112</v>
      </c>
      <c r="C69" s="34">
        <f t="shared" si="70"/>
        <v>3</v>
      </c>
      <c r="D69" s="73">
        <f t="shared" si="70"/>
        <v>21</v>
      </c>
      <c r="E69" s="350">
        <f t="shared" si="20"/>
        <v>91</v>
      </c>
      <c r="F69" s="105">
        <v>107</v>
      </c>
      <c r="G69" s="139">
        <v>3</v>
      </c>
      <c r="H69" s="150">
        <v>21</v>
      </c>
      <c r="I69" s="15">
        <v>0</v>
      </c>
      <c r="J69" s="15">
        <v>0</v>
      </c>
      <c r="K69" s="17">
        <v>0</v>
      </c>
      <c r="L69" s="15">
        <v>0</v>
      </c>
      <c r="M69" s="15">
        <v>0</v>
      </c>
      <c r="N69" s="17">
        <v>0</v>
      </c>
      <c r="O69" s="15">
        <v>0</v>
      </c>
      <c r="P69" s="15">
        <v>0</v>
      </c>
      <c r="Q69" s="17">
        <v>0</v>
      </c>
      <c r="R69" s="105">
        <v>5</v>
      </c>
      <c r="S69" s="15">
        <v>0</v>
      </c>
      <c r="T69" s="17">
        <v>0</v>
      </c>
      <c r="U69" s="15">
        <v>0</v>
      </c>
      <c r="V69" s="15">
        <v>0</v>
      </c>
      <c r="W69" s="17">
        <v>0</v>
      </c>
      <c r="X69" s="15">
        <v>0</v>
      </c>
      <c r="Y69" s="15">
        <v>0</v>
      </c>
      <c r="Z69" s="17">
        <v>0</v>
      </c>
      <c r="AA69" s="105"/>
      <c r="AB69" s="444">
        <v>706</v>
      </c>
      <c r="AC69" s="139">
        <v>6</v>
      </c>
      <c r="AD69" s="150">
        <v>40</v>
      </c>
      <c r="AE69" s="470">
        <v>0</v>
      </c>
      <c r="AF69" s="53">
        <v>0</v>
      </c>
      <c r="AG69" s="471">
        <v>0</v>
      </c>
      <c r="AH69" s="55"/>
      <c r="AI69" s="64"/>
    </row>
    <row r="70" spans="1:35" ht="12.75">
      <c r="A70" s="97">
        <v>43901</v>
      </c>
      <c r="B70" s="14">
        <f t="shared" ref="B70:D70" si="71">SUM(F70,R70)</f>
        <v>133</v>
      </c>
      <c r="C70" s="34">
        <f t="shared" si="71"/>
        <v>3</v>
      </c>
      <c r="D70" s="73">
        <f t="shared" si="71"/>
        <v>21</v>
      </c>
      <c r="E70" s="350">
        <f t="shared" si="20"/>
        <v>112</v>
      </c>
      <c r="F70" s="105">
        <v>128</v>
      </c>
      <c r="G70" s="139">
        <v>3</v>
      </c>
      <c r="H70" s="150">
        <v>21</v>
      </c>
      <c r="I70" s="15">
        <v>0</v>
      </c>
      <c r="J70" s="15">
        <v>0</v>
      </c>
      <c r="K70" s="17">
        <v>0</v>
      </c>
      <c r="L70" s="15">
        <v>0</v>
      </c>
      <c r="M70" s="15">
        <v>0</v>
      </c>
      <c r="N70" s="17">
        <v>0</v>
      </c>
      <c r="O70" s="15">
        <v>0</v>
      </c>
      <c r="P70" s="15">
        <v>0</v>
      </c>
      <c r="Q70" s="17">
        <v>0</v>
      </c>
      <c r="R70" s="105">
        <v>5</v>
      </c>
      <c r="S70" s="15">
        <v>0</v>
      </c>
      <c r="T70" s="17">
        <v>0</v>
      </c>
      <c r="U70" s="15">
        <v>0</v>
      </c>
      <c r="V70" s="15">
        <v>0</v>
      </c>
      <c r="W70" s="17">
        <v>0</v>
      </c>
      <c r="X70" s="87">
        <v>1</v>
      </c>
      <c r="Y70" s="15">
        <v>0</v>
      </c>
      <c r="Z70" s="17">
        <v>0</v>
      </c>
      <c r="AA70" s="105"/>
      <c r="AB70" s="444">
        <v>706</v>
      </c>
      <c r="AC70" s="139">
        <v>6</v>
      </c>
      <c r="AD70" s="150">
        <v>40</v>
      </c>
      <c r="AE70" s="470">
        <v>0</v>
      </c>
      <c r="AF70" s="53">
        <v>0</v>
      </c>
      <c r="AG70" s="471">
        <v>0</v>
      </c>
      <c r="AH70" s="55" t="s">
        <v>1190</v>
      </c>
      <c r="AI70" s="57" t="s">
        <v>1191</v>
      </c>
    </row>
    <row r="71" spans="1:35" ht="12.75">
      <c r="A71" s="97">
        <v>43902</v>
      </c>
      <c r="B71" s="14">
        <f t="shared" ref="B71:D71" si="72">SUM(F71,R71)</f>
        <v>133</v>
      </c>
      <c r="C71" s="34">
        <f t="shared" si="72"/>
        <v>3</v>
      </c>
      <c r="D71" s="73">
        <f t="shared" si="72"/>
        <v>21</v>
      </c>
      <c r="E71" s="350">
        <f t="shared" si="20"/>
        <v>112</v>
      </c>
      <c r="F71" s="105">
        <v>128</v>
      </c>
      <c r="G71" s="139">
        <v>3</v>
      </c>
      <c r="H71" s="150">
        <v>21</v>
      </c>
      <c r="I71" s="15">
        <v>0</v>
      </c>
      <c r="J71" s="15">
        <v>0</v>
      </c>
      <c r="K71" s="17">
        <v>0</v>
      </c>
      <c r="L71" s="15">
        <v>0</v>
      </c>
      <c r="M71" s="15">
        <v>0</v>
      </c>
      <c r="N71" s="17">
        <v>0</v>
      </c>
      <c r="O71" s="15">
        <v>0</v>
      </c>
      <c r="P71" s="15">
        <v>0</v>
      </c>
      <c r="Q71" s="17">
        <v>0</v>
      </c>
      <c r="R71" s="105">
        <v>5</v>
      </c>
      <c r="S71" s="15">
        <v>0</v>
      </c>
      <c r="T71" s="17">
        <v>0</v>
      </c>
      <c r="U71" s="15">
        <v>0</v>
      </c>
      <c r="V71" s="15">
        <v>0</v>
      </c>
      <c r="W71" s="17">
        <v>0</v>
      </c>
      <c r="X71" s="87">
        <v>3</v>
      </c>
      <c r="Y71" s="15">
        <v>0</v>
      </c>
      <c r="Z71" s="17">
        <v>0</v>
      </c>
      <c r="AA71" s="105"/>
      <c r="AB71" s="444">
        <v>706</v>
      </c>
      <c r="AC71" s="139">
        <v>6</v>
      </c>
      <c r="AD71" s="150">
        <v>40</v>
      </c>
      <c r="AE71" s="470">
        <v>0</v>
      </c>
      <c r="AF71" s="53">
        <v>0</v>
      </c>
      <c r="AG71" s="471">
        <v>0</v>
      </c>
      <c r="AH71" s="55"/>
      <c r="AI71" s="64"/>
    </row>
    <row r="72" spans="1:35" ht="12.75">
      <c r="A72" s="97">
        <v>43903</v>
      </c>
      <c r="B72" s="14">
        <f t="shared" ref="B72:B74" si="73">SUM(F72,R72,X72)</f>
        <v>136</v>
      </c>
      <c r="C72" s="34">
        <f t="shared" ref="C72:D72" si="74">SUM(G72,S72)</f>
        <v>3</v>
      </c>
      <c r="D72" s="73">
        <f t="shared" si="74"/>
        <v>21</v>
      </c>
      <c r="E72" s="350">
        <f t="shared" si="20"/>
        <v>115</v>
      </c>
      <c r="F72" s="105">
        <v>128</v>
      </c>
      <c r="G72" s="139">
        <v>3</v>
      </c>
      <c r="H72" s="150">
        <v>21</v>
      </c>
      <c r="I72" s="15">
        <v>0</v>
      </c>
      <c r="J72" s="15">
        <v>0</v>
      </c>
      <c r="K72" s="17">
        <v>0</v>
      </c>
      <c r="L72" s="15">
        <v>0</v>
      </c>
      <c r="M72" s="15">
        <v>0</v>
      </c>
      <c r="N72" s="17">
        <v>0</v>
      </c>
      <c r="O72" s="15">
        <v>0</v>
      </c>
      <c r="P72" s="15">
        <v>0</v>
      </c>
      <c r="Q72" s="17">
        <v>0</v>
      </c>
      <c r="R72" s="105">
        <v>5</v>
      </c>
      <c r="S72" s="15">
        <v>0</v>
      </c>
      <c r="T72" s="17">
        <v>0</v>
      </c>
      <c r="U72" s="15">
        <v>0</v>
      </c>
      <c r="V72" s="15">
        <v>0</v>
      </c>
      <c r="W72" s="17">
        <v>0</v>
      </c>
      <c r="X72" s="105">
        <v>3</v>
      </c>
      <c r="Y72" s="15">
        <v>0</v>
      </c>
      <c r="Z72" s="17">
        <v>0</v>
      </c>
      <c r="AA72" s="105"/>
      <c r="AB72" s="444">
        <v>706</v>
      </c>
      <c r="AC72" s="139">
        <v>6</v>
      </c>
      <c r="AD72" s="150">
        <v>40</v>
      </c>
      <c r="AE72" s="470">
        <v>0</v>
      </c>
      <c r="AF72" s="53">
        <v>0</v>
      </c>
      <c r="AG72" s="471">
        <v>0</v>
      </c>
      <c r="AH72" s="55"/>
      <c r="AI72" s="64"/>
    </row>
    <row r="73" spans="1:35" ht="12.75">
      <c r="A73" s="97">
        <v>43904</v>
      </c>
      <c r="B73" s="14">
        <f t="shared" si="73"/>
        <v>259</v>
      </c>
      <c r="C73" s="34">
        <f t="shared" ref="C73:D73" si="75">SUM(G73,S73)</f>
        <v>3</v>
      </c>
      <c r="D73" s="73">
        <f t="shared" si="75"/>
        <v>23</v>
      </c>
      <c r="E73" s="350">
        <f t="shared" si="20"/>
        <v>236</v>
      </c>
      <c r="F73" s="105">
        <v>250</v>
      </c>
      <c r="G73" s="139">
        <v>3</v>
      </c>
      <c r="H73" s="150">
        <v>23</v>
      </c>
      <c r="I73" s="15">
        <v>0</v>
      </c>
      <c r="J73" s="15">
        <v>0</v>
      </c>
      <c r="K73" s="17">
        <v>0</v>
      </c>
      <c r="L73" s="15">
        <v>0</v>
      </c>
      <c r="M73" s="15">
        <v>0</v>
      </c>
      <c r="N73" s="17">
        <v>0</v>
      </c>
      <c r="O73" s="15">
        <v>0</v>
      </c>
      <c r="P73" s="15">
        <v>0</v>
      </c>
      <c r="Q73" s="17">
        <v>0</v>
      </c>
      <c r="R73" s="105">
        <v>6</v>
      </c>
      <c r="S73" s="15">
        <v>0</v>
      </c>
      <c r="T73" s="17">
        <v>0</v>
      </c>
      <c r="U73" s="15">
        <v>0</v>
      </c>
      <c r="V73" s="15">
        <v>0</v>
      </c>
      <c r="W73" s="17">
        <v>0</v>
      </c>
      <c r="X73" s="105">
        <v>3</v>
      </c>
      <c r="Y73" s="15">
        <v>0</v>
      </c>
      <c r="Z73" s="17">
        <v>0</v>
      </c>
      <c r="AA73" s="105"/>
      <c r="AB73" s="444">
        <v>706</v>
      </c>
      <c r="AC73" s="139">
        <v>6</v>
      </c>
      <c r="AD73" s="150">
        <v>40</v>
      </c>
      <c r="AE73" s="470">
        <v>0</v>
      </c>
      <c r="AF73" s="53">
        <v>0</v>
      </c>
      <c r="AG73" s="471">
        <v>0</v>
      </c>
      <c r="AH73" s="55"/>
      <c r="AI73" s="64"/>
    </row>
    <row r="74" spans="1:35" ht="12.75">
      <c r="A74" s="97">
        <v>43905</v>
      </c>
      <c r="B74" s="14">
        <f t="shared" si="73"/>
        <v>308</v>
      </c>
      <c r="C74" s="34">
        <f t="shared" ref="C74:D74" si="76">SUM(G74,S74)</f>
        <v>3</v>
      </c>
      <c r="D74" s="73">
        <f t="shared" si="76"/>
        <v>23</v>
      </c>
      <c r="E74" s="350">
        <f t="shared" si="20"/>
        <v>285</v>
      </c>
      <c r="F74" s="105">
        <v>297</v>
      </c>
      <c r="G74" s="139">
        <v>3</v>
      </c>
      <c r="H74" s="150">
        <v>23</v>
      </c>
      <c r="I74" s="15">
        <v>0</v>
      </c>
      <c r="J74" s="15">
        <v>0</v>
      </c>
      <c r="K74" s="17">
        <v>0</v>
      </c>
      <c r="L74" s="15">
        <v>0</v>
      </c>
      <c r="M74" s="15">
        <v>0</v>
      </c>
      <c r="N74" s="17">
        <v>0</v>
      </c>
      <c r="O74" s="15">
        <v>0</v>
      </c>
      <c r="P74" s="15">
        <v>0</v>
      </c>
      <c r="Q74" s="17">
        <v>0</v>
      </c>
      <c r="R74" s="105">
        <v>8</v>
      </c>
      <c r="S74" s="15">
        <v>0</v>
      </c>
      <c r="T74" s="17">
        <v>0</v>
      </c>
      <c r="U74" s="15">
        <v>0</v>
      </c>
      <c r="V74" s="15">
        <v>0</v>
      </c>
      <c r="W74" s="17">
        <v>0</v>
      </c>
      <c r="X74" s="105">
        <v>3</v>
      </c>
      <c r="Y74" s="15">
        <v>0</v>
      </c>
      <c r="Z74" s="17">
        <v>0</v>
      </c>
      <c r="AA74" s="105"/>
      <c r="AB74" s="444">
        <v>706</v>
      </c>
      <c r="AC74" s="139">
        <v>6</v>
      </c>
      <c r="AD74" s="150">
        <v>40</v>
      </c>
      <c r="AE74" s="470">
        <v>0</v>
      </c>
      <c r="AF74" s="53">
        <v>0</v>
      </c>
      <c r="AG74" s="471">
        <v>0</v>
      </c>
      <c r="AH74" s="55"/>
      <c r="AI74" s="64"/>
    </row>
    <row r="75" spans="1:35" ht="12.75">
      <c r="A75" s="97">
        <v>43906</v>
      </c>
      <c r="B75" s="14">
        <f t="shared" ref="B75:D75" si="77">SUM(F75,L75,R75,X75)</f>
        <v>391</v>
      </c>
      <c r="C75" s="34">
        <f t="shared" si="77"/>
        <v>3</v>
      </c>
      <c r="D75" s="73">
        <f t="shared" si="77"/>
        <v>23</v>
      </c>
      <c r="E75" s="350">
        <f t="shared" si="20"/>
        <v>368</v>
      </c>
      <c r="F75" s="105">
        <v>377</v>
      </c>
      <c r="G75" s="139">
        <v>3</v>
      </c>
      <c r="H75" s="150">
        <v>23</v>
      </c>
      <c r="I75" s="15">
        <v>0</v>
      </c>
      <c r="J75" s="15">
        <v>0</v>
      </c>
      <c r="K75" s="17">
        <v>0</v>
      </c>
      <c r="L75" s="105">
        <v>3</v>
      </c>
      <c r="M75" s="15">
        <v>0</v>
      </c>
      <c r="N75" s="17">
        <v>0</v>
      </c>
      <c r="O75" s="15">
        <v>0</v>
      </c>
      <c r="P75" s="15">
        <v>0</v>
      </c>
      <c r="Q75" s="17">
        <v>0</v>
      </c>
      <c r="R75" s="105">
        <v>8</v>
      </c>
      <c r="S75" s="15">
        <v>0</v>
      </c>
      <c r="T75" s="17">
        <v>0</v>
      </c>
      <c r="U75" s="15">
        <v>0</v>
      </c>
      <c r="V75" s="15">
        <v>0</v>
      </c>
      <c r="W75" s="17">
        <v>0</v>
      </c>
      <c r="X75" s="105">
        <v>3</v>
      </c>
      <c r="Y75" s="15">
        <v>0</v>
      </c>
      <c r="Z75" s="17">
        <v>0</v>
      </c>
      <c r="AA75" s="105"/>
      <c r="AB75" s="444">
        <v>706</v>
      </c>
      <c r="AC75" s="139">
        <v>6</v>
      </c>
      <c r="AD75" s="150">
        <v>40</v>
      </c>
      <c r="AE75" s="470">
        <v>0</v>
      </c>
      <c r="AF75" s="53">
        <v>0</v>
      </c>
      <c r="AG75" s="471">
        <v>0</v>
      </c>
      <c r="AH75" s="55" t="s">
        <v>1192</v>
      </c>
      <c r="AI75" s="57" t="s">
        <v>1193</v>
      </c>
    </row>
    <row r="76" spans="1:35" ht="12.75">
      <c r="A76" s="97">
        <v>43907</v>
      </c>
      <c r="B76" s="222">
        <f t="shared" ref="B76:D76" si="78">SUM(F76,I76,L76,O76,R76,U76,X76)</f>
        <v>470</v>
      </c>
      <c r="C76" s="223">
        <f t="shared" si="78"/>
        <v>5</v>
      </c>
      <c r="D76" s="224">
        <f t="shared" si="78"/>
        <v>23</v>
      </c>
      <c r="E76" s="350">
        <f t="shared" si="20"/>
        <v>447</v>
      </c>
      <c r="F76" s="105">
        <v>452</v>
      </c>
      <c r="G76" s="139">
        <v>5</v>
      </c>
      <c r="H76" s="150">
        <v>23</v>
      </c>
      <c r="I76" s="15">
        <v>0</v>
      </c>
      <c r="J76" s="15">
        <v>0</v>
      </c>
      <c r="K76" s="17">
        <v>0</v>
      </c>
      <c r="L76" s="105">
        <v>3</v>
      </c>
      <c r="M76" s="15">
        <v>0</v>
      </c>
      <c r="N76" s="17">
        <v>0</v>
      </c>
      <c r="O76" s="15">
        <v>0</v>
      </c>
      <c r="P76" s="15">
        <v>0</v>
      </c>
      <c r="Q76" s="17">
        <v>0</v>
      </c>
      <c r="R76" s="105">
        <v>12</v>
      </c>
      <c r="S76" s="15">
        <v>0</v>
      </c>
      <c r="T76" s="17">
        <v>0</v>
      </c>
      <c r="U76" s="15">
        <v>0</v>
      </c>
      <c r="V76" s="15">
        <v>0</v>
      </c>
      <c r="W76" s="17">
        <v>0</v>
      </c>
      <c r="X76" s="105">
        <v>3</v>
      </c>
      <c r="Y76" s="15">
        <v>0</v>
      </c>
      <c r="Z76" s="17">
        <v>0</v>
      </c>
      <c r="AA76" s="105"/>
      <c r="AB76" s="444">
        <v>706</v>
      </c>
      <c r="AC76" s="139">
        <v>6</v>
      </c>
      <c r="AD76" s="150">
        <v>40</v>
      </c>
      <c r="AE76" s="470">
        <v>0</v>
      </c>
      <c r="AF76" s="53">
        <v>0</v>
      </c>
      <c r="AG76" s="471">
        <v>0</v>
      </c>
      <c r="AH76" s="55"/>
      <c r="AI76" s="64"/>
    </row>
    <row r="77" spans="1:35" ht="12.75">
      <c r="A77" s="97">
        <v>43908</v>
      </c>
      <c r="B77" s="222">
        <f t="shared" ref="B77:D77" si="79">SUM(F77,I77,L77,O77,R77,U77,X77)</f>
        <v>596</v>
      </c>
      <c r="C77" s="223">
        <f t="shared" si="79"/>
        <v>6</v>
      </c>
      <c r="D77" s="224">
        <f t="shared" si="79"/>
        <v>23</v>
      </c>
      <c r="E77" s="350">
        <f t="shared" si="20"/>
        <v>573</v>
      </c>
      <c r="F77" s="105">
        <v>568</v>
      </c>
      <c r="G77" s="139">
        <v>6</v>
      </c>
      <c r="H77" s="150">
        <v>23</v>
      </c>
      <c r="I77" s="15">
        <v>0</v>
      </c>
      <c r="J77" s="15">
        <v>0</v>
      </c>
      <c r="K77" s="17">
        <v>0</v>
      </c>
      <c r="L77" s="105">
        <v>3</v>
      </c>
      <c r="M77" s="15">
        <v>0</v>
      </c>
      <c r="N77" s="17">
        <v>0</v>
      </c>
      <c r="O77" s="87">
        <v>2</v>
      </c>
      <c r="P77" s="15">
        <v>0</v>
      </c>
      <c r="Q77" s="17">
        <v>0</v>
      </c>
      <c r="R77" s="105">
        <v>20</v>
      </c>
      <c r="S77" s="15">
        <v>0</v>
      </c>
      <c r="T77" s="17">
        <v>0</v>
      </c>
      <c r="U77" s="15">
        <v>0</v>
      </c>
      <c r="V77" s="15">
        <v>0</v>
      </c>
      <c r="W77" s="17">
        <v>0</v>
      </c>
      <c r="X77" s="105">
        <v>3</v>
      </c>
      <c r="Y77" s="15">
        <v>0</v>
      </c>
      <c r="Z77" s="17">
        <v>0</v>
      </c>
      <c r="AA77" s="105"/>
      <c r="AB77" s="444">
        <v>712</v>
      </c>
      <c r="AC77" s="139">
        <v>7</v>
      </c>
      <c r="AD77" s="150">
        <v>325</v>
      </c>
      <c r="AE77" s="470">
        <v>0</v>
      </c>
      <c r="AF77" s="53">
        <v>0</v>
      </c>
      <c r="AG77" s="471">
        <v>0</v>
      </c>
      <c r="AH77" s="55" t="s">
        <v>1194</v>
      </c>
      <c r="AI77" s="57" t="s">
        <v>1195</v>
      </c>
    </row>
    <row r="78" spans="1:35" ht="12.75">
      <c r="A78" s="97">
        <v>43909</v>
      </c>
      <c r="B78" s="222">
        <f t="shared" ref="B78:D78" si="80">SUM(F78,I78,L78,O78,R78,U78,X78)</f>
        <v>719</v>
      </c>
      <c r="C78" s="223">
        <f t="shared" si="80"/>
        <v>6</v>
      </c>
      <c r="D78" s="224">
        <f t="shared" si="80"/>
        <v>26</v>
      </c>
      <c r="E78" s="350">
        <f t="shared" si="20"/>
        <v>693</v>
      </c>
      <c r="F78" s="105">
        <v>681</v>
      </c>
      <c r="G78" s="139">
        <v>6</v>
      </c>
      <c r="H78" s="150">
        <v>26</v>
      </c>
      <c r="I78" s="105">
        <v>1</v>
      </c>
      <c r="J78" s="15">
        <v>0</v>
      </c>
      <c r="K78" s="17">
        <v>0</v>
      </c>
      <c r="L78" s="105">
        <v>3</v>
      </c>
      <c r="M78" s="15">
        <v>0</v>
      </c>
      <c r="N78" s="17">
        <v>0</v>
      </c>
      <c r="O78" s="87">
        <v>2</v>
      </c>
      <c r="P78" s="15">
        <v>0</v>
      </c>
      <c r="Q78" s="17">
        <v>0</v>
      </c>
      <c r="R78" s="105">
        <v>28</v>
      </c>
      <c r="S78" s="15">
        <v>0</v>
      </c>
      <c r="T78" s="17">
        <v>0</v>
      </c>
      <c r="U78" s="105">
        <v>1</v>
      </c>
      <c r="V78" s="15">
        <v>0</v>
      </c>
      <c r="W78" s="17">
        <v>0</v>
      </c>
      <c r="X78" s="105">
        <v>3</v>
      </c>
      <c r="Y78" s="15">
        <v>0</v>
      </c>
      <c r="Z78" s="17">
        <v>0</v>
      </c>
      <c r="AA78" s="105"/>
      <c r="AB78" s="444">
        <v>712</v>
      </c>
      <c r="AC78" s="139">
        <v>7</v>
      </c>
      <c r="AD78" s="150">
        <v>325</v>
      </c>
      <c r="AE78" s="470">
        <v>0</v>
      </c>
      <c r="AF78" s="53">
        <v>0</v>
      </c>
      <c r="AG78" s="471">
        <v>0</v>
      </c>
      <c r="AH78" s="55" t="s">
        <v>1196</v>
      </c>
      <c r="AI78" s="57" t="s">
        <v>1197</v>
      </c>
    </row>
    <row r="79" spans="1:35" ht="12.75">
      <c r="A79" s="97">
        <v>43910</v>
      </c>
      <c r="B79" s="222">
        <f t="shared" ref="B79:D79" si="81">SUM(F79,I79,L79,O79,R79,U79,X79)</f>
        <v>840</v>
      </c>
      <c r="C79" s="223">
        <f t="shared" si="81"/>
        <v>7</v>
      </c>
      <c r="D79" s="224">
        <f t="shared" si="81"/>
        <v>26</v>
      </c>
      <c r="E79" s="350">
        <f t="shared" si="20"/>
        <v>814</v>
      </c>
      <c r="F79" s="105">
        <v>791</v>
      </c>
      <c r="G79" s="139">
        <v>7</v>
      </c>
      <c r="H79" s="150">
        <v>26</v>
      </c>
      <c r="I79" s="105">
        <v>1</v>
      </c>
      <c r="J79" s="15">
        <v>0</v>
      </c>
      <c r="K79" s="17">
        <v>0</v>
      </c>
      <c r="L79" s="105">
        <v>3</v>
      </c>
      <c r="M79" s="15">
        <v>0</v>
      </c>
      <c r="N79" s="17">
        <v>0</v>
      </c>
      <c r="O79" s="87">
        <v>2</v>
      </c>
      <c r="P79" s="15">
        <v>0</v>
      </c>
      <c r="Q79" s="17">
        <v>0</v>
      </c>
      <c r="R79" s="105">
        <v>39</v>
      </c>
      <c r="S79" s="15">
        <v>0</v>
      </c>
      <c r="T79" s="17">
        <v>0</v>
      </c>
      <c r="U79" s="105">
        <v>1</v>
      </c>
      <c r="V79" s="15">
        <v>0</v>
      </c>
      <c r="W79" s="17">
        <v>0</v>
      </c>
      <c r="X79" s="105">
        <v>3</v>
      </c>
      <c r="Y79" s="15">
        <v>0</v>
      </c>
      <c r="Z79" s="17">
        <v>0</v>
      </c>
      <c r="AA79" s="105"/>
      <c r="AB79" s="444">
        <v>712</v>
      </c>
      <c r="AC79" s="139">
        <v>7</v>
      </c>
      <c r="AD79" s="150">
        <v>325</v>
      </c>
      <c r="AE79" s="470">
        <v>0</v>
      </c>
      <c r="AF79" s="53">
        <v>0</v>
      </c>
      <c r="AG79" s="471">
        <v>0</v>
      </c>
      <c r="AH79" s="55" t="s">
        <v>1198</v>
      </c>
      <c r="AI79" s="64"/>
    </row>
    <row r="80" spans="1:35" ht="12.75">
      <c r="A80" s="97">
        <v>43911</v>
      </c>
      <c r="B80" s="222">
        <f t="shared" ref="B80:D80" si="82">SUM(F80,I80,L80,O80,R80,U80,X80)</f>
        <v>1133</v>
      </c>
      <c r="C80" s="223">
        <f t="shared" si="82"/>
        <v>7</v>
      </c>
      <c r="D80" s="224">
        <f t="shared" si="82"/>
        <v>26</v>
      </c>
      <c r="E80" s="350">
        <f t="shared" si="20"/>
        <v>1107</v>
      </c>
      <c r="F80" s="105">
        <v>1071</v>
      </c>
      <c r="G80" s="139">
        <v>7</v>
      </c>
      <c r="H80" s="150">
        <v>26</v>
      </c>
      <c r="I80" s="105">
        <v>1</v>
      </c>
      <c r="J80" s="15">
        <v>0</v>
      </c>
      <c r="K80" s="17">
        <v>0</v>
      </c>
      <c r="L80" s="105">
        <v>3</v>
      </c>
      <c r="M80" s="15">
        <v>0</v>
      </c>
      <c r="N80" s="17">
        <v>0</v>
      </c>
      <c r="O80" s="87">
        <v>2</v>
      </c>
      <c r="P80" s="15">
        <v>0</v>
      </c>
      <c r="Q80" s="17">
        <v>0</v>
      </c>
      <c r="R80" s="105">
        <v>52</v>
      </c>
      <c r="S80" s="15">
        <v>0</v>
      </c>
      <c r="T80" s="17">
        <v>0</v>
      </c>
      <c r="U80" s="105">
        <v>1</v>
      </c>
      <c r="V80" s="15">
        <v>0</v>
      </c>
      <c r="W80" s="17">
        <v>0</v>
      </c>
      <c r="X80" s="105">
        <v>3</v>
      </c>
      <c r="Y80" s="15">
        <v>0</v>
      </c>
      <c r="Z80" s="17">
        <v>0</v>
      </c>
      <c r="AA80" s="105"/>
      <c r="AB80" s="444">
        <v>712</v>
      </c>
      <c r="AC80" s="139">
        <v>7</v>
      </c>
      <c r="AD80" s="150">
        <v>325</v>
      </c>
      <c r="AE80" s="470">
        <v>0</v>
      </c>
      <c r="AF80" s="53">
        <v>0</v>
      </c>
      <c r="AG80" s="471">
        <v>0</v>
      </c>
      <c r="AH80" s="55"/>
      <c r="AI80" s="64"/>
    </row>
    <row r="81" spans="1:35" ht="12.75">
      <c r="A81" s="97">
        <v>43912</v>
      </c>
      <c r="B81" s="222">
        <f t="shared" ref="B81:D81" si="83">SUM(F81,I81,L81,O81,R81,U81,X81)</f>
        <v>1394</v>
      </c>
      <c r="C81" s="223">
        <f t="shared" si="83"/>
        <v>7</v>
      </c>
      <c r="D81" s="224">
        <f t="shared" si="83"/>
        <v>88</v>
      </c>
      <c r="E81" s="350">
        <f t="shared" si="20"/>
        <v>1306</v>
      </c>
      <c r="F81" s="105">
        <v>1314</v>
      </c>
      <c r="G81" s="139">
        <v>7</v>
      </c>
      <c r="H81" s="150">
        <v>88</v>
      </c>
      <c r="I81" s="105">
        <v>2</v>
      </c>
      <c r="J81" s="15">
        <v>0</v>
      </c>
      <c r="K81" s="17">
        <v>0</v>
      </c>
      <c r="L81" s="105">
        <v>3</v>
      </c>
      <c r="M81" s="15">
        <v>0</v>
      </c>
      <c r="N81" s="17">
        <v>0</v>
      </c>
      <c r="O81" s="87">
        <v>5</v>
      </c>
      <c r="P81" s="15">
        <v>0</v>
      </c>
      <c r="Q81" s="17">
        <v>0</v>
      </c>
      <c r="R81" s="105">
        <v>66</v>
      </c>
      <c r="S81" s="15">
        <v>0</v>
      </c>
      <c r="T81" s="17">
        <v>0</v>
      </c>
      <c r="U81" s="105">
        <v>1</v>
      </c>
      <c r="V81" s="15">
        <v>0</v>
      </c>
      <c r="W81" s="17">
        <v>0</v>
      </c>
      <c r="X81" s="105">
        <v>3</v>
      </c>
      <c r="Y81" s="15">
        <v>0</v>
      </c>
      <c r="Z81" s="17">
        <v>0</v>
      </c>
      <c r="AA81" s="105"/>
      <c r="AB81" s="444">
        <v>712</v>
      </c>
      <c r="AC81" s="139">
        <v>8</v>
      </c>
      <c r="AD81" s="150">
        <v>325</v>
      </c>
      <c r="AE81" s="470">
        <v>0</v>
      </c>
      <c r="AF81" s="53">
        <v>0</v>
      </c>
      <c r="AG81" s="471">
        <v>0</v>
      </c>
      <c r="AH81" s="55"/>
      <c r="AI81" s="64"/>
    </row>
    <row r="82" spans="1:35" ht="12.75">
      <c r="A82" s="97">
        <v>43913</v>
      </c>
      <c r="B82" s="222">
        <f t="shared" ref="B82:D82" si="84">SUM(F82,I82,L82,O82,R82,U82,X82)</f>
        <v>1802</v>
      </c>
      <c r="C82" s="223">
        <f t="shared" si="84"/>
        <v>7</v>
      </c>
      <c r="D82" s="224">
        <f t="shared" si="84"/>
        <v>119</v>
      </c>
      <c r="E82" s="350">
        <f t="shared" si="20"/>
        <v>1683</v>
      </c>
      <c r="F82" s="105">
        <v>1682</v>
      </c>
      <c r="G82" s="139">
        <v>7</v>
      </c>
      <c r="H82" s="150">
        <v>119</v>
      </c>
      <c r="I82" s="105">
        <v>3</v>
      </c>
      <c r="J82" s="15">
        <v>0</v>
      </c>
      <c r="K82" s="17">
        <v>0</v>
      </c>
      <c r="L82" s="105">
        <v>3</v>
      </c>
      <c r="M82" s="15">
        <v>0</v>
      </c>
      <c r="N82" s="17">
        <v>0</v>
      </c>
      <c r="O82" s="87">
        <v>8</v>
      </c>
      <c r="P82" s="15">
        <v>0</v>
      </c>
      <c r="Q82" s="17">
        <v>0</v>
      </c>
      <c r="R82" s="105">
        <v>102</v>
      </c>
      <c r="S82" s="15">
        <v>0</v>
      </c>
      <c r="T82" s="17">
        <v>0</v>
      </c>
      <c r="U82" s="105">
        <v>1</v>
      </c>
      <c r="V82" s="15">
        <v>0</v>
      </c>
      <c r="W82" s="17">
        <v>0</v>
      </c>
      <c r="X82" s="105">
        <v>3</v>
      </c>
      <c r="Y82" s="15">
        <v>0</v>
      </c>
      <c r="Z82" s="17">
        <v>0</v>
      </c>
      <c r="AA82" s="105"/>
      <c r="AB82" s="444">
        <v>712</v>
      </c>
      <c r="AC82" s="139">
        <v>8</v>
      </c>
      <c r="AD82" s="150">
        <v>567</v>
      </c>
      <c r="AE82" s="470">
        <v>0</v>
      </c>
      <c r="AF82" s="53">
        <v>0</v>
      </c>
      <c r="AG82" s="471">
        <v>0</v>
      </c>
      <c r="AH82" s="55"/>
      <c r="AI82" s="64"/>
    </row>
    <row r="83" spans="1:35" ht="12.75">
      <c r="A83" s="97">
        <v>43914</v>
      </c>
      <c r="B83" s="222">
        <f t="shared" ref="B83:D83" si="85">SUM(F83,I83,L83,O83,R83,U83,X83)</f>
        <v>2220</v>
      </c>
      <c r="C83" s="223">
        <f t="shared" si="85"/>
        <v>8</v>
      </c>
      <c r="D83" s="224">
        <f t="shared" si="85"/>
        <v>131</v>
      </c>
      <c r="E83" s="350">
        <f t="shared" si="20"/>
        <v>2089</v>
      </c>
      <c r="F83" s="105">
        <v>2044</v>
      </c>
      <c r="G83" s="139">
        <v>8</v>
      </c>
      <c r="H83" s="150">
        <v>119</v>
      </c>
      <c r="I83" s="105">
        <v>4</v>
      </c>
      <c r="J83" s="15">
        <v>0</v>
      </c>
      <c r="K83" s="17">
        <v>0</v>
      </c>
      <c r="L83" s="105">
        <v>3</v>
      </c>
      <c r="M83" s="15">
        <v>0</v>
      </c>
      <c r="N83" s="17">
        <v>0</v>
      </c>
      <c r="O83" s="87">
        <v>10</v>
      </c>
      <c r="P83" s="15">
        <v>0</v>
      </c>
      <c r="Q83" s="17">
        <v>0</v>
      </c>
      <c r="R83" s="105">
        <v>155</v>
      </c>
      <c r="S83" s="15">
        <v>0</v>
      </c>
      <c r="T83" s="138">
        <v>12</v>
      </c>
      <c r="U83" s="105">
        <v>1</v>
      </c>
      <c r="V83" s="15">
        <v>0</v>
      </c>
      <c r="W83" s="17">
        <v>0</v>
      </c>
      <c r="X83" s="105">
        <v>3</v>
      </c>
      <c r="Y83" s="15">
        <v>0</v>
      </c>
      <c r="Z83" s="17">
        <v>0</v>
      </c>
      <c r="AA83" s="105"/>
      <c r="AB83" s="444">
        <v>712</v>
      </c>
      <c r="AC83" s="139">
        <v>10</v>
      </c>
      <c r="AD83" s="150">
        <v>587</v>
      </c>
      <c r="AE83" s="470">
        <v>0</v>
      </c>
      <c r="AF83" s="53">
        <v>0</v>
      </c>
      <c r="AG83" s="471">
        <v>0</v>
      </c>
      <c r="AH83" s="55"/>
      <c r="AI83" s="64"/>
    </row>
    <row r="84" spans="1:35" ht="12.75">
      <c r="A84" s="97">
        <v>43915</v>
      </c>
      <c r="B84" s="222">
        <f t="shared" ref="B84:D84" si="86">SUM(F84,I84,L84,O84,R84,U84,X84)</f>
        <v>2595</v>
      </c>
      <c r="C84" s="223">
        <f t="shared" si="86"/>
        <v>8</v>
      </c>
      <c r="D84" s="224">
        <f t="shared" si="86"/>
        <v>141</v>
      </c>
      <c r="E84" s="350">
        <f t="shared" si="20"/>
        <v>2454</v>
      </c>
      <c r="F84" s="105">
        <v>2364</v>
      </c>
      <c r="G84" s="139">
        <v>8</v>
      </c>
      <c r="H84" s="150">
        <v>119</v>
      </c>
      <c r="I84" s="105">
        <v>5</v>
      </c>
      <c r="J84" s="15">
        <v>0</v>
      </c>
      <c r="K84" s="17">
        <v>0</v>
      </c>
      <c r="L84" s="105">
        <v>3</v>
      </c>
      <c r="M84" s="15">
        <v>0</v>
      </c>
      <c r="N84" s="17">
        <v>0</v>
      </c>
      <c r="O84" s="87">
        <v>14</v>
      </c>
      <c r="P84" s="15">
        <v>0</v>
      </c>
      <c r="Q84" s="17">
        <v>0</v>
      </c>
      <c r="R84" s="105">
        <v>205</v>
      </c>
      <c r="S84" s="15">
        <v>0</v>
      </c>
      <c r="T84" s="138">
        <v>22</v>
      </c>
      <c r="U84" s="105">
        <v>1</v>
      </c>
      <c r="V84" s="15">
        <v>0</v>
      </c>
      <c r="W84" s="17">
        <v>0</v>
      </c>
      <c r="X84" s="105">
        <v>3</v>
      </c>
      <c r="Y84" s="15">
        <v>0</v>
      </c>
      <c r="Z84" s="17">
        <v>0</v>
      </c>
      <c r="AA84" s="105"/>
      <c r="AB84" s="444">
        <v>712</v>
      </c>
      <c r="AC84" s="139">
        <v>10</v>
      </c>
      <c r="AD84" s="150">
        <v>587</v>
      </c>
      <c r="AE84" s="470">
        <v>0</v>
      </c>
      <c r="AF84" s="53">
        <v>0</v>
      </c>
      <c r="AG84" s="471">
        <v>0</v>
      </c>
      <c r="AH84" s="55"/>
      <c r="AI84" s="64"/>
    </row>
    <row r="85" spans="1:35" ht="12.75">
      <c r="A85" s="97">
        <v>43916</v>
      </c>
      <c r="B85" s="222">
        <f t="shared" ref="B85:D85" si="87">SUM(F85,I85,L85,O85,R85,U85,X85)</f>
        <v>3119</v>
      </c>
      <c r="C85" s="223">
        <f t="shared" si="87"/>
        <v>13</v>
      </c>
      <c r="D85" s="224">
        <f t="shared" si="87"/>
        <v>199</v>
      </c>
      <c r="E85" s="350">
        <f t="shared" si="20"/>
        <v>2920</v>
      </c>
      <c r="F85" s="105">
        <v>2810</v>
      </c>
      <c r="G85" s="139">
        <v>13</v>
      </c>
      <c r="H85" s="150">
        <v>172</v>
      </c>
      <c r="I85" s="105">
        <v>5</v>
      </c>
      <c r="J85" s="15">
        <v>0</v>
      </c>
      <c r="K85" s="17">
        <v>0</v>
      </c>
      <c r="L85" s="105">
        <v>3</v>
      </c>
      <c r="M85" s="15">
        <v>0</v>
      </c>
      <c r="N85" s="17">
        <v>0</v>
      </c>
      <c r="O85" s="87">
        <v>14</v>
      </c>
      <c r="P85" s="15">
        <v>0</v>
      </c>
      <c r="Q85" s="17">
        <v>0</v>
      </c>
      <c r="R85" s="105">
        <v>283</v>
      </c>
      <c r="S85" s="15">
        <v>0</v>
      </c>
      <c r="T85" s="138">
        <v>27</v>
      </c>
      <c r="U85" s="105">
        <v>1</v>
      </c>
      <c r="V85" s="15">
        <v>0</v>
      </c>
      <c r="W85" s="17">
        <v>0</v>
      </c>
      <c r="X85" s="105">
        <v>3</v>
      </c>
      <c r="Y85" s="15">
        <v>0</v>
      </c>
      <c r="Z85" s="17">
        <v>0</v>
      </c>
      <c r="AA85" s="105"/>
      <c r="AB85" s="444">
        <v>712</v>
      </c>
      <c r="AC85" s="139">
        <v>10</v>
      </c>
      <c r="AD85" s="150">
        <v>597</v>
      </c>
      <c r="AE85" s="470">
        <v>0</v>
      </c>
      <c r="AF85" s="53">
        <v>0</v>
      </c>
      <c r="AG85" s="471">
        <v>0</v>
      </c>
      <c r="AH85" s="55"/>
      <c r="AI85" s="64"/>
    </row>
    <row r="86" spans="1:35" ht="12.75">
      <c r="A86" s="97">
        <v>43917</v>
      </c>
      <c r="B86" s="222">
        <f t="shared" ref="B86:D86" si="88">SUM(F86,I86,L86,O86,R86,U86,X86)</f>
        <v>3538</v>
      </c>
      <c r="C86" s="223">
        <f t="shared" si="88"/>
        <v>13</v>
      </c>
      <c r="D86" s="224">
        <f t="shared" si="88"/>
        <v>231</v>
      </c>
      <c r="E86" s="350">
        <f t="shared" si="20"/>
        <v>3307</v>
      </c>
      <c r="F86" s="105">
        <v>3143</v>
      </c>
      <c r="G86" s="139">
        <v>13</v>
      </c>
      <c r="H86" s="150">
        <v>194</v>
      </c>
      <c r="I86" s="105">
        <v>5</v>
      </c>
      <c r="J86" s="15">
        <v>0</v>
      </c>
      <c r="K86" s="17">
        <v>0</v>
      </c>
      <c r="L86" s="105">
        <v>3</v>
      </c>
      <c r="M86" s="15">
        <v>0</v>
      </c>
      <c r="N86" s="17">
        <v>0</v>
      </c>
      <c r="O86" s="87">
        <v>15</v>
      </c>
      <c r="P86" s="15">
        <v>0</v>
      </c>
      <c r="Q86" s="17">
        <v>0</v>
      </c>
      <c r="R86" s="105">
        <v>368</v>
      </c>
      <c r="S86" s="15">
        <v>0</v>
      </c>
      <c r="T86" s="138">
        <v>37</v>
      </c>
      <c r="U86" s="105">
        <v>1</v>
      </c>
      <c r="V86" s="15">
        <v>0</v>
      </c>
      <c r="W86" s="17">
        <v>0</v>
      </c>
      <c r="X86" s="105">
        <v>3</v>
      </c>
      <c r="Y86" s="15">
        <v>0</v>
      </c>
      <c r="Z86" s="17">
        <v>0</v>
      </c>
      <c r="AA86" s="105"/>
      <c r="AB86" s="444">
        <v>712</v>
      </c>
      <c r="AC86" s="139">
        <v>10</v>
      </c>
      <c r="AD86" s="150">
        <v>597</v>
      </c>
      <c r="AE86" s="470">
        <v>0</v>
      </c>
      <c r="AF86" s="53">
        <v>0</v>
      </c>
      <c r="AG86" s="471">
        <v>0</v>
      </c>
      <c r="AH86" s="55"/>
      <c r="AI86" s="64"/>
    </row>
    <row r="87" spans="1:35" ht="12.75">
      <c r="A87" s="97">
        <v>43918</v>
      </c>
      <c r="B87" s="222">
        <f t="shared" ref="B87:D87" si="89">SUM(F87,I87,L87,O87,R87,U87,X87)</f>
        <v>4118</v>
      </c>
      <c r="C87" s="223">
        <f t="shared" si="89"/>
        <v>14</v>
      </c>
      <c r="D87" s="224">
        <f t="shared" si="89"/>
        <v>294</v>
      </c>
      <c r="E87" s="350">
        <f t="shared" si="20"/>
        <v>3824</v>
      </c>
      <c r="F87" s="105">
        <v>3640</v>
      </c>
      <c r="G87" s="139">
        <v>14</v>
      </c>
      <c r="H87" s="150">
        <v>244</v>
      </c>
      <c r="I87" s="105">
        <v>5</v>
      </c>
      <c r="J87" s="15">
        <v>0</v>
      </c>
      <c r="K87" s="17">
        <v>0</v>
      </c>
      <c r="L87" s="105">
        <v>3</v>
      </c>
      <c r="M87" s="15">
        <v>0</v>
      </c>
      <c r="N87" s="17">
        <v>0</v>
      </c>
      <c r="O87" s="87">
        <v>15</v>
      </c>
      <c r="P87" s="15">
        <v>0</v>
      </c>
      <c r="Q87" s="17">
        <v>0</v>
      </c>
      <c r="R87" s="105">
        <v>451</v>
      </c>
      <c r="S87" s="15">
        <v>0</v>
      </c>
      <c r="T87" s="138">
        <v>50</v>
      </c>
      <c r="U87" s="105">
        <v>1</v>
      </c>
      <c r="V87" s="15">
        <v>0</v>
      </c>
      <c r="W87" s="17">
        <v>0</v>
      </c>
      <c r="X87" s="105">
        <v>3</v>
      </c>
      <c r="Y87" s="15">
        <v>0</v>
      </c>
      <c r="Z87" s="17">
        <v>0</v>
      </c>
      <c r="AA87" s="105"/>
      <c r="AB87" s="444">
        <v>712</v>
      </c>
      <c r="AC87" s="139">
        <v>10</v>
      </c>
      <c r="AD87" s="150">
        <v>597</v>
      </c>
      <c r="AE87" s="444">
        <v>2</v>
      </c>
      <c r="AF87" s="53">
        <v>0</v>
      </c>
      <c r="AG87" s="471">
        <v>0</v>
      </c>
      <c r="AH87" s="55" t="s">
        <v>1199</v>
      </c>
      <c r="AI87" s="57" t="s">
        <v>1200</v>
      </c>
    </row>
    <row r="88" spans="1:35" ht="12.75">
      <c r="A88" s="97">
        <v>43919</v>
      </c>
      <c r="B88" s="222">
        <f t="shared" ref="B88:D88" si="90">SUM(F88,I88,L88,O88,R88,U88,X88)</f>
        <v>4521</v>
      </c>
      <c r="C88" s="223">
        <f t="shared" si="90"/>
        <v>17</v>
      </c>
      <c r="D88" s="224">
        <f t="shared" si="90"/>
        <v>300</v>
      </c>
      <c r="E88" s="350">
        <f t="shared" si="20"/>
        <v>4221</v>
      </c>
      <c r="F88" s="105">
        <v>3980</v>
      </c>
      <c r="G88" s="139">
        <v>16</v>
      </c>
      <c r="H88" s="150">
        <v>244</v>
      </c>
      <c r="I88" s="105">
        <v>5</v>
      </c>
      <c r="J88" s="15">
        <v>0</v>
      </c>
      <c r="K88" s="17">
        <v>0</v>
      </c>
      <c r="L88" s="105">
        <v>3</v>
      </c>
      <c r="M88" s="15">
        <v>0</v>
      </c>
      <c r="N88" s="17">
        <v>0</v>
      </c>
      <c r="O88" s="87">
        <v>15</v>
      </c>
      <c r="P88" s="15">
        <v>0</v>
      </c>
      <c r="Q88" s="17">
        <v>0</v>
      </c>
      <c r="R88" s="105">
        <v>514</v>
      </c>
      <c r="S88" s="128">
        <v>1</v>
      </c>
      <c r="T88" s="138">
        <v>56</v>
      </c>
      <c r="U88" s="105">
        <v>1</v>
      </c>
      <c r="V88" s="15">
        <v>0</v>
      </c>
      <c r="W88" s="17">
        <v>0</v>
      </c>
      <c r="X88" s="105">
        <v>3</v>
      </c>
      <c r="Y88" s="15">
        <v>0</v>
      </c>
      <c r="Z88" s="17">
        <v>0</v>
      </c>
      <c r="AA88" s="105"/>
      <c r="AB88" s="444">
        <v>712</v>
      </c>
      <c r="AC88" s="139">
        <v>10</v>
      </c>
      <c r="AD88" s="150">
        <v>597</v>
      </c>
      <c r="AE88" s="444">
        <v>2</v>
      </c>
      <c r="AF88" s="53">
        <v>0</v>
      </c>
      <c r="AG88" s="471">
        <v>0</v>
      </c>
      <c r="AH88" s="55" t="s">
        <v>1201</v>
      </c>
      <c r="AI88" s="57" t="s">
        <v>1202</v>
      </c>
    </row>
    <row r="89" spans="1:35" ht="12.75">
      <c r="A89" s="97">
        <v>43920</v>
      </c>
      <c r="B89" s="222">
        <f t="shared" ref="B89:D89" si="91">SUM(F89,I89,L89,O89,R89,U89,X89)</f>
        <v>4977</v>
      </c>
      <c r="C89" s="223">
        <f t="shared" si="91"/>
        <v>18</v>
      </c>
      <c r="D89" s="224">
        <f t="shared" si="91"/>
        <v>320</v>
      </c>
      <c r="E89" s="350">
        <f t="shared" si="20"/>
        <v>4657</v>
      </c>
      <c r="F89" s="105">
        <v>4361</v>
      </c>
      <c r="G89" s="139">
        <v>17</v>
      </c>
      <c r="H89" s="150">
        <v>257</v>
      </c>
      <c r="I89" s="105">
        <v>5</v>
      </c>
      <c r="J89" s="15">
        <v>0</v>
      </c>
      <c r="K89" s="17">
        <v>0</v>
      </c>
      <c r="L89" s="105">
        <v>3</v>
      </c>
      <c r="M89" s="15">
        <v>0</v>
      </c>
      <c r="N89" s="17">
        <v>0</v>
      </c>
      <c r="O89" s="87">
        <v>15</v>
      </c>
      <c r="P89" s="15">
        <v>0</v>
      </c>
      <c r="Q89" s="17">
        <v>0</v>
      </c>
      <c r="R89" s="105">
        <v>589</v>
      </c>
      <c r="S89" s="128">
        <v>1</v>
      </c>
      <c r="T89" s="138">
        <v>63</v>
      </c>
      <c r="U89" s="105">
        <v>1</v>
      </c>
      <c r="V89" s="15">
        <v>0</v>
      </c>
      <c r="W89" s="17">
        <v>0</v>
      </c>
      <c r="X89" s="105">
        <v>3</v>
      </c>
      <c r="Y89" s="15">
        <v>0</v>
      </c>
      <c r="Z89" s="17">
        <v>0</v>
      </c>
      <c r="AA89" s="105"/>
      <c r="AB89" s="444">
        <v>712</v>
      </c>
      <c r="AC89" s="139">
        <v>10</v>
      </c>
      <c r="AD89" s="150">
        <v>603</v>
      </c>
      <c r="AE89" s="444">
        <v>2</v>
      </c>
      <c r="AF89" s="53">
        <v>0</v>
      </c>
      <c r="AG89" s="471">
        <v>0</v>
      </c>
      <c r="AH89" s="55"/>
      <c r="AI89" s="64"/>
    </row>
    <row r="90" spans="1:35" ht="12.75">
      <c r="A90" s="110">
        <v>43921</v>
      </c>
      <c r="B90" s="490">
        <f t="shared" ref="B90:D90" si="92">SUM(F90,I90,L90,O90,R90,U90,X90)</f>
        <v>5233</v>
      </c>
      <c r="C90" s="491">
        <f t="shared" si="92"/>
        <v>19</v>
      </c>
      <c r="D90" s="492">
        <f t="shared" si="92"/>
        <v>432</v>
      </c>
      <c r="E90" s="353">
        <f t="shared" si="20"/>
        <v>4801</v>
      </c>
      <c r="F90" s="116">
        <v>4559</v>
      </c>
      <c r="G90" s="163">
        <v>18</v>
      </c>
      <c r="H90" s="162">
        <v>358</v>
      </c>
      <c r="I90" s="116">
        <v>5</v>
      </c>
      <c r="J90" s="22">
        <v>0</v>
      </c>
      <c r="K90" s="24">
        <v>0</v>
      </c>
      <c r="L90" s="116">
        <v>3</v>
      </c>
      <c r="M90" s="22">
        <v>0</v>
      </c>
      <c r="N90" s="24">
        <v>0</v>
      </c>
      <c r="O90" s="92">
        <v>15</v>
      </c>
      <c r="P90" s="22">
        <v>0</v>
      </c>
      <c r="Q90" s="24">
        <v>0</v>
      </c>
      <c r="R90" s="116">
        <v>647</v>
      </c>
      <c r="S90" s="166">
        <v>1</v>
      </c>
      <c r="T90" s="169">
        <v>74</v>
      </c>
      <c r="U90" s="116">
        <v>1</v>
      </c>
      <c r="V90" s="22">
        <v>0</v>
      </c>
      <c r="W90" s="24">
        <v>0</v>
      </c>
      <c r="X90" s="116">
        <v>3</v>
      </c>
      <c r="Y90" s="22">
        <v>0</v>
      </c>
      <c r="Z90" s="24">
        <v>0</v>
      </c>
      <c r="AA90" s="116"/>
      <c r="AB90" s="485">
        <v>712</v>
      </c>
      <c r="AC90" s="163">
        <v>10</v>
      </c>
      <c r="AD90" s="162">
        <v>603</v>
      </c>
      <c r="AE90" s="485">
        <v>2</v>
      </c>
      <c r="AF90" s="65">
        <v>0</v>
      </c>
      <c r="AG90" s="474">
        <v>0</v>
      </c>
      <c r="AH90" s="66"/>
      <c r="AI90" s="486"/>
    </row>
    <row r="91" spans="1:35" ht="12.75">
      <c r="A91" s="97">
        <v>43922</v>
      </c>
      <c r="B91" s="222">
        <f t="shared" ref="B91:D91" si="93">SUM(F91,I91,L91,O91,R91,U91,X91)</f>
        <v>5598</v>
      </c>
      <c r="C91" s="223">
        <f t="shared" si="93"/>
        <v>21</v>
      </c>
      <c r="D91" s="224">
        <f t="shared" si="93"/>
        <v>505</v>
      </c>
      <c r="E91" s="350">
        <f t="shared" si="20"/>
        <v>5093</v>
      </c>
      <c r="F91" s="105">
        <v>4862</v>
      </c>
      <c r="G91" s="139">
        <v>20</v>
      </c>
      <c r="H91" s="150">
        <v>422</v>
      </c>
      <c r="I91" s="105">
        <v>5</v>
      </c>
      <c r="J91" s="15">
        <v>0</v>
      </c>
      <c r="K91" s="17">
        <v>0</v>
      </c>
      <c r="L91" s="105">
        <v>3</v>
      </c>
      <c r="M91" s="15">
        <v>0</v>
      </c>
      <c r="N91" s="17">
        <v>0</v>
      </c>
      <c r="O91" s="87">
        <v>16</v>
      </c>
      <c r="P91" s="15">
        <v>0</v>
      </c>
      <c r="Q91" s="17">
        <v>0</v>
      </c>
      <c r="R91" s="105">
        <v>708</v>
      </c>
      <c r="S91" s="128">
        <v>1</v>
      </c>
      <c r="T91" s="138">
        <v>83</v>
      </c>
      <c r="U91" s="105">
        <v>1</v>
      </c>
      <c r="V91" s="15">
        <v>0</v>
      </c>
      <c r="W91" s="17">
        <v>0</v>
      </c>
      <c r="X91" s="105">
        <v>3</v>
      </c>
      <c r="Y91" s="15">
        <v>0</v>
      </c>
      <c r="Z91" s="17">
        <v>0</v>
      </c>
      <c r="AA91" s="105"/>
      <c r="AB91" s="444">
        <v>712</v>
      </c>
      <c r="AC91" s="139">
        <v>10</v>
      </c>
      <c r="AD91" s="150">
        <v>603</v>
      </c>
      <c r="AE91" s="444">
        <v>2</v>
      </c>
      <c r="AF91" s="53">
        <v>0</v>
      </c>
      <c r="AG91" s="471">
        <v>0</v>
      </c>
      <c r="AH91" s="55"/>
      <c r="AI91" s="64"/>
    </row>
    <row r="92" spans="1:35" ht="12.75">
      <c r="A92" s="97">
        <v>43923</v>
      </c>
      <c r="B92" s="222">
        <f t="shared" ref="B92:D92" si="94">SUM(F92,I92,L92,O92,R92,U92,X92)</f>
        <v>5945</v>
      </c>
      <c r="C92" s="223">
        <f t="shared" si="94"/>
        <v>25</v>
      </c>
      <c r="D92" s="224">
        <f t="shared" si="94"/>
        <v>612</v>
      </c>
      <c r="E92" s="350">
        <f t="shared" si="20"/>
        <v>5333</v>
      </c>
      <c r="F92" s="105">
        <v>5116</v>
      </c>
      <c r="G92" s="139">
        <v>24</v>
      </c>
      <c r="H92" s="150">
        <v>520</v>
      </c>
      <c r="I92" s="105">
        <v>7</v>
      </c>
      <c r="J92" s="15">
        <v>0</v>
      </c>
      <c r="K92" s="17">
        <v>0</v>
      </c>
      <c r="L92" s="105">
        <v>3</v>
      </c>
      <c r="M92" s="15">
        <v>0</v>
      </c>
      <c r="N92" s="17">
        <v>0</v>
      </c>
      <c r="O92" s="105">
        <v>18</v>
      </c>
      <c r="P92" s="15">
        <v>0</v>
      </c>
      <c r="Q92" s="17">
        <v>0</v>
      </c>
      <c r="R92" s="105">
        <v>797</v>
      </c>
      <c r="S92" s="128">
        <v>1</v>
      </c>
      <c r="T92" s="138">
        <v>92</v>
      </c>
      <c r="U92" s="105">
        <v>1</v>
      </c>
      <c r="V92" s="15">
        <v>0</v>
      </c>
      <c r="W92" s="17">
        <v>0</v>
      </c>
      <c r="X92" s="105">
        <v>3</v>
      </c>
      <c r="Y92" s="15">
        <v>0</v>
      </c>
      <c r="Z92" s="17">
        <v>0</v>
      </c>
      <c r="AA92" s="105"/>
      <c r="AB92" s="444">
        <v>712</v>
      </c>
      <c r="AC92" s="139">
        <v>11</v>
      </c>
      <c r="AD92" s="150">
        <v>619</v>
      </c>
      <c r="AE92" s="444">
        <v>9</v>
      </c>
      <c r="AF92" s="135">
        <v>2</v>
      </c>
      <c r="AG92" s="471">
        <v>0</v>
      </c>
      <c r="AH92" s="55" t="s">
        <v>1216</v>
      </c>
      <c r="AI92" s="57" t="s">
        <v>1218</v>
      </c>
    </row>
    <row r="93" spans="1:35" ht="12.75">
      <c r="A93" s="97">
        <v>43924</v>
      </c>
      <c r="B93" s="222">
        <f t="shared" ref="B93:D93" si="95">SUM(F93,I93,L93,O93,R93,U93,X93)</f>
        <v>6230</v>
      </c>
      <c r="C93" s="223">
        <f t="shared" si="95"/>
        <v>29</v>
      </c>
      <c r="D93" s="224">
        <f t="shared" si="95"/>
        <v>752</v>
      </c>
      <c r="E93" s="350">
        <f t="shared" si="20"/>
        <v>5478</v>
      </c>
      <c r="F93" s="105">
        <v>5330</v>
      </c>
      <c r="G93" s="139">
        <v>28</v>
      </c>
      <c r="H93" s="150">
        <v>649</v>
      </c>
      <c r="I93" s="105">
        <v>7</v>
      </c>
      <c r="J93" s="15">
        <v>0</v>
      </c>
      <c r="K93" s="17">
        <v>0</v>
      </c>
      <c r="L93" s="105">
        <v>3</v>
      </c>
      <c r="M93" s="15">
        <v>0</v>
      </c>
      <c r="N93" s="17">
        <v>0</v>
      </c>
      <c r="O93" s="105">
        <v>18</v>
      </c>
      <c r="P93" s="15">
        <v>0</v>
      </c>
      <c r="Q93" s="17">
        <v>0</v>
      </c>
      <c r="R93" s="105">
        <v>868</v>
      </c>
      <c r="S93" s="128">
        <v>1</v>
      </c>
      <c r="T93" s="138">
        <v>103</v>
      </c>
      <c r="U93" s="105">
        <v>1</v>
      </c>
      <c r="V93" s="15">
        <v>0</v>
      </c>
      <c r="W93" s="17">
        <v>0</v>
      </c>
      <c r="X93" s="105">
        <v>3</v>
      </c>
      <c r="Y93" s="15">
        <v>0</v>
      </c>
      <c r="Z93" s="17">
        <v>0</v>
      </c>
      <c r="AA93" s="105"/>
      <c r="AB93" s="444">
        <v>712</v>
      </c>
      <c r="AC93" s="139">
        <v>11</v>
      </c>
      <c r="AD93" s="150">
        <v>619</v>
      </c>
      <c r="AE93" s="444">
        <v>14</v>
      </c>
      <c r="AF93" s="135">
        <v>4</v>
      </c>
      <c r="AG93" s="471">
        <v>0</v>
      </c>
      <c r="AH93" s="55" t="s">
        <v>1219</v>
      </c>
      <c r="AI93" s="57" t="s">
        <v>1220</v>
      </c>
    </row>
    <row r="94" spans="1:35" ht="12.75">
      <c r="A94" s="97">
        <v>43925</v>
      </c>
      <c r="B94" s="222">
        <f t="shared" ref="B94:D94" si="96">SUM(F94,I94,L94,O94,R94,U94,X94)</f>
        <v>6537</v>
      </c>
      <c r="C94" s="223">
        <f t="shared" si="96"/>
        <v>31</v>
      </c>
      <c r="D94" s="224">
        <f t="shared" si="96"/>
        <v>828</v>
      </c>
      <c r="E94" s="350">
        <f t="shared" si="20"/>
        <v>5709</v>
      </c>
      <c r="F94" s="105">
        <v>5550</v>
      </c>
      <c r="G94" s="139">
        <v>30</v>
      </c>
      <c r="H94" s="150">
        <v>701</v>
      </c>
      <c r="I94" s="105">
        <v>12</v>
      </c>
      <c r="J94" s="15">
        <v>0</v>
      </c>
      <c r="K94" s="17">
        <v>0</v>
      </c>
      <c r="L94" s="105">
        <v>3</v>
      </c>
      <c r="M94" s="15">
        <v>0</v>
      </c>
      <c r="N94" s="17">
        <v>0</v>
      </c>
      <c r="O94" s="105">
        <v>18</v>
      </c>
      <c r="P94" s="15">
        <v>0</v>
      </c>
      <c r="Q94" s="17">
        <v>0</v>
      </c>
      <c r="R94" s="105">
        <v>950</v>
      </c>
      <c r="S94" s="128">
        <v>1</v>
      </c>
      <c r="T94" s="138">
        <v>127</v>
      </c>
      <c r="U94" s="105">
        <v>1</v>
      </c>
      <c r="V94" s="15">
        <v>0</v>
      </c>
      <c r="W94" s="17">
        <v>0</v>
      </c>
      <c r="X94" s="105">
        <v>3</v>
      </c>
      <c r="Y94" s="15">
        <v>0</v>
      </c>
      <c r="Z94" s="17">
        <v>0</v>
      </c>
      <c r="AA94" s="105"/>
      <c r="AB94" s="444">
        <v>712</v>
      </c>
      <c r="AC94" s="139">
        <v>11</v>
      </c>
      <c r="AD94" s="150">
        <v>619</v>
      </c>
      <c r="AE94" s="444">
        <v>14</v>
      </c>
      <c r="AF94" s="135">
        <v>4</v>
      </c>
      <c r="AG94" s="471">
        <v>0</v>
      </c>
      <c r="AH94" s="55"/>
      <c r="AI94" s="64"/>
    </row>
    <row r="95" spans="1:35" ht="12.75">
      <c r="A95" s="97">
        <v>43926</v>
      </c>
      <c r="B95" s="222">
        <f t="shared" ref="B95:D95" si="97">SUM(F95,I95,L95,O95,R95,U95,X95)</f>
        <v>6763</v>
      </c>
      <c r="C95" s="223">
        <f t="shared" si="97"/>
        <v>36</v>
      </c>
      <c r="D95" s="224">
        <f t="shared" si="97"/>
        <v>913</v>
      </c>
      <c r="E95" s="350">
        <f t="shared" si="20"/>
        <v>5850</v>
      </c>
      <c r="F95" s="105">
        <v>5687</v>
      </c>
      <c r="G95" s="139">
        <v>35</v>
      </c>
      <c r="H95" s="150">
        <v>757</v>
      </c>
      <c r="I95" s="105">
        <v>12</v>
      </c>
      <c r="J95" s="15">
        <v>0</v>
      </c>
      <c r="K95" s="17">
        <v>0</v>
      </c>
      <c r="L95" s="105">
        <v>3</v>
      </c>
      <c r="M95" s="15">
        <v>0</v>
      </c>
      <c r="N95" s="17">
        <v>0</v>
      </c>
      <c r="O95" s="105">
        <v>18</v>
      </c>
      <c r="P95" s="15">
        <v>0</v>
      </c>
      <c r="Q95" s="17">
        <v>0</v>
      </c>
      <c r="R95" s="105">
        <v>1039</v>
      </c>
      <c r="S95" s="128">
        <v>1</v>
      </c>
      <c r="T95" s="138">
        <v>156</v>
      </c>
      <c r="U95" s="105">
        <v>1</v>
      </c>
      <c r="V95" s="15">
        <v>0</v>
      </c>
      <c r="W95" s="17">
        <v>0</v>
      </c>
      <c r="X95" s="105">
        <v>3</v>
      </c>
      <c r="Y95" s="15">
        <v>0</v>
      </c>
      <c r="Z95" s="17">
        <v>0</v>
      </c>
      <c r="AA95" s="105"/>
      <c r="AB95" s="444">
        <v>712</v>
      </c>
      <c r="AC95" s="139">
        <v>11</v>
      </c>
      <c r="AD95" s="150">
        <v>619</v>
      </c>
      <c r="AE95" s="444">
        <v>14</v>
      </c>
      <c r="AF95" s="135">
        <v>4</v>
      </c>
      <c r="AG95" s="471">
        <v>0</v>
      </c>
      <c r="AH95" s="55"/>
      <c r="AI95" s="64"/>
    </row>
    <row r="96" spans="1:35" ht="12.75">
      <c r="A96" s="97">
        <v>43927</v>
      </c>
      <c r="B96" s="222">
        <f t="shared" ref="B96:D96" si="98">SUM(F96,I96,L96,O96,R96,U96,X96)</f>
        <v>6941</v>
      </c>
      <c r="C96" s="223">
        <f t="shared" si="98"/>
        <v>41</v>
      </c>
      <c r="D96" s="224">
        <f t="shared" si="98"/>
        <v>1256</v>
      </c>
      <c r="E96" s="350">
        <f t="shared" si="20"/>
        <v>5685</v>
      </c>
      <c r="F96" s="105">
        <v>5797</v>
      </c>
      <c r="G96" s="139">
        <v>40</v>
      </c>
      <c r="H96" s="150">
        <v>1080</v>
      </c>
      <c r="I96" s="105">
        <v>12</v>
      </c>
      <c r="J96" s="15">
        <v>0</v>
      </c>
      <c r="K96" s="17">
        <v>0</v>
      </c>
      <c r="L96" s="105">
        <v>3</v>
      </c>
      <c r="M96" s="15">
        <v>0</v>
      </c>
      <c r="N96" s="17">
        <v>0</v>
      </c>
      <c r="O96" s="105">
        <v>18</v>
      </c>
      <c r="P96" s="15">
        <v>0</v>
      </c>
      <c r="Q96" s="17">
        <v>0</v>
      </c>
      <c r="R96" s="105">
        <v>1106</v>
      </c>
      <c r="S96" s="128">
        <v>1</v>
      </c>
      <c r="T96" s="138">
        <v>176</v>
      </c>
      <c r="U96" s="105">
        <v>2</v>
      </c>
      <c r="V96" s="15">
        <v>0</v>
      </c>
      <c r="W96" s="17">
        <v>0</v>
      </c>
      <c r="X96" s="105">
        <v>3</v>
      </c>
      <c r="Y96" s="15">
        <v>0</v>
      </c>
      <c r="Z96" s="17">
        <v>0</v>
      </c>
      <c r="AA96" s="105"/>
      <c r="AB96" s="444">
        <v>712</v>
      </c>
      <c r="AC96" s="139">
        <v>11</v>
      </c>
      <c r="AD96" s="150">
        <v>619</v>
      </c>
      <c r="AE96" s="444">
        <v>14</v>
      </c>
      <c r="AF96" s="135">
        <v>4</v>
      </c>
      <c r="AG96" s="471">
        <v>0</v>
      </c>
      <c r="AH96" s="55"/>
      <c r="AI96" s="64"/>
    </row>
    <row r="97" spans="1:35" ht="12.75">
      <c r="A97" s="97">
        <v>43928</v>
      </c>
      <c r="B97" s="222">
        <f t="shared" ref="B97:D97" si="99">SUM(F97,I97,L97,O97,R97,U97,X97)</f>
        <v>7096</v>
      </c>
      <c r="C97" s="223">
        <f t="shared" si="99"/>
        <v>46</v>
      </c>
      <c r="D97" s="224">
        <f t="shared" si="99"/>
        <v>1321</v>
      </c>
      <c r="E97" s="350">
        <f t="shared" si="20"/>
        <v>5775</v>
      </c>
      <c r="F97" s="105">
        <v>5895</v>
      </c>
      <c r="G97" s="139">
        <v>45</v>
      </c>
      <c r="H97" s="150">
        <v>1080</v>
      </c>
      <c r="I97" s="105">
        <v>15</v>
      </c>
      <c r="J97" s="15">
        <v>0</v>
      </c>
      <c r="K97" s="17">
        <v>0</v>
      </c>
      <c r="L97" s="105">
        <v>3</v>
      </c>
      <c r="M97" s="15">
        <v>0</v>
      </c>
      <c r="N97" s="17">
        <v>0</v>
      </c>
      <c r="O97" s="105">
        <v>18</v>
      </c>
      <c r="P97" s="15">
        <v>0</v>
      </c>
      <c r="Q97" s="17">
        <v>0</v>
      </c>
      <c r="R97" s="105">
        <v>1160</v>
      </c>
      <c r="S97" s="128">
        <v>1</v>
      </c>
      <c r="T97" s="138">
        <v>241</v>
      </c>
      <c r="U97" s="105">
        <v>2</v>
      </c>
      <c r="V97" s="15">
        <v>0</v>
      </c>
      <c r="W97" s="17">
        <v>0</v>
      </c>
      <c r="X97" s="105">
        <v>3</v>
      </c>
      <c r="Y97" s="15">
        <v>0</v>
      </c>
      <c r="Z97" s="17">
        <v>0</v>
      </c>
      <c r="AA97" s="105"/>
      <c r="AB97" s="444">
        <v>712</v>
      </c>
      <c r="AC97" s="139">
        <v>11</v>
      </c>
      <c r="AD97" s="150">
        <v>619</v>
      </c>
      <c r="AE97" s="444">
        <v>14</v>
      </c>
      <c r="AF97" s="135">
        <v>4</v>
      </c>
      <c r="AG97" s="471">
        <v>0</v>
      </c>
      <c r="AH97" s="55"/>
      <c r="AI97" s="64"/>
    </row>
    <row r="98" spans="1:35" ht="12.75">
      <c r="A98" s="97">
        <v>43929</v>
      </c>
      <c r="B98" s="222">
        <f t="shared" ref="B98:D98" si="100">SUM(F98,I98,L98,O98,R98,U98,X98)</f>
        <v>7261</v>
      </c>
      <c r="C98" s="223">
        <f t="shared" si="100"/>
        <v>51</v>
      </c>
      <c r="D98" s="224">
        <f t="shared" si="100"/>
        <v>1362</v>
      </c>
      <c r="E98" s="350">
        <f t="shared" si="20"/>
        <v>5899</v>
      </c>
      <c r="F98" s="105">
        <v>6010</v>
      </c>
      <c r="G98" s="139">
        <v>50</v>
      </c>
      <c r="H98" s="150">
        <v>1080</v>
      </c>
      <c r="I98" s="105">
        <v>15</v>
      </c>
      <c r="J98" s="15">
        <v>0</v>
      </c>
      <c r="K98" s="17">
        <v>0</v>
      </c>
      <c r="L98" s="105">
        <v>3</v>
      </c>
      <c r="M98" s="15">
        <v>0</v>
      </c>
      <c r="N98" s="17">
        <v>0</v>
      </c>
      <c r="O98" s="105">
        <v>18</v>
      </c>
      <c r="P98" s="15">
        <v>0</v>
      </c>
      <c r="Q98" s="17">
        <v>0</v>
      </c>
      <c r="R98" s="105">
        <v>1210</v>
      </c>
      <c r="S98" s="128">
        <v>1</v>
      </c>
      <c r="T98" s="138">
        <v>282</v>
      </c>
      <c r="U98" s="105">
        <v>2</v>
      </c>
      <c r="V98" s="15">
        <v>0</v>
      </c>
      <c r="W98" s="17">
        <v>0</v>
      </c>
      <c r="X98" s="105">
        <v>3</v>
      </c>
      <c r="Y98" s="15">
        <v>0</v>
      </c>
      <c r="Z98" s="17">
        <v>0</v>
      </c>
      <c r="AA98" s="105"/>
      <c r="AB98" s="444">
        <v>712</v>
      </c>
      <c r="AC98" s="139">
        <v>11</v>
      </c>
      <c r="AD98" s="150">
        <v>619</v>
      </c>
      <c r="AE98" s="444">
        <v>14</v>
      </c>
      <c r="AF98" s="135">
        <v>4</v>
      </c>
      <c r="AG98" s="471">
        <v>0</v>
      </c>
      <c r="AH98" s="55"/>
      <c r="AI98" s="64"/>
    </row>
    <row r="99" spans="1:35" ht="12.75">
      <c r="A99" s="97">
        <v>43930</v>
      </c>
      <c r="B99" s="222">
        <f t="shared" ref="B99:D99" si="101">SUM(F99,I99,L99,O99,R99,U99,X99)</f>
        <v>7388</v>
      </c>
      <c r="C99" s="223">
        <f t="shared" si="101"/>
        <v>52</v>
      </c>
      <c r="D99" s="224">
        <f t="shared" si="101"/>
        <v>1789</v>
      </c>
      <c r="E99" s="350">
        <f t="shared" si="20"/>
        <v>5599</v>
      </c>
      <c r="F99" s="105">
        <v>6108</v>
      </c>
      <c r="G99" s="139">
        <v>51</v>
      </c>
      <c r="H99" s="150">
        <v>1472</v>
      </c>
      <c r="I99" s="105">
        <v>15</v>
      </c>
      <c r="J99" s="15">
        <v>0</v>
      </c>
      <c r="K99" s="17">
        <v>0</v>
      </c>
      <c r="L99" s="105">
        <v>3</v>
      </c>
      <c r="M99" s="15">
        <v>0</v>
      </c>
      <c r="N99" s="17">
        <v>0</v>
      </c>
      <c r="O99" s="105">
        <v>18</v>
      </c>
      <c r="P99" s="15">
        <v>0</v>
      </c>
      <c r="Q99" s="17">
        <v>0</v>
      </c>
      <c r="R99" s="105">
        <v>1239</v>
      </c>
      <c r="S99" s="128">
        <v>1</v>
      </c>
      <c r="T99" s="138">
        <v>317</v>
      </c>
      <c r="U99" s="105">
        <v>2</v>
      </c>
      <c r="V99" s="15">
        <v>0</v>
      </c>
      <c r="W99" s="17">
        <v>0</v>
      </c>
      <c r="X99" s="105">
        <v>3</v>
      </c>
      <c r="Y99" s="15">
        <v>0</v>
      </c>
      <c r="Z99" s="17">
        <v>0</v>
      </c>
      <c r="AA99" s="105"/>
      <c r="AB99" s="444">
        <v>712</v>
      </c>
      <c r="AC99" s="139">
        <v>11</v>
      </c>
      <c r="AD99" s="150">
        <v>619</v>
      </c>
      <c r="AE99" s="444">
        <v>14</v>
      </c>
      <c r="AF99" s="135">
        <v>4</v>
      </c>
      <c r="AG99" s="471">
        <v>0</v>
      </c>
      <c r="AH99" s="55"/>
      <c r="AI99" s="64"/>
    </row>
    <row r="100" spans="1:35" ht="12.75">
      <c r="A100" s="97">
        <v>43931</v>
      </c>
      <c r="B100" s="222">
        <f t="shared" ref="B100:D100" si="102">SUM(F100,I100,L100,O100,R100,U100,X100)</f>
        <v>7496</v>
      </c>
      <c r="C100" s="223">
        <f t="shared" si="102"/>
        <v>56</v>
      </c>
      <c r="D100" s="224">
        <f t="shared" si="102"/>
        <v>2166</v>
      </c>
      <c r="E100" s="350">
        <f t="shared" si="20"/>
        <v>5330</v>
      </c>
      <c r="F100" s="105">
        <v>6215</v>
      </c>
      <c r="G100" s="139">
        <v>54</v>
      </c>
      <c r="H100" s="150">
        <v>1793</v>
      </c>
      <c r="I100" s="105">
        <v>16</v>
      </c>
      <c r="J100" s="15">
        <v>0</v>
      </c>
      <c r="K100" s="17">
        <v>0</v>
      </c>
      <c r="L100" s="105">
        <v>3</v>
      </c>
      <c r="M100" s="15">
        <v>0</v>
      </c>
      <c r="N100" s="17">
        <v>0</v>
      </c>
      <c r="O100" s="105">
        <v>18</v>
      </c>
      <c r="P100" s="15">
        <v>0</v>
      </c>
      <c r="Q100" s="17">
        <v>0</v>
      </c>
      <c r="R100" s="105">
        <v>1239</v>
      </c>
      <c r="S100" s="128">
        <v>2</v>
      </c>
      <c r="T100" s="138">
        <v>373</v>
      </c>
      <c r="U100" s="105">
        <v>2</v>
      </c>
      <c r="V100" s="15">
        <v>0</v>
      </c>
      <c r="W100" s="17">
        <v>0</v>
      </c>
      <c r="X100" s="105">
        <v>3</v>
      </c>
      <c r="Y100" s="15">
        <v>0</v>
      </c>
      <c r="Z100" s="17">
        <v>0</v>
      </c>
      <c r="AA100" s="105"/>
      <c r="AB100" s="444">
        <v>712</v>
      </c>
      <c r="AC100" s="139">
        <v>11</v>
      </c>
      <c r="AD100" s="150">
        <v>619</v>
      </c>
      <c r="AE100" s="444">
        <v>14</v>
      </c>
      <c r="AF100" s="135">
        <v>4</v>
      </c>
      <c r="AG100" s="471">
        <v>0</v>
      </c>
      <c r="AH100" s="55"/>
      <c r="AI100" s="64"/>
    </row>
    <row r="101" spans="1:35" ht="12.75">
      <c r="A101" s="97">
        <v>43932</v>
      </c>
      <c r="B101" s="14">
        <f t="shared" ref="B101:D101" si="103">SUM(F101,I101,L101,O101,R101,U101,X101)</f>
        <v>7657</v>
      </c>
      <c r="C101" s="34">
        <f t="shared" si="103"/>
        <v>61</v>
      </c>
      <c r="D101" s="73">
        <f t="shared" si="103"/>
        <v>2228</v>
      </c>
      <c r="E101" s="350">
        <f t="shared" si="20"/>
        <v>5429</v>
      </c>
      <c r="F101" s="105">
        <v>6303</v>
      </c>
      <c r="G101" s="139">
        <v>57</v>
      </c>
      <c r="H101" s="150">
        <v>1806</v>
      </c>
      <c r="I101" s="105">
        <v>16</v>
      </c>
      <c r="J101" s="15">
        <v>0</v>
      </c>
      <c r="K101" s="17">
        <v>0</v>
      </c>
      <c r="L101" s="105">
        <v>3</v>
      </c>
      <c r="M101" s="15">
        <v>0</v>
      </c>
      <c r="N101" s="17">
        <v>0</v>
      </c>
      <c r="O101" s="105">
        <v>18</v>
      </c>
      <c r="P101" s="15">
        <v>0</v>
      </c>
      <c r="Q101" s="17">
        <v>0</v>
      </c>
      <c r="R101" s="105">
        <v>1312</v>
      </c>
      <c r="S101" s="128">
        <v>4</v>
      </c>
      <c r="T101" s="138">
        <v>422</v>
      </c>
      <c r="U101" s="105">
        <v>2</v>
      </c>
      <c r="V101" s="15">
        <v>0</v>
      </c>
      <c r="W101" s="17">
        <v>0</v>
      </c>
      <c r="X101" s="105">
        <v>3</v>
      </c>
      <c r="Y101" s="15">
        <v>0</v>
      </c>
      <c r="Z101" s="17">
        <v>0</v>
      </c>
      <c r="AA101" s="105"/>
      <c r="AB101" s="444">
        <v>712</v>
      </c>
      <c r="AC101" s="139">
        <v>11</v>
      </c>
      <c r="AD101" s="150">
        <v>619</v>
      </c>
      <c r="AE101" s="444">
        <v>14</v>
      </c>
      <c r="AF101" s="135">
        <v>4</v>
      </c>
      <c r="AG101" s="471">
        <v>0</v>
      </c>
      <c r="AH101" s="55"/>
      <c r="AI101" s="64"/>
    </row>
    <row r="102" spans="1:35" ht="12.75">
      <c r="A102" s="97">
        <v>43933</v>
      </c>
      <c r="B102" s="14">
        <f t="shared" ref="B102:D102" si="104">SUM(F102,I102,L102,O102,R102,U102,X102)</f>
        <v>7737</v>
      </c>
      <c r="C102" s="34">
        <f t="shared" si="104"/>
        <v>64</v>
      </c>
      <c r="D102" s="73">
        <f t="shared" si="104"/>
        <v>2277</v>
      </c>
      <c r="E102" s="350">
        <f t="shared" si="20"/>
        <v>5460</v>
      </c>
      <c r="F102" s="105">
        <v>6315</v>
      </c>
      <c r="G102" s="139">
        <v>60</v>
      </c>
      <c r="H102" s="150">
        <v>1806</v>
      </c>
      <c r="I102" s="105">
        <v>16</v>
      </c>
      <c r="J102" s="15">
        <v>0</v>
      </c>
      <c r="K102" s="17">
        <v>0</v>
      </c>
      <c r="L102" s="105">
        <v>3</v>
      </c>
      <c r="M102" s="15">
        <v>0</v>
      </c>
      <c r="N102" s="17">
        <v>0</v>
      </c>
      <c r="O102" s="105">
        <v>18</v>
      </c>
      <c r="P102" s="15">
        <v>0</v>
      </c>
      <c r="Q102" s="17">
        <v>0</v>
      </c>
      <c r="R102" s="105">
        <v>1330</v>
      </c>
      <c r="S102" s="128">
        <v>4</v>
      </c>
      <c r="T102" s="138">
        <v>471</v>
      </c>
      <c r="U102" s="105">
        <v>2</v>
      </c>
      <c r="V102" s="15">
        <v>0</v>
      </c>
      <c r="W102" s="17">
        <v>0</v>
      </c>
      <c r="X102" s="105">
        <v>53</v>
      </c>
      <c r="Y102" s="15">
        <v>0</v>
      </c>
      <c r="Z102" s="17">
        <v>0</v>
      </c>
      <c r="AA102" s="105"/>
      <c r="AB102" s="444">
        <v>712</v>
      </c>
      <c r="AC102" s="139">
        <v>11</v>
      </c>
      <c r="AD102" s="150">
        <v>619</v>
      </c>
      <c r="AE102" s="444">
        <v>14</v>
      </c>
      <c r="AF102" s="135">
        <v>4</v>
      </c>
      <c r="AG102" s="471">
        <v>0</v>
      </c>
      <c r="AH102" s="55"/>
      <c r="AI102" s="64"/>
    </row>
    <row r="103" spans="1:35" ht="12.75">
      <c r="A103" s="97">
        <v>43934</v>
      </c>
      <c r="B103" s="14">
        <f t="shared" ref="B103:D103" si="105">SUM(F103,I103,L103,O103,R103,U103,X103)</f>
        <v>7792</v>
      </c>
      <c r="C103" s="34">
        <f t="shared" si="105"/>
        <v>66</v>
      </c>
      <c r="D103" s="73">
        <f t="shared" si="105"/>
        <v>2352</v>
      </c>
      <c r="E103" s="350">
        <f t="shared" si="20"/>
        <v>5440</v>
      </c>
      <c r="F103" s="105">
        <v>6351</v>
      </c>
      <c r="G103" s="139">
        <v>61</v>
      </c>
      <c r="H103" s="150">
        <v>1806</v>
      </c>
      <c r="I103" s="105">
        <v>16</v>
      </c>
      <c r="J103" s="15">
        <v>0</v>
      </c>
      <c r="K103" s="17">
        <v>0</v>
      </c>
      <c r="L103" s="105">
        <v>3</v>
      </c>
      <c r="M103" s="15">
        <v>0</v>
      </c>
      <c r="N103" s="17">
        <v>0</v>
      </c>
      <c r="O103" s="105">
        <v>18</v>
      </c>
      <c r="P103" s="15">
        <v>0</v>
      </c>
      <c r="Q103" s="17">
        <v>0</v>
      </c>
      <c r="R103" s="105">
        <v>1349</v>
      </c>
      <c r="S103" s="128">
        <v>5</v>
      </c>
      <c r="T103" s="138">
        <v>546</v>
      </c>
      <c r="U103" s="105">
        <v>2</v>
      </c>
      <c r="V103" s="15">
        <v>0</v>
      </c>
      <c r="W103" s="17">
        <v>0</v>
      </c>
      <c r="X103" s="105">
        <v>53</v>
      </c>
      <c r="Y103" s="15">
        <v>0</v>
      </c>
      <c r="Z103" s="17">
        <v>0</v>
      </c>
      <c r="AA103" s="105"/>
      <c r="AB103" s="444">
        <v>712</v>
      </c>
      <c r="AC103" s="139">
        <v>11</v>
      </c>
      <c r="AD103" s="150">
        <v>619</v>
      </c>
      <c r="AE103" s="444">
        <v>14</v>
      </c>
      <c r="AF103" s="135">
        <v>4</v>
      </c>
      <c r="AG103" s="471">
        <v>0</v>
      </c>
      <c r="AH103" s="55"/>
      <c r="AI103" s="64"/>
    </row>
    <row r="104" spans="1:35" ht="12.75">
      <c r="A104" s="97">
        <v>43935</v>
      </c>
      <c r="B104" s="14">
        <f t="shared" ref="B104:D104" si="106">SUM(F104,I104,L104,O104,R104,U104,X104)</f>
        <v>7873</v>
      </c>
      <c r="C104" s="34">
        <f t="shared" si="106"/>
        <v>71</v>
      </c>
      <c r="D104" s="73">
        <f t="shared" si="106"/>
        <v>2814</v>
      </c>
      <c r="E104" s="350">
        <f t="shared" si="20"/>
        <v>5059</v>
      </c>
      <c r="F104" s="105">
        <v>6415</v>
      </c>
      <c r="G104" s="139">
        <v>62</v>
      </c>
      <c r="H104" s="150">
        <v>2186</v>
      </c>
      <c r="I104" s="105">
        <v>16</v>
      </c>
      <c r="J104" s="15">
        <v>0</v>
      </c>
      <c r="K104" s="17">
        <v>0</v>
      </c>
      <c r="L104" s="105">
        <v>3</v>
      </c>
      <c r="M104" s="15">
        <v>0</v>
      </c>
      <c r="N104" s="17">
        <v>0</v>
      </c>
      <c r="O104" s="105">
        <v>18</v>
      </c>
      <c r="P104" s="15">
        <v>0</v>
      </c>
      <c r="Q104" s="17">
        <v>0</v>
      </c>
      <c r="R104" s="105">
        <v>1366</v>
      </c>
      <c r="S104" s="128">
        <v>9</v>
      </c>
      <c r="T104" s="138">
        <v>628</v>
      </c>
      <c r="U104" s="105">
        <v>2</v>
      </c>
      <c r="V104" s="15">
        <v>0</v>
      </c>
      <c r="W104" s="17">
        <v>0</v>
      </c>
      <c r="X104" s="105">
        <v>53</v>
      </c>
      <c r="Y104" s="15">
        <v>0</v>
      </c>
      <c r="Z104" s="17">
        <v>0</v>
      </c>
      <c r="AA104" s="105"/>
      <c r="AB104" s="444">
        <v>712</v>
      </c>
      <c r="AC104" s="139">
        <v>12</v>
      </c>
      <c r="AD104" s="150">
        <v>639</v>
      </c>
      <c r="AE104" s="444">
        <v>14</v>
      </c>
      <c r="AF104" s="135">
        <v>4</v>
      </c>
      <c r="AG104" s="471">
        <v>0</v>
      </c>
      <c r="AH104" s="55"/>
      <c r="AI104" s="64"/>
    </row>
    <row r="105" spans="1:35" ht="12.75">
      <c r="A105" s="97">
        <v>43936</v>
      </c>
      <c r="B105" s="14">
        <f t="shared" ref="B105:D105" si="107">SUM(F105,I105,L105,O105,R105,U105,X105)</f>
        <v>7918</v>
      </c>
      <c r="C105" s="34">
        <f t="shared" si="107"/>
        <v>72</v>
      </c>
      <c r="D105" s="73">
        <f t="shared" si="107"/>
        <v>2914</v>
      </c>
      <c r="E105" s="350">
        <f t="shared" si="20"/>
        <v>5004</v>
      </c>
      <c r="F105" s="105">
        <v>6440</v>
      </c>
      <c r="G105" s="139">
        <v>63</v>
      </c>
      <c r="H105" s="150">
        <v>2186</v>
      </c>
      <c r="I105" s="105">
        <v>16</v>
      </c>
      <c r="J105" s="15">
        <v>0</v>
      </c>
      <c r="K105" s="17">
        <v>0</v>
      </c>
      <c r="L105" s="105">
        <v>3</v>
      </c>
      <c r="M105" s="15">
        <v>0</v>
      </c>
      <c r="N105" s="17">
        <v>0</v>
      </c>
      <c r="O105" s="105">
        <v>18</v>
      </c>
      <c r="P105" s="15">
        <v>0</v>
      </c>
      <c r="Q105" s="17">
        <v>0</v>
      </c>
      <c r="R105" s="105">
        <v>1386</v>
      </c>
      <c r="S105" s="128">
        <v>9</v>
      </c>
      <c r="T105" s="138">
        <v>728</v>
      </c>
      <c r="U105" s="105">
        <v>2</v>
      </c>
      <c r="V105" s="15">
        <v>0</v>
      </c>
      <c r="W105" s="17">
        <v>0</v>
      </c>
      <c r="X105" s="105">
        <v>53</v>
      </c>
      <c r="Y105" s="15">
        <v>0</v>
      </c>
      <c r="Z105" s="17">
        <v>0</v>
      </c>
      <c r="AA105" s="105"/>
      <c r="AB105" s="444">
        <v>712</v>
      </c>
      <c r="AC105" s="139">
        <v>12</v>
      </c>
      <c r="AD105" s="150">
        <v>639</v>
      </c>
      <c r="AE105" s="444">
        <v>14</v>
      </c>
      <c r="AF105" s="135">
        <v>4</v>
      </c>
      <c r="AG105" s="471">
        <v>0</v>
      </c>
      <c r="AH105" s="55"/>
      <c r="AI105" s="64"/>
    </row>
    <row r="106" spans="1:35" ht="12.75">
      <c r="A106" s="97">
        <v>43937</v>
      </c>
      <c r="B106" s="14">
        <f t="shared" ref="B106:D106" si="108">SUM(F106,I106,L106,O106,R106,U106,X106)</f>
        <v>7956</v>
      </c>
      <c r="C106" s="34">
        <f t="shared" si="108"/>
        <v>72</v>
      </c>
      <c r="D106" s="73">
        <f t="shared" si="108"/>
        <v>3125</v>
      </c>
      <c r="E106" s="350">
        <f t="shared" si="20"/>
        <v>4831</v>
      </c>
      <c r="F106" s="105">
        <v>6462</v>
      </c>
      <c r="G106" s="139">
        <v>63</v>
      </c>
      <c r="H106" s="150">
        <v>2355</v>
      </c>
      <c r="I106" s="105">
        <v>17</v>
      </c>
      <c r="J106" s="15">
        <v>0</v>
      </c>
      <c r="K106" s="17">
        <v>0</v>
      </c>
      <c r="L106" s="105">
        <v>3</v>
      </c>
      <c r="M106" s="15">
        <v>0</v>
      </c>
      <c r="N106" s="17">
        <v>0</v>
      </c>
      <c r="O106" s="105">
        <v>18</v>
      </c>
      <c r="P106" s="15">
        <v>0</v>
      </c>
      <c r="Q106" s="17">
        <v>0</v>
      </c>
      <c r="R106" s="105">
        <v>1401</v>
      </c>
      <c r="S106" s="128">
        <v>9</v>
      </c>
      <c r="T106" s="138">
        <v>770</v>
      </c>
      <c r="U106" s="105">
        <v>2</v>
      </c>
      <c r="V106" s="15">
        <v>0</v>
      </c>
      <c r="W106" s="17">
        <v>0</v>
      </c>
      <c r="X106" s="105">
        <v>53</v>
      </c>
      <c r="Y106" s="15">
        <v>0</v>
      </c>
      <c r="Z106" s="17">
        <v>0</v>
      </c>
      <c r="AA106" s="105"/>
      <c r="AB106" s="444">
        <v>712</v>
      </c>
      <c r="AC106" s="139">
        <v>12</v>
      </c>
      <c r="AD106" s="150">
        <v>644</v>
      </c>
      <c r="AE106" s="444">
        <v>14</v>
      </c>
      <c r="AF106" s="135">
        <v>4</v>
      </c>
      <c r="AG106" s="471">
        <v>0</v>
      </c>
      <c r="AH106" s="55"/>
      <c r="AI106" s="64"/>
    </row>
    <row r="107" spans="1:35" ht="12.75">
      <c r="A107" s="97">
        <v>43938</v>
      </c>
      <c r="B107" s="14">
        <f t="shared" ref="B107:D107" si="109">SUM(F107,I107,L107,O107,R107,U107,X107)</f>
        <v>8029</v>
      </c>
      <c r="C107" s="34">
        <f t="shared" si="109"/>
        <v>77</v>
      </c>
      <c r="D107" s="73">
        <f t="shared" si="109"/>
        <v>4619</v>
      </c>
      <c r="E107" s="350">
        <f t="shared" si="20"/>
        <v>3410</v>
      </c>
      <c r="F107" s="105">
        <v>6522</v>
      </c>
      <c r="G107" s="139">
        <v>66</v>
      </c>
      <c r="H107" s="150">
        <v>3803</v>
      </c>
      <c r="I107" s="105">
        <v>17</v>
      </c>
      <c r="J107" s="15">
        <v>0</v>
      </c>
      <c r="K107" s="17">
        <v>0</v>
      </c>
      <c r="L107" s="105">
        <v>3</v>
      </c>
      <c r="M107" s="15">
        <v>0</v>
      </c>
      <c r="N107" s="17">
        <v>0</v>
      </c>
      <c r="O107" s="105">
        <v>18</v>
      </c>
      <c r="P107" s="15">
        <v>0</v>
      </c>
      <c r="Q107" s="17">
        <v>0</v>
      </c>
      <c r="R107" s="105">
        <v>1409</v>
      </c>
      <c r="S107" s="128">
        <v>11</v>
      </c>
      <c r="T107" s="138">
        <v>816</v>
      </c>
      <c r="U107" s="105">
        <v>7</v>
      </c>
      <c r="V107" s="15">
        <v>0</v>
      </c>
      <c r="W107" s="17">
        <v>0</v>
      </c>
      <c r="X107" s="105">
        <v>53</v>
      </c>
      <c r="Y107" s="15">
        <v>0</v>
      </c>
      <c r="Z107" s="17">
        <v>0</v>
      </c>
      <c r="AA107" s="105"/>
      <c r="AB107" s="444">
        <v>712</v>
      </c>
      <c r="AC107" s="139">
        <v>13</v>
      </c>
      <c r="AD107" s="150">
        <v>644</v>
      </c>
      <c r="AE107" s="444">
        <v>14</v>
      </c>
      <c r="AF107" s="135">
        <v>4</v>
      </c>
      <c r="AG107" s="471">
        <v>0</v>
      </c>
      <c r="AH107" s="55"/>
      <c r="AI107" s="64"/>
    </row>
    <row r="108" spans="1:35" ht="12.75">
      <c r="A108" s="97">
        <v>43939</v>
      </c>
      <c r="B108" s="14">
        <f t="shared" ref="B108:D108" si="110">SUM(F108,I108,L108,O108,R108,U108,X108)</f>
        <v>8067</v>
      </c>
      <c r="C108" s="34">
        <f t="shared" si="110"/>
        <v>78</v>
      </c>
      <c r="D108" s="73">
        <f t="shared" si="110"/>
        <v>4991</v>
      </c>
      <c r="E108" s="350">
        <f t="shared" si="20"/>
        <v>3076</v>
      </c>
      <c r="F108" s="105">
        <v>6547</v>
      </c>
      <c r="G108" s="139">
        <v>67</v>
      </c>
      <c r="H108" s="150">
        <v>4124</v>
      </c>
      <c r="I108" s="105">
        <v>17</v>
      </c>
      <c r="J108" s="15">
        <v>0</v>
      </c>
      <c r="K108" s="17">
        <v>0</v>
      </c>
      <c r="L108" s="105">
        <v>3</v>
      </c>
      <c r="M108" s="15">
        <v>0</v>
      </c>
      <c r="N108" s="17">
        <v>0</v>
      </c>
      <c r="O108" s="105">
        <v>18</v>
      </c>
      <c r="P108" s="15">
        <v>0</v>
      </c>
      <c r="Q108" s="17">
        <v>0</v>
      </c>
      <c r="R108" s="105">
        <v>1422</v>
      </c>
      <c r="S108" s="128">
        <v>11</v>
      </c>
      <c r="T108" s="138">
        <v>867</v>
      </c>
      <c r="U108" s="105">
        <v>7</v>
      </c>
      <c r="V108" s="15">
        <v>0</v>
      </c>
      <c r="W108" s="17">
        <v>0</v>
      </c>
      <c r="X108" s="105">
        <v>53</v>
      </c>
      <c r="Y108" s="15">
        <v>0</v>
      </c>
      <c r="Z108" s="17">
        <v>0</v>
      </c>
      <c r="AA108" s="105"/>
      <c r="AB108" s="444">
        <v>712</v>
      </c>
      <c r="AC108" s="139">
        <v>13</v>
      </c>
      <c r="AD108" s="150">
        <v>644</v>
      </c>
      <c r="AE108" s="444">
        <v>14</v>
      </c>
      <c r="AF108" s="135">
        <v>4</v>
      </c>
      <c r="AG108" s="471">
        <v>0</v>
      </c>
      <c r="AH108" s="55"/>
      <c r="AI108" s="64"/>
    </row>
    <row r="109" spans="1:35" ht="12.75">
      <c r="A109" s="97">
        <v>43940</v>
      </c>
      <c r="B109" s="14">
        <f t="shared" ref="B109:D109" si="111">SUM(F109,I109,L109,O109,R109,U109,X109)</f>
        <v>8076</v>
      </c>
      <c r="C109" s="34">
        <f t="shared" si="111"/>
        <v>79</v>
      </c>
      <c r="D109" s="73">
        <f t="shared" si="111"/>
        <v>5036</v>
      </c>
      <c r="E109" s="350">
        <f t="shared" si="20"/>
        <v>3040</v>
      </c>
      <c r="F109" s="105">
        <v>6547</v>
      </c>
      <c r="G109" s="139">
        <v>67</v>
      </c>
      <c r="H109" s="150">
        <v>4124</v>
      </c>
      <c r="I109" s="105">
        <v>17</v>
      </c>
      <c r="J109" s="15">
        <v>0</v>
      </c>
      <c r="K109" s="17">
        <v>0</v>
      </c>
      <c r="L109" s="105">
        <v>3</v>
      </c>
      <c r="M109" s="15">
        <v>0</v>
      </c>
      <c r="N109" s="17">
        <v>0</v>
      </c>
      <c r="O109" s="105">
        <v>18</v>
      </c>
      <c r="P109" s="15">
        <v>0</v>
      </c>
      <c r="Q109" s="17">
        <v>0</v>
      </c>
      <c r="R109" s="105">
        <v>1431</v>
      </c>
      <c r="S109" s="128">
        <v>12</v>
      </c>
      <c r="T109" s="138">
        <v>912</v>
      </c>
      <c r="U109" s="105">
        <v>7</v>
      </c>
      <c r="V109" s="15">
        <v>0</v>
      </c>
      <c r="W109" s="17">
        <v>0</v>
      </c>
      <c r="X109" s="105">
        <v>53</v>
      </c>
      <c r="Y109" s="15">
        <v>0</v>
      </c>
      <c r="Z109" s="17">
        <v>0</v>
      </c>
      <c r="AA109" s="105"/>
      <c r="AB109" s="444">
        <v>712</v>
      </c>
      <c r="AC109" s="139">
        <v>13</v>
      </c>
      <c r="AD109" s="150">
        <v>644</v>
      </c>
      <c r="AE109" s="444">
        <v>14</v>
      </c>
      <c r="AF109" s="135">
        <v>4</v>
      </c>
      <c r="AG109" s="471">
        <v>0</v>
      </c>
      <c r="AH109" s="55"/>
      <c r="AI109" s="64"/>
    </row>
    <row r="110" spans="1:35" ht="12.75">
      <c r="A110" s="97">
        <v>43941</v>
      </c>
      <c r="B110" s="14">
        <f t="shared" ref="B110:D110" si="112">SUM(F110,I110,L110,O110,R110,U110,X110)</f>
        <v>8086</v>
      </c>
      <c r="C110" s="34">
        <f t="shared" si="112"/>
        <v>79</v>
      </c>
      <c r="D110" s="73">
        <f t="shared" si="112"/>
        <v>5101</v>
      </c>
      <c r="E110" s="350">
        <f t="shared" si="20"/>
        <v>2985</v>
      </c>
      <c r="F110" s="105">
        <v>6547</v>
      </c>
      <c r="G110" s="139">
        <v>67</v>
      </c>
      <c r="H110" s="150">
        <v>4124</v>
      </c>
      <c r="I110" s="105">
        <v>18</v>
      </c>
      <c r="J110" s="15">
        <v>0</v>
      </c>
      <c r="K110" s="138">
        <v>3</v>
      </c>
      <c r="L110" s="105">
        <v>3</v>
      </c>
      <c r="M110" s="15">
        <v>0</v>
      </c>
      <c r="N110" s="17">
        <v>0</v>
      </c>
      <c r="O110" s="105">
        <v>18</v>
      </c>
      <c r="P110" s="15">
        <v>0</v>
      </c>
      <c r="Q110" s="17">
        <v>0</v>
      </c>
      <c r="R110" s="105">
        <v>1440</v>
      </c>
      <c r="S110" s="128">
        <v>12</v>
      </c>
      <c r="T110" s="138">
        <v>974</v>
      </c>
      <c r="U110" s="105">
        <v>7</v>
      </c>
      <c r="V110" s="15">
        <v>0</v>
      </c>
      <c r="W110" s="17">
        <v>0</v>
      </c>
      <c r="X110" s="105">
        <v>53</v>
      </c>
      <c r="Y110" s="15">
        <v>0</v>
      </c>
      <c r="Z110" s="17">
        <v>0</v>
      </c>
      <c r="AA110" s="513"/>
      <c r="AB110" s="444">
        <v>712</v>
      </c>
      <c r="AC110" s="139">
        <v>13</v>
      </c>
      <c r="AD110" s="150">
        <v>644</v>
      </c>
      <c r="AE110" s="444">
        <v>14</v>
      </c>
      <c r="AF110" s="135">
        <v>4</v>
      </c>
      <c r="AG110" s="471">
        <v>0</v>
      </c>
      <c r="AH110" s="55"/>
      <c r="AI110" s="64"/>
    </row>
    <row r="111" spans="1:35" ht="7.5" customHeight="1">
      <c r="A111" s="177"/>
      <c r="B111" s="178"/>
      <c r="C111" s="178"/>
      <c r="D111" s="179"/>
      <c r="E111" s="180"/>
      <c r="F111" s="181"/>
      <c r="G111" s="181"/>
      <c r="H111" s="181"/>
      <c r="I111" s="181"/>
      <c r="J111" s="181"/>
      <c r="K111" s="437"/>
      <c r="L111" s="181"/>
      <c r="M111" s="181"/>
      <c r="N111" s="437"/>
      <c r="O111" s="181"/>
      <c r="P111" s="181"/>
      <c r="Q111" s="437"/>
      <c r="R111" s="181"/>
      <c r="S111" s="181"/>
      <c r="T111" s="437"/>
      <c r="U111" s="181"/>
      <c r="V111" s="181"/>
      <c r="W111" s="437"/>
      <c r="X111" s="181"/>
      <c r="Y111" s="181"/>
      <c r="Z111" s="437"/>
      <c r="AB111" s="514"/>
      <c r="AC111" s="181"/>
      <c r="AD111" s="437"/>
      <c r="AE111" s="514"/>
      <c r="AF111" s="181"/>
      <c r="AG111" s="437"/>
      <c r="AH111" s="438"/>
      <c r="AI111" s="515"/>
    </row>
    <row r="112" spans="1:35" ht="12.75">
      <c r="A112" s="516" t="s">
        <v>341</v>
      </c>
      <c r="B112" s="206" t="str">
        <f t="shared" ref="B112:Z112" ca="1" si="113">CONCATENATE("+",OFFSET(B112,-2,0,1,1)-OFFSET(B112,-3,0,1,1))</f>
        <v>+10</v>
      </c>
      <c r="C112" s="207" t="str">
        <f t="shared" ca="1" si="113"/>
        <v>+0</v>
      </c>
      <c r="D112" s="208" t="str">
        <f t="shared" ca="1" si="113"/>
        <v>+65</v>
      </c>
      <c r="E112" s="322" t="str">
        <f t="shared" ca="1" si="113"/>
        <v>+-55</v>
      </c>
      <c r="F112" s="206" t="str">
        <f t="shared" ca="1" si="113"/>
        <v>+0</v>
      </c>
      <c r="G112" s="207" t="str">
        <f t="shared" ca="1" si="113"/>
        <v>+0</v>
      </c>
      <c r="H112" s="213" t="str">
        <f t="shared" ca="1" si="113"/>
        <v>+0</v>
      </c>
      <c r="I112" s="206" t="str">
        <f t="shared" ca="1" si="113"/>
        <v>+1</v>
      </c>
      <c r="J112" s="207" t="str">
        <f t="shared" ca="1" si="113"/>
        <v>+0</v>
      </c>
      <c r="K112" s="213" t="str">
        <f t="shared" ca="1" si="113"/>
        <v>+3</v>
      </c>
      <c r="L112" s="206" t="str">
        <f t="shared" ca="1" si="113"/>
        <v>+0</v>
      </c>
      <c r="M112" s="207" t="str">
        <f t="shared" ca="1" si="113"/>
        <v>+0</v>
      </c>
      <c r="N112" s="213" t="str">
        <f t="shared" ca="1" si="113"/>
        <v>+0</v>
      </c>
      <c r="O112" s="206" t="str">
        <f t="shared" ca="1" si="113"/>
        <v>+0</v>
      </c>
      <c r="P112" s="207" t="str">
        <f t="shared" ca="1" si="113"/>
        <v>+0</v>
      </c>
      <c r="Q112" s="213" t="str">
        <f t="shared" ca="1" si="113"/>
        <v>+0</v>
      </c>
      <c r="R112" s="206" t="str">
        <f t="shared" ca="1" si="113"/>
        <v>+9</v>
      </c>
      <c r="S112" s="207" t="str">
        <f t="shared" ca="1" si="113"/>
        <v>+0</v>
      </c>
      <c r="T112" s="213" t="str">
        <f t="shared" ca="1" si="113"/>
        <v>+62</v>
      </c>
      <c r="U112" s="206" t="str">
        <f t="shared" ca="1" si="113"/>
        <v>+0</v>
      </c>
      <c r="V112" s="207" t="str">
        <f t="shared" ca="1" si="113"/>
        <v>+0</v>
      </c>
      <c r="W112" s="213" t="str">
        <f t="shared" ca="1" si="113"/>
        <v>+0</v>
      </c>
      <c r="X112" s="206" t="str">
        <f t="shared" ca="1" si="113"/>
        <v>+0</v>
      </c>
      <c r="Y112" s="207" t="str">
        <f t="shared" ca="1" si="113"/>
        <v>+0</v>
      </c>
      <c r="Z112" s="213" t="str">
        <f t="shared" ca="1" si="113"/>
        <v>+0</v>
      </c>
      <c r="AA112" s="517"/>
      <c r="AB112" s="206" t="str">
        <f t="shared" ref="AB112:AG112" ca="1" si="114">CONCATENATE("+",OFFSET(AB112,-2,0,1,1)-OFFSET(AB112,-3,0,1,1))</f>
        <v>+0</v>
      </c>
      <c r="AC112" s="207" t="str">
        <f t="shared" ca="1" si="114"/>
        <v>+0</v>
      </c>
      <c r="AD112" s="213" t="str">
        <f t="shared" ca="1" si="114"/>
        <v>+0</v>
      </c>
      <c r="AE112" s="206" t="str">
        <f t="shared" ca="1" si="114"/>
        <v>+0</v>
      </c>
      <c r="AF112" s="207" t="str">
        <f t="shared" ca="1" si="114"/>
        <v>+0</v>
      </c>
      <c r="AG112" s="213" t="str">
        <f t="shared" ca="1" si="114"/>
        <v>+0</v>
      </c>
      <c r="AI112" s="72"/>
    </row>
    <row r="113" spans="1:35" ht="12.75">
      <c r="A113" s="187" t="s">
        <v>395</v>
      </c>
      <c r="B113" s="578">
        <f ca="1">OFFSET(B113,-3,1,1,1)*100/OFFSET(B113,-3,0,1,1)</f>
        <v>0.97699727924808311</v>
      </c>
      <c r="C113" s="531"/>
      <c r="D113" s="531"/>
      <c r="E113" s="532"/>
      <c r="F113" s="578">
        <f ca="1">OFFSET(F113,-3,1,1,1)*100/OFFSET(F113,-3,0,1,1)</f>
        <v>1.0233694822055903</v>
      </c>
      <c r="G113" s="531"/>
      <c r="H113" s="532"/>
      <c r="R113" s="578">
        <f ca="1">OFFSET(R113,-3,1,1,1)*100/OFFSET(R113,-3,0,1,1)</f>
        <v>0.83333333333333337</v>
      </c>
      <c r="S113" s="531"/>
      <c r="T113" s="532"/>
      <c r="AB113" s="578">
        <f ca="1">OFFSET(AB113,-3,1,1,1)*100/OFFSET(AB113,-3,0,1,1)</f>
        <v>1.8258426966292134</v>
      </c>
      <c r="AC113" s="531"/>
      <c r="AD113" s="532"/>
      <c r="AE113" s="578">
        <f ca="1">OFFSET(AE113,-3,1,1,1)*100/OFFSET(AE113,-3,0,1,1)</f>
        <v>28.571428571428573</v>
      </c>
      <c r="AF113" s="531"/>
      <c r="AG113" s="532"/>
      <c r="AI113" s="72"/>
    </row>
    <row r="114" spans="1:35" ht="12.75">
      <c r="A114" s="576" t="s">
        <v>399</v>
      </c>
      <c r="B114" s="531"/>
      <c r="C114" s="531"/>
      <c r="D114" s="531"/>
      <c r="E114" s="531"/>
      <c r="F114" s="573">
        <f ca="1">OFFSET(F114,-4,0,1,1)*100/25819626</f>
        <v>2.5356680224570254E-2</v>
      </c>
      <c r="G114" s="574"/>
      <c r="H114" s="550"/>
      <c r="O114" s="565" t="s">
        <v>1233</v>
      </c>
      <c r="P114" s="531"/>
      <c r="Q114" s="531"/>
      <c r="AI114" s="72"/>
    </row>
    <row r="115" spans="1:35" ht="12.75">
      <c r="A115" s="576" t="s">
        <v>697</v>
      </c>
      <c r="B115" s="531"/>
      <c r="C115" s="531"/>
      <c r="D115" s="531"/>
      <c r="E115" s="531"/>
      <c r="F115" s="614" t="s">
        <v>1234</v>
      </c>
      <c r="G115" s="540"/>
      <c r="H115" s="542"/>
      <c r="AI115" s="72"/>
    </row>
    <row r="116" spans="1:35" ht="12.75">
      <c r="A116" s="576" t="s">
        <v>722</v>
      </c>
      <c r="B116" s="531"/>
      <c r="C116" s="531"/>
      <c r="D116" s="531"/>
      <c r="E116" s="531"/>
      <c r="F116" s="327">
        <f ca="1">F114*1000</f>
        <v>25.356680224570255</v>
      </c>
      <c r="G116" s="544" t="s">
        <v>431</v>
      </c>
      <c r="H116" s="532"/>
      <c r="AI116" s="72"/>
    </row>
    <row r="117" spans="1:35" ht="12.75">
      <c r="A117" s="1"/>
      <c r="S117" s="1"/>
      <c r="AI117" s="72"/>
    </row>
    <row r="118" spans="1:35" ht="12.75">
      <c r="A118" s="1" t="s">
        <v>1105</v>
      </c>
      <c r="E118" s="329">
        <f>COUNTA(F2:Z2)</f>
        <v>7</v>
      </c>
      <c r="S118" s="1"/>
      <c r="AI118" s="72"/>
    </row>
    <row r="119" spans="1:35" ht="12.75">
      <c r="AI119" s="72"/>
    </row>
    <row r="120" spans="1:35" ht="9" customHeight="1">
      <c r="A120" s="661" t="s">
        <v>351</v>
      </c>
      <c r="B120" s="536"/>
      <c r="C120" s="536"/>
      <c r="D120" s="536"/>
      <c r="E120" s="537"/>
      <c r="F120" s="555" t="s">
        <v>1235</v>
      </c>
      <c r="G120" s="536"/>
      <c r="H120" s="536"/>
      <c r="I120" s="536"/>
      <c r="J120" s="536"/>
      <c r="K120" s="536"/>
      <c r="L120" s="536"/>
      <c r="M120" s="536"/>
      <c r="N120" s="536"/>
      <c r="O120" s="536"/>
      <c r="P120" s="536"/>
      <c r="Q120" s="536"/>
      <c r="R120" s="536"/>
      <c r="S120" s="536"/>
      <c r="T120" s="536"/>
      <c r="U120" s="536"/>
      <c r="V120" s="536"/>
      <c r="W120" s="536"/>
      <c r="X120" s="536"/>
      <c r="Y120" s="536"/>
      <c r="Z120" s="536"/>
      <c r="AA120" s="536"/>
      <c r="AB120" s="536"/>
      <c r="AC120" s="536"/>
      <c r="AD120" s="536"/>
      <c r="AE120" s="536"/>
      <c r="AF120" s="536"/>
      <c r="AG120" s="536"/>
      <c r="AH120" s="537"/>
      <c r="AI120" s="72"/>
    </row>
    <row r="121" spans="1:35" ht="9" customHeight="1">
      <c r="A121" s="543"/>
      <c r="B121" s="531"/>
      <c r="C121" s="531"/>
      <c r="D121" s="531"/>
      <c r="E121" s="532"/>
      <c r="F121" s="543"/>
      <c r="G121" s="531"/>
      <c r="H121" s="531"/>
      <c r="I121" s="531"/>
      <c r="J121" s="531"/>
      <c r="K121" s="531"/>
      <c r="L121" s="531"/>
      <c r="M121" s="531"/>
      <c r="N121" s="531"/>
      <c r="O121" s="531"/>
      <c r="P121" s="531"/>
      <c r="Q121" s="531"/>
      <c r="R121" s="531"/>
      <c r="S121" s="531"/>
      <c r="T121" s="531"/>
      <c r="U121" s="531"/>
      <c r="V121" s="531"/>
      <c r="W121" s="531"/>
      <c r="X121" s="531"/>
      <c r="Y121" s="531"/>
      <c r="Z121" s="531"/>
      <c r="AA121" s="531"/>
      <c r="AB121" s="531"/>
      <c r="AC121" s="531"/>
      <c r="AD121" s="531"/>
      <c r="AE121" s="531"/>
      <c r="AF121" s="531"/>
      <c r="AG121" s="531"/>
      <c r="AH121" s="532"/>
      <c r="AI121" s="72"/>
    </row>
    <row r="122" spans="1:35" ht="12.75">
      <c r="A122" s="538" t="s">
        <v>13</v>
      </c>
      <c r="B122" s="531"/>
      <c r="C122" s="611" t="s">
        <v>15</v>
      </c>
      <c r="D122" s="531"/>
      <c r="E122" s="532"/>
      <c r="F122" s="543"/>
      <c r="G122" s="531"/>
      <c r="H122" s="531"/>
      <c r="I122" s="531"/>
      <c r="J122" s="531"/>
      <c r="K122" s="531"/>
      <c r="L122" s="531"/>
      <c r="M122" s="531"/>
      <c r="N122" s="531"/>
      <c r="O122" s="531"/>
      <c r="P122" s="531"/>
      <c r="Q122" s="531"/>
      <c r="R122" s="531"/>
      <c r="S122" s="531"/>
      <c r="T122" s="531"/>
      <c r="U122" s="531"/>
      <c r="V122" s="531"/>
      <c r="W122" s="531"/>
      <c r="X122" s="531"/>
      <c r="Y122" s="531"/>
      <c r="Z122" s="531"/>
      <c r="AA122" s="531"/>
      <c r="AB122" s="531"/>
      <c r="AC122" s="531"/>
      <c r="AD122" s="531"/>
      <c r="AE122" s="531"/>
      <c r="AF122" s="531"/>
      <c r="AG122" s="531"/>
      <c r="AH122" s="532"/>
      <c r="AI122" s="72"/>
    </row>
    <row r="123" spans="1:35" ht="8.25" customHeight="1">
      <c r="A123" s="543"/>
      <c r="B123" s="531"/>
      <c r="C123" s="531"/>
      <c r="D123" s="531"/>
      <c r="E123" s="532"/>
      <c r="F123" s="556"/>
      <c r="G123" s="531"/>
      <c r="H123" s="531"/>
      <c r="I123" s="531"/>
      <c r="J123" s="531"/>
      <c r="K123" s="531"/>
      <c r="L123" s="531"/>
      <c r="M123" s="531"/>
      <c r="N123" s="531"/>
      <c r="O123" s="531"/>
      <c r="P123" s="531"/>
      <c r="Q123" s="531"/>
      <c r="R123" s="531"/>
      <c r="S123" s="531"/>
      <c r="T123" s="531"/>
      <c r="U123" s="531"/>
      <c r="V123" s="531"/>
      <c r="W123" s="531"/>
      <c r="X123" s="531"/>
      <c r="Y123" s="531"/>
      <c r="Z123" s="531"/>
      <c r="AA123" s="531"/>
      <c r="AB123" s="531"/>
      <c r="AC123" s="531"/>
      <c r="AD123" s="531"/>
      <c r="AE123" s="531"/>
      <c r="AF123" s="531"/>
      <c r="AG123" s="531"/>
      <c r="AH123" s="532"/>
      <c r="AI123" s="72"/>
    </row>
    <row r="124" spans="1:35" ht="36.75" customHeight="1">
      <c r="A124" s="543"/>
      <c r="B124" s="531"/>
      <c r="C124" s="531"/>
      <c r="D124" s="531"/>
      <c r="E124" s="532"/>
      <c r="F124" s="556" t="s">
        <v>1236</v>
      </c>
      <c r="G124" s="531"/>
      <c r="H124" s="531"/>
      <c r="I124" s="531"/>
      <c r="J124" s="531"/>
      <c r="K124" s="531"/>
      <c r="L124" s="531"/>
      <c r="M124" s="531"/>
      <c r="N124" s="531"/>
      <c r="O124" s="531"/>
      <c r="P124" s="531"/>
      <c r="Q124" s="531"/>
      <c r="R124" s="531"/>
      <c r="S124" s="531"/>
      <c r="T124" s="531"/>
      <c r="U124" s="531"/>
      <c r="V124" s="531"/>
      <c r="W124" s="531"/>
      <c r="X124" s="531"/>
      <c r="Y124" s="531"/>
      <c r="Z124" s="531"/>
      <c r="AA124" s="531"/>
      <c r="AB124" s="531"/>
      <c r="AC124" s="531"/>
      <c r="AD124" s="531"/>
      <c r="AE124" s="531"/>
      <c r="AF124" s="531"/>
      <c r="AG124" s="531"/>
      <c r="AH124" s="532"/>
      <c r="AI124" s="72"/>
    </row>
    <row r="125" spans="1:35" ht="9" customHeight="1">
      <c r="A125" s="531"/>
      <c r="B125" s="531"/>
      <c r="C125" s="531"/>
      <c r="D125" s="531"/>
      <c r="E125" s="531"/>
      <c r="F125" s="543"/>
      <c r="G125" s="531"/>
      <c r="H125" s="531"/>
      <c r="I125" s="531"/>
      <c r="J125" s="531"/>
      <c r="K125" s="531"/>
      <c r="L125" s="531"/>
      <c r="M125" s="531"/>
      <c r="N125" s="531"/>
      <c r="O125" s="531"/>
      <c r="P125" s="531"/>
      <c r="Q125" s="531"/>
      <c r="R125" s="531"/>
      <c r="S125" s="531"/>
      <c r="T125" s="531"/>
      <c r="U125" s="531"/>
      <c r="V125" s="531"/>
      <c r="W125" s="531"/>
      <c r="X125" s="531"/>
      <c r="Y125" s="531"/>
      <c r="Z125" s="531"/>
      <c r="AA125" s="531"/>
      <c r="AB125" s="531"/>
      <c r="AC125" s="531"/>
      <c r="AD125" s="531"/>
      <c r="AE125" s="531"/>
      <c r="AF125" s="531"/>
      <c r="AG125" s="531"/>
      <c r="AH125" s="532"/>
      <c r="AI125" s="72"/>
    </row>
    <row r="126" spans="1:35" ht="10.5" customHeight="1">
      <c r="A126" s="659" t="s">
        <v>352</v>
      </c>
      <c r="B126" s="531"/>
      <c r="C126" s="623" t="s">
        <v>353</v>
      </c>
      <c r="D126" s="531"/>
      <c r="E126" s="532"/>
      <c r="F126" s="543"/>
      <c r="G126" s="531"/>
      <c r="H126" s="531"/>
      <c r="I126" s="531"/>
      <c r="J126" s="531"/>
      <c r="K126" s="531"/>
      <c r="L126" s="531"/>
      <c r="M126" s="531"/>
      <c r="N126" s="531"/>
      <c r="O126" s="531"/>
      <c r="P126" s="531"/>
      <c r="Q126" s="531"/>
      <c r="R126" s="531"/>
      <c r="S126" s="531"/>
      <c r="T126" s="531"/>
      <c r="U126" s="531"/>
      <c r="V126" s="531"/>
      <c r="W126" s="531"/>
      <c r="X126" s="531"/>
      <c r="Y126" s="531"/>
      <c r="Z126" s="531"/>
      <c r="AA126" s="531"/>
      <c r="AB126" s="531"/>
      <c r="AC126" s="531"/>
      <c r="AD126" s="531"/>
      <c r="AE126" s="531"/>
      <c r="AF126" s="531"/>
      <c r="AG126" s="531"/>
      <c r="AH126" s="532"/>
      <c r="AI126" s="72"/>
    </row>
    <row r="127" spans="1:35" ht="9" customHeight="1">
      <c r="A127" s="543"/>
      <c r="B127" s="531"/>
      <c r="C127" s="531"/>
      <c r="D127" s="531"/>
      <c r="E127" s="532"/>
      <c r="F127" s="192"/>
      <c r="G127" s="191"/>
      <c r="H127" s="191"/>
      <c r="I127" s="191"/>
      <c r="J127" s="191"/>
      <c r="K127" s="191"/>
      <c r="L127" s="191"/>
      <c r="M127" s="191"/>
      <c r="N127" s="191"/>
      <c r="O127" s="191"/>
      <c r="P127" s="191"/>
      <c r="Q127" s="191"/>
      <c r="R127" s="191"/>
      <c r="S127" s="191"/>
      <c r="T127" s="191"/>
      <c r="U127" s="191"/>
      <c r="V127" s="191"/>
      <c r="W127" s="191"/>
      <c r="X127" s="191"/>
      <c r="Y127" s="191"/>
      <c r="Z127" s="191"/>
      <c r="AA127" s="191"/>
      <c r="AB127" s="191"/>
      <c r="AC127" s="191"/>
      <c r="AD127" s="191"/>
      <c r="AE127" s="191"/>
      <c r="AF127" s="191"/>
      <c r="AG127" s="191"/>
      <c r="AH127" s="518"/>
      <c r="AI127" s="72"/>
    </row>
    <row r="128" spans="1:35" ht="40.5" customHeight="1">
      <c r="A128" s="543"/>
      <c r="B128" s="531"/>
      <c r="C128" s="531"/>
      <c r="D128" s="531"/>
      <c r="E128" s="532"/>
      <c r="F128" s="556" t="s">
        <v>1237</v>
      </c>
      <c r="G128" s="531"/>
      <c r="H128" s="531"/>
      <c r="I128" s="531"/>
      <c r="J128" s="531"/>
      <c r="K128" s="531"/>
      <c r="L128" s="531"/>
      <c r="M128" s="531"/>
      <c r="N128" s="531"/>
      <c r="O128" s="531"/>
      <c r="P128" s="531"/>
      <c r="Q128" s="531"/>
      <c r="R128" s="531"/>
      <c r="S128" s="531"/>
      <c r="T128" s="531"/>
      <c r="U128" s="531"/>
      <c r="V128" s="531"/>
      <c r="W128" s="531"/>
      <c r="X128" s="531"/>
      <c r="Y128" s="531"/>
      <c r="Z128" s="531"/>
      <c r="AA128" s="531"/>
      <c r="AB128" s="531"/>
      <c r="AC128" s="531"/>
      <c r="AD128" s="531"/>
      <c r="AE128" s="531"/>
      <c r="AF128" s="531"/>
      <c r="AG128" s="531"/>
      <c r="AH128" s="532"/>
      <c r="AI128" s="72"/>
    </row>
    <row r="129" spans="1:35" ht="7.5" customHeight="1">
      <c r="A129" s="538"/>
      <c r="B129" s="531"/>
      <c r="C129" s="531"/>
      <c r="D129" s="531"/>
      <c r="E129" s="532"/>
      <c r="F129" s="192"/>
      <c r="G129" s="191"/>
      <c r="H129" s="191"/>
      <c r="I129" s="191"/>
      <c r="J129" s="191"/>
      <c r="K129" s="191"/>
      <c r="L129" s="191"/>
      <c r="M129" s="191"/>
      <c r="N129" s="191"/>
      <c r="O129" s="191"/>
      <c r="P129" s="191"/>
      <c r="Q129" s="191"/>
      <c r="R129" s="191"/>
      <c r="S129" s="191"/>
      <c r="T129" s="191"/>
      <c r="U129" s="191"/>
      <c r="V129" s="191"/>
      <c r="W129" s="191"/>
      <c r="X129" s="191"/>
      <c r="Y129" s="191"/>
      <c r="Z129" s="191"/>
      <c r="AA129" s="191"/>
      <c r="AB129" s="191"/>
      <c r="AC129" s="191"/>
      <c r="AD129" s="191"/>
      <c r="AE129" s="191"/>
      <c r="AF129" s="191"/>
      <c r="AG129" s="191"/>
      <c r="AH129" s="518"/>
      <c r="AI129" s="72"/>
    </row>
    <row r="130" spans="1:35" ht="54" customHeight="1">
      <c r="A130" s="660" t="s">
        <v>356</v>
      </c>
      <c r="B130" s="540"/>
      <c r="C130" s="643" t="s">
        <v>357</v>
      </c>
      <c r="D130" s="540"/>
      <c r="E130" s="542"/>
      <c r="F130" s="644" t="s">
        <v>1238</v>
      </c>
      <c r="G130" s="540"/>
      <c r="H130" s="540"/>
      <c r="I130" s="540"/>
      <c r="J130" s="540"/>
      <c r="K130" s="540"/>
      <c r="L130" s="540"/>
      <c r="M130" s="540"/>
      <c r="N130" s="540"/>
      <c r="O130" s="540"/>
      <c r="P130" s="540"/>
      <c r="Q130" s="540"/>
      <c r="R130" s="540"/>
      <c r="S130" s="540"/>
      <c r="T130" s="540"/>
      <c r="U130" s="540"/>
      <c r="V130" s="540"/>
      <c r="W130" s="540"/>
      <c r="X130" s="540"/>
      <c r="Y130" s="540"/>
      <c r="Z130" s="540"/>
      <c r="AA130" s="540"/>
      <c r="AB130" s="540"/>
      <c r="AC130" s="540"/>
      <c r="AD130" s="540"/>
      <c r="AE130" s="540"/>
      <c r="AF130" s="540"/>
      <c r="AG130" s="540"/>
      <c r="AH130" s="542"/>
      <c r="AI130" s="72"/>
    </row>
    <row r="131" spans="1:35" ht="8.25" customHeight="1">
      <c r="A131" s="531"/>
      <c r="B131" s="531"/>
      <c r="C131" s="531"/>
      <c r="D131" s="531"/>
      <c r="E131" s="531"/>
      <c r="AI131" s="72"/>
    </row>
    <row r="132" spans="1:35" ht="12.75">
      <c r="A132" s="551"/>
      <c r="B132" s="531"/>
      <c r="C132" s="531"/>
      <c r="D132" s="531"/>
      <c r="E132" s="531"/>
      <c r="AI132" s="72"/>
    </row>
    <row r="133" spans="1:35" ht="12.75">
      <c r="A133" s="531"/>
      <c r="B133" s="531"/>
      <c r="C133" s="531"/>
      <c r="D133" s="531"/>
      <c r="E133" s="531"/>
      <c r="AI133" s="72"/>
    </row>
    <row r="134" spans="1:35" ht="12.75">
      <c r="A134" s="552" t="str">
        <f>HYPERLINK("https://creativecommons.org/licenses/by-sa/4.0/","Ce travail est réalisé à titre personnel. 
Il est mis à disposition selon les termes 
de la Licence Creative Common.
Attribution - Partage dans les mêmes conditions 4.0 International.")</f>
        <v>Ce travail est réalisé à titre personnel. 
Il est mis à disposition selon les termes 
de la Licence Creative Common.
Attribution - Partage dans les mêmes conditions 4.0 International.</v>
      </c>
      <c r="B134" s="531"/>
      <c r="C134" s="531"/>
      <c r="D134" s="531"/>
      <c r="E134" s="531"/>
    </row>
    <row r="143" spans="1:35" ht="12.75">
      <c r="AI143" s="72"/>
    </row>
    <row r="144" spans="1:35" ht="12.75">
      <c r="AI144" s="72"/>
    </row>
    <row r="145" spans="35:35" ht="12.75">
      <c r="AI145" s="72"/>
    </row>
    <row r="146" spans="35:35" ht="12.75">
      <c r="AI146" s="72"/>
    </row>
    <row r="147" spans="35:35" ht="12.75">
      <c r="AI147" s="72"/>
    </row>
    <row r="148" spans="35:35" ht="12.75">
      <c r="AI148" s="72"/>
    </row>
    <row r="149" spans="35:35" ht="12.75">
      <c r="AI149" s="72"/>
    </row>
    <row r="150" spans="35:35" ht="12.75">
      <c r="AI150" s="72"/>
    </row>
    <row r="151" spans="35:35" ht="12.75">
      <c r="AI151" s="72"/>
    </row>
    <row r="152" spans="35:35" ht="12.75">
      <c r="AI152" s="72"/>
    </row>
    <row r="153" spans="35:35" ht="12.75">
      <c r="AI153" s="72"/>
    </row>
    <row r="154" spans="35:35" ht="12.75">
      <c r="AI154" s="72"/>
    </row>
    <row r="155" spans="35:35" ht="12.75">
      <c r="AI155" s="72"/>
    </row>
    <row r="156" spans="35:35" ht="12.75">
      <c r="AI156" s="72"/>
    </row>
    <row r="157" spans="35:35" ht="12.75">
      <c r="AI157" s="72"/>
    </row>
    <row r="158" spans="35:35" ht="12.75">
      <c r="AI158" s="72"/>
    </row>
    <row r="159" spans="35:35" ht="12.75">
      <c r="AI159" s="72"/>
    </row>
    <row r="160" spans="35:35" ht="12.75">
      <c r="AI160" s="72"/>
    </row>
    <row r="161" spans="35:35" ht="12.75">
      <c r="AI161" s="72"/>
    </row>
    <row r="162" spans="35:35" ht="12.75">
      <c r="AI162" s="72"/>
    </row>
    <row r="163" spans="35:35" ht="12.75">
      <c r="AI163" s="72"/>
    </row>
    <row r="164" spans="35:35" ht="12.75">
      <c r="AI164" s="72"/>
    </row>
    <row r="165" spans="35:35" ht="12.75">
      <c r="AI165" s="72"/>
    </row>
    <row r="166" spans="35:35" ht="12.75">
      <c r="AI166" s="72"/>
    </row>
    <row r="167" spans="35:35" ht="12.75">
      <c r="AI167" s="72"/>
    </row>
    <row r="168" spans="35:35" ht="12.75">
      <c r="AI168" s="72"/>
    </row>
    <row r="169" spans="35:35" ht="12.75">
      <c r="AI169" s="72"/>
    </row>
    <row r="170" spans="35:35" ht="12.75">
      <c r="AI170" s="72"/>
    </row>
    <row r="171" spans="35:35" ht="12.75">
      <c r="AI171" s="72"/>
    </row>
    <row r="172" spans="35:35" ht="12.75">
      <c r="AI172" s="72"/>
    </row>
    <row r="173" spans="35:35" ht="12.75">
      <c r="AI173" s="72"/>
    </row>
    <row r="174" spans="35:35" ht="12.75">
      <c r="AI174" s="72"/>
    </row>
    <row r="175" spans="35:35" ht="12.75">
      <c r="AI175" s="72"/>
    </row>
    <row r="176" spans="35:35" ht="12.75">
      <c r="AI176" s="72"/>
    </row>
    <row r="177" spans="35:35" ht="12.75">
      <c r="AI177" s="72"/>
    </row>
    <row r="178" spans="35:35" ht="12.75">
      <c r="AI178" s="72"/>
    </row>
    <row r="179" spans="35:35" ht="12.75">
      <c r="AI179" s="72"/>
    </row>
    <row r="180" spans="35:35" ht="12.75">
      <c r="AI180" s="72"/>
    </row>
    <row r="181" spans="35:35" ht="12.75">
      <c r="AI181" s="72"/>
    </row>
    <row r="182" spans="35:35" ht="12.75">
      <c r="AI182" s="72"/>
    </row>
    <row r="183" spans="35:35" ht="12.75">
      <c r="AI183" s="72"/>
    </row>
    <row r="184" spans="35:35" ht="12.75">
      <c r="AI184" s="72"/>
    </row>
    <row r="185" spans="35:35" ht="12.75">
      <c r="AI185" s="72"/>
    </row>
    <row r="186" spans="35:35" ht="12.75">
      <c r="AI186" s="72"/>
    </row>
    <row r="187" spans="35:35" ht="12.75">
      <c r="AI187" s="72"/>
    </row>
    <row r="188" spans="35:35" ht="12.75">
      <c r="AI188" s="72"/>
    </row>
    <row r="189" spans="35:35" ht="12.75">
      <c r="AI189" s="72"/>
    </row>
    <row r="190" spans="35:35" ht="12.75">
      <c r="AI190" s="72"/>
    </row>
    <row r="191" spans="35:35" ht="12.75">
      <c r="AI191" s="72"/>
    </row>
    <row r="192" spans="35:35" ht="12.75">
      <c r="AI192" s="72"/>
    </row>
    <row r="193" spans="35:35" ht="12.75">
      <c r="AI193" s="72"/>
    </row>
    <row r="194" spans="35:35" ht="12.75">
      <c r="AI194" s="72"/>
    </row>
    <row r="195" spans="35:35" ht="12.75">
      <c r="AI195" s="72"/>
    </row>
    <row r="196" spans="35:35" ht="12.75">
      <c r="AI196" s="72"/>
    </row>
    <row r="197" spans="35:35" ht="12.75">
      <c r="AI197" s="72"/>
    </row>
    <row r="198" spans="35:35" ht="12.75">
      <c r="AI198" s="72"/>
    </row>
    <row r="199" spans="35:35" ht="12.75">
      <c r="AI199" s="72"/>
    </row>
    <row r="200" spans="35:35" ht="12.75">
      <c r="AI200" s="72"/>
    </row>
    <row r="201" spans="35:35" ht="12.75">
      <c r="AI201" s="72"/>
    </row>
    <row r="202" spans="35:35" ht="12.75">
      <c r="AI202" s="72"/>
    </row>
    <row r="203" spans="35:35" ht="12.75">
      <c r="AI203" s="72"/>
    </row>
    <row r="204" spans="35:35" ht="12.75">
      <c r="AI204" s="72"/>
    </row>
    <row r="205" spans="35:35" ht="12.75">
      <c r="AI205" s="72"/>
    </row>
    <row r="206" spans="35:35" ht="12.75">
      <c r="AI206" s="72"/>
    </row>
    <row r="207" spans="35:35" ht="12.75">
      <c r="AI207" s="72"/>
    </row>
    <row r="208" spans="35:35" ht="12.75">
      <c r="AI208" s="72"/>
    </row>
    <row r="209" spans="35:35" ht="12.75">
      <c r="AI209" s="72"/>
    </row>
    <row r="210" spans="35:35" ht="12.75">
      <c r="AI210" s="72"/>
    </row>
    <row r="211" spans="35:35" ht="12.75">
      <c r="AI211" s="72"/>
    </row>
    <row r="212" spans="35:35" ht="12.75">
      <c r="AI212" s="72"/>
    </row>
    <row r="213" spans="35:35" ht="12.75">
      <c r="AI213" s="72"/>
    </row>
    <row r="214" spans="35:35" ht="12.75">
      <c r="AI214" s="72"/>
    </row>
    <row r="215" spans="35:35" ht="12.75">
      <c r="AI215" s="72"/>
    </row>
    <row r="216" spans="35:35" ht="12.75">
      <c r="AI216" s="72"/>
    </row>
    <row r="217" spans="35:35" ht="12.75">
      <c r="AI217" s="72"/>
    </row>
    <row r="218" spans="35:35" ht="12.75">
      <c r="AI218" s="72"/>
    </row>
    <row r="219" spans="35:35" ht="12.75">
      <c r="AI219" s="72"/>
    </row>
    <row r="220" spans="35:35" ht="12.75">
      <c r="AI220" s="72"/>
    </row>
    <row r="221" spans="35:35" ht="12.75">
      <c r="AI221" s="72"/>
    </row>
    <row r="222" spans="35:35" ht="12.75">
      <c r="AI222" s="72"/>
    </row>
    <row r="223" spans="35:35" ht="12.75">
      <c r="AI223" s="72"/>
    </row>
    <row r="224" spans="35:35" ht="12.75">
      <c r="AI224" s="72"/>
    </row>
    <row r="225" spans="35:35" ht="12.75">
      <c r="AI225" s="72"/>
    </row>
    <row r="226" spans="35:35" ht="12.75">
      <c r="AI226" s="72"/>
    </row>
    <row r="227" spans="35:35" ht="12.75">
      <c r="AI227" s="72"/>
    </row>
    <row r="228" spans="35:35" ht="12.75">
      <c r="AI228" s="72"/>
    </row>
    <row r="229" spans="35:35" ht="12.75">
      <c r="AI229" s="72"/>
    </row>
    <row r="230" spans="35:35" ht="12.75">
      <c r="AI230" s="72"/>
    </row>
    <row r="231" spans="35:35" ht="12.75">
      <c r="AI231" s="72"/>
    </row>
    <row r="232" spans="35:35" ht="12.75">
      <c r="AI232" s="72"/>
    </row>
    <row r="233" spans="35:35" ht="12.75">
      <c r="AI233" s="72"/>
    </row>
    <row r="234" spans="35:35" ht="12.75">
      <c r="AI234" s="72"/>
    </row>
    <row r="235" spans="35:35" ht="12.75">
      <c r="AI235" s="72"/>
    </row>
    <row r="236" spans="35:35" ht="12.75">
      <c r="AI236" s="72"/>
    </row>
    <row r="237" spans="35:35" ht="12.75">
      <c r="AI237" s="72"/>
    </row>
    <row r="238" spans="35:35" ht="12.75">
      <c r="AI238" s="72"/>
    </row>
    <row r="239" spans="35:35" ht="12.75">
      <c r="AI239" s="72"/>
    </row>
    <row r="240" spans="35:35" ht="12.75">
      <c r="AI240" s="72"/>
    </row>
    <row r="241" spans="35:35" ht="12.75">
      <c r="AI241" s="72"/>
    </row>
    <row r="242" spans="35:35" ht="12.75">
      <c r="AI242" s="72"/>
    </row>
    <row r="243" spans="35:35" ht="12.75">
      <c r="AI243" s="72"/>
    </row>
    <row r="244" spans="35:35" ht="12.75">
      <c r="AI244" s="72"/>
    </row>
    <row r="245" spans="35:35" ht="12.75">
      <c r="AI245" s="72"/>
    </row>
    <row r="246" spans="35:35" ht="12.75">
      <c r="AI246" s="72"/>
    </row>
    <row r="247" spans="35:35" ht="12.75">
      <c r="AI247" s="72"/>
    </row>
    <row r="248" spans="35:35" ht="12.75">
      <c r="AI248" s="72"/>
    </row>
    <row r="249" spans="35:35" ht="12.75">
      <c r="AI249" s="72"/>
    </row>
    <row r="250" spans="35:35" ht="12.75">
      <c r="AI250" s="72"/>
    </row>
    <row r="251" spans="35:35" ht="12.75">
      <c r="AI251" s="72"/>
    </row>
    <row r="252" spans="35:35" ht="12.75">
      <c r="AI252" s="72"/>
    </row>
    <row r="253" spans="35:35" ht="12.75">
      <c r="AI253" s="72"/>
    </row>
    <row r="254" spans="35:35" ht="12.75">
      <c r="AI254" s="72"/>
    </row>
    <row r="255" spans="35:35" ht="12.75">
      <c r="AI255" s="72"/>
    </row>
    <row r="256" spans="35:35" ht="12.75">
      <c r="AI256" s="72"/>
    </row>
    <row r="257" spans="35:35" ht="12.75">
      <c r="AI257" s="72"/>
    </row>
    <row r="258" spans="35:35" ht="12.75">
      <c r="AI258" s="72"/>
    </row>
    <row r="259" spans="35:35" ht="12.75">
      <c r="AI259" s="72"/>
    </row>
    <row r="260" spans="35:35" ht="12.75">
      <c r="AI260" s="72"/>
    </row>
    <row r="261" spans="35:35" ht="12.75">
      <c r="AI261" s="72"/>
    </row>
    <row r="262" spans="35:35" ht="12.75">
      <c r="AI262" s="72"/>
    </row>
    <row r="263" spans="35:35" ht="12.75">
      <c r="AI263" s="72"/>
    </row>
    <row r="264" spans="35:35" ht="12.75">
      <c r="AI264" s="72"/>
    </row>
    <row r="265" spans="35:35" ht="12.75">
      <c r="AI265" s="72"/>
    </row>
    <row r="266" spans="35:35" ht="12.75">
      <c r="AI266" s="72"/>
    </row>
    <row r="267" spans="35:35" ht="12.75">
      <c r="AI267" s="72"/>
    </row>
    <row r="268" spans="35:35" ht="12.75">
      <c r="AI268" s="72"/>
    </row>
    <row r="269" spans="35:35" ht="12.75">
      <c r="AI269" s="72"/>
    </row>
    <row r="270" spans="35:35" ht="12.75">
      <c r="AI270" s="72"/>
    </row>
    <row r="271" spans="35:35" ht="12.75">
      <c r="AI271" s="72"/>
    </row>
    <row r="272" spans="35:35" ht="12.75">
      <c r="AI272" s="72"/>
    </row>
    <row r="273" spans="35:35" ht="12.75">
      <c r="AI273" s="72"/>
    </row>
    <row r="274" spans="35:35" ht="12.75">
      <c r="AI274" s="72"/>
    </row>
    <row r="275" spans="35:35" ht="12.75">
      <c r="AI275" s="72"/>
    </row>
    <row r="276" spans="35:35" ht="12.75">
      <c r="AI276" s="72"/>
    </row>
    <row r="277" spans="35:35" ht="12.75">
      <c r="AI277" s="72"/>
    </row>
    <row r="278" spans="35:35" ht="12.75">
      <c r="AI278" s="72"/>
    </row>
    <row r="279" spans="35:35" ht="12.75">
      <c r="AI279" s="72"/>
    </row>
    <row r="280" spans="35:35" ht="12.75">
      <c r="AI280" s="72"/>
    </row>
    <row r="281" spans="35:35" ht="12.75">
      <c r="AI281" s="72"/>
    </row>
    <row r="282" spans="35:35" ht="12.75">
      <c r="AI282" s="72"/>
    </row>
    <row r="283" spans="35:35" ht="12.75">
      <c r="AI283" s="72"/>
    </row>
    <row r="284" spans="35:35" ht="12.75">
      <c r="AI284" s="72"/>
    </row>
    <row r="285" spans="35:35" ht="12.75">
      <c r="AI285" s="72"/>
    </row>
    <row r="286" spans="35:35" ht="12.75">
      <c r="AI286" s="72"/>
    </row>
    <row r="287" spans="35:35" ht="12.75">
      <c r="AI287" s="72"/>
    </row>
    <row r="288" spans="35:35" ht="12.75">
      <c r="AI288" s="72"/>
    </row>
    <row r="289" spans="35:35" ht="12.75">
      <c r="AI289" s="72"/>
    </row>
    <row r="290" spans="35:35" ht="12.75">
      <c r="AI290" s="72"/>
    </row>
    <row r="291" spans="35:35" ht="12.75">
      <c r="AI291" s="72"/>
    </row>
    <row r="292" spans="35:35" ht="12.75">
      <c r="AI292" s="72"/>
    </row>
    <row r="293" spans="35:35" ht="12.75">
      <c r="AI293" s="72"/>
    </row>
    <row r="294" spans="35:35" ht="12.75">
      <c r="AI294" s="72"/>
    </row>
    <row r="295" spans="35:35" ht="12.75">
      <c r="AI295" s="72"/>
    </row>
    <row r="296" spans="35:35" ht="12.75">
      <c r="AI296" s="72"/>
    </row>
    <row r="297" spans="35:35" ht="12.75">
      <c r="AI297" s="72"/>
    </row>
    <row r="298" spans="35:35" ht="12.75">
      <c r="AI298" s="72"/>
    </row>
    <row r="299" spans="35:35" ht="12.75">
      <c r="AI299" s="72"/>
    </row>
    <row r="300" spans="35:35" ht="12.75">
      <c r="AI300" s="72"/>
    </row>
    <row r="301" spans="35:35" ht="12.75">
      <c r="AI301" s="72"/>
    </row>
    <row r="302" spans="35:35" ht="12.75">
      <c r="AI302" s="72"/>
    </row>
    <row r="303" spans="35:35" ht="12.75">
      <c r="AI303" s="72"/>
    </row>
    <row r="304" spans="35:35" ht="12.75">
      <c r="AI304" s="72"/>
    </row>
    <row r="305" spans="35:35" ht="12.75">
      <c r="AI305" s="72"/>
    </row>
    <row r="306" spans="35:35" ht="12.75">
      <c r="AI306" s="72"/>
    </row>
    <row r="307" spans="35:35" ht="12.75">
      <c r="AI307" s="72"/>
    </row>
    <row r="308" spans="35:35" ht="12.75">
      <c r="AI308" s="72"/>
    </row>
    <row r="309" spans="35:35" ht="12.75">
      <c r="AI309" s="72"/>
    </row>
    <row r="310" spans="35:35" ht="12.75">
      <c r="AI310" s="72"/>
    </row>
    <row r="311" spans="35:35" ht="12.75">
      <c r="AI311" s="72"/>
    </row>
    <row r="312" spans="35:35" ht="12.75">
      <c r="AI312" s="72"/>
    </row>
    <row r="313" spans="35:35" ht="12.75">
      <c r="AI313" s="72"/>
    </row>
    <row r="314" spans="35:35" ht="12.75">
      <c r="AI314" s="72"/>
    </row>
    <row r="315" spans="35:35" ht="12.75">
      <c r="AI315" s="72"/>
    </row>
    <row r="316" spans="35:35" ht="12.75">
      <c r="AI316" s="72"/>
    </row>
    <row r="317" spans="35:35" ht="12.75">
      <c r="AI317" s="72"/>
    </row>
    <row r="318" spans="35:35" ht="12.75">
      <c r="AI318" s="72"/>
    </row>
    <row r="319" spans="35:35" ht="12.75">
      <c r="AI319" s="72"/>
    </row>
    <row r="320" spans="35:35" ht="12.75">
      <c r="AI320" s="72"/>
    </row>
    <row r="321" spans="35:35" ht="12.75">
      <c r="AI321" s="72"/>
    </row>
    <row r="322" spans="35:35" ht="12.75">
      <c r="AI322" s="72"/>
    </row>
    <row r="323" spans="35:35" ht="12.75">
      <c r="AI323" s="72"/>
    </row>
    <row r="324" spans="35:35" ht="12.75">
      <c r="AI324" s="72"/>
    </row>
    <row r="325" spans="35:35" ht="12.75">
      <c r="AI325" s="72"/>
    </row>
    <row r="326" spans="35:35" ht="12.75">
      <c r="AI326" s="72"/>
    </row>
    <row r="327" spans="35:35" ht="12.75">
      <c r="AI327" s="72"/>
    </row>
    <row r="328" spans="35:35" ht="12.75">
      <c r="AI328" s="72"/>
    </row>
    <row r="329" spans="35:35" ht="12.75">
      <c r="AI329" s="72"/>
    </row>
    <row r="330" spans="35:35" ht="12.75">
      <c r="AI330" s="72"/>
    </row>
    <row r="331" spans="35:35" ht="12.75">
      <c r="AI331" s="72"/>
    </row>
    <row r="332" spans="35:35" ht="12.75">
      <c r="AI332" s="72"/>
    </row>
    <row r="333" spans="35:35" ht="12.75">
      <c r="AI333" s="72"/>
    </row>
    <row r="334" spans="35:35" ht="12.75">
      <c r="AI334" s="72"/>
    </row>
    <row r="335" spans="35:35" ht="12.75">
      <c r="AI335" s="72"/>
    </row>
    <row r="336" spans="35:35" ht="12.75">
      <c r="AI336" s="72"/>
    </row>
    <row r="337" spans="35:35" ht="12.75">
      <c r="AI337" s="72"/>
    </row>
    <row r="338" spans="35:35" ht="12.75">
      <c r="AI338" s="72"/>
    </row>
    <row r="339" spans="35:35" ht="12.75">
      <c r="AI339" s="72"/>
    </row>
    <row r="340" spans="35:35" ht="12.75">
      <c r="AI340" s="72"/>
    </row>
    <row r="341" spans="35:35" ht="12.75">
      <c r="AI341" s="72"/>
    </row>
    <row r="342" spans="35:35" ht="12.75">
      <c r="AI342" s="72"/>
    </row>
    <row r="343" spans="35:35" ht="12.75">
      <c r="AI343" s="72"/>
    </row>
    <row r="344" spans="35:35" ht="12.75">
      <c r="AI344" s="72"/>
    </row>
    <row r="345" spans="35:35" ht="12.75">
      <c r="AI345" s="72"/>
    </row>
    <row r="346" spans="35:35" ht="12.75">
      <c r="AI346" s="72"/>
    </row>
    <row r="347" spans="35:35" ht="12.75">
      <c r="AI347" s="72"/>
    </row>
    <row r="348" spans="35:35" ht="12.75">
      <c r="AI348" s="72"/>
    </row>
    <row r="349" spans="35:35" ht="12.75">
      <c r="AI349" s="72"/>
    </row>
    <row r="350" spans="35:35" ht="12.75">
      <c r="AI350" s="72"/>
    </row>
    <row r="351" spans="35:35" ht="12.75">
      <c r="AI351" s="72"/>
    </row>
    <row r="352" spans="35:35" ht="12.75">
      <c r="AI352" s="72"/>
    </row>
    <row r="353" spans="35:35" ht="12.75">
      <c r="AI353" s="72"/>
    </row>
    <row r="354" spans="35:35" ht="12.75">
      <c r="AI354" s="72"/>
    </row>
    <row r="355" spans="35:35" ht="12.75">
      <c r="AI355" s="72"/>
    </row>
    <row r="356" spans="35:35" ht="12.75">
      <c r="AI356" s="72"/>
    </row>
    <row r="357" spans="35:35" ht="12.75">
      <c r="AI357" s="72"/>
    </row>
    <row r="358" spans="35:35" ht="12.75">
      <c r="AI358" s="72"/>
    </row>
    <row r="359" spans="35:35" ht="12.75">
      <c r="AI359" s="72"/>
    </row>
    <row r="360" spans="35:35" ht="12.75">
      <c r="AI360" s="72"/>
    </row>
    <row r="361" spans="35:35" ht="12.75">
      <c r="AI361" s="72"/>
    </row>
    <row r="362" spans="35:35" ht="12.75">
      <c r="AI362" s="72"/>
    </row>
    <row r="363" spans="35:35" ht="12.75">
      <c r="AI363" s="72"/>
    </row>
    <row r="364" spans="35:35" ht="12.75">
      <c r="AI364" s="72"/>
    </row>
    <row r="365" spans="35:35" ht="12.75">
      <c r="AI365" s="72"/>
    </row>
    <row r="366" spans="35:35" ht="12.75">
      <c r="AI366" s="72"/>
    </row>
    <row r="367" spans="35:35" ht="12.75">
      <c r="AI367" s="72"/>
    </row>
    <row r="368" spans="35:35" ht="12.75">
      <c r="AI368" s="72"/>
    </row>
    <row r="369" spans="35:35" ht="12.75">
      <c r="AI369" s="72"/>
    </row>
    <row r="370" spans="35:35" ht="12.75">
      <c r="AI370" s="72"/>
    </row>
    <row r="371" spans="35:35" ht="12.75">
      <c r="AI371" s="72"/>
    </row>
    <row r="372" spans="35:35" ht="12.75">
      <c r="AI372" s="72"/>
    </row>
    <row r="373" spans="35:35" ht="12.75">
      <c r="AI373" s="72"/>
    </row>
    <row r="374" spans="35:35" ht="12.75">
      <c r="AI374" s="72"/>
    </row>
    <row r="375" spans="35:35" ht="12.75">
      <c r="AI375" s="72"/>
    </row>
    <row r="376" spans="35:35" ht="12.75">
      <c r="AI376" s="72"/>
    </row>
    <row r="377" spans="35:35" ht="12.75">
      <c r="AI377" s="72"/>
    </row>
    <row r="378" spans="35:35" ht="12.75">
      <c r="AI378" s="72"/>
    </row>
    <row r="379" spans="35:35" ht="12.75">
      <c r="AI379" s="72"/>
    </row>
    <row r="380" spans="35:35" ht="12.75">
      <c r="AI380" s="72"/>
    </row>
    <row r="381" spans="35:35" ht="12.75">
      <c r="AI381" s="72"/>
    </row>
    <row r="382" spans="35:35" ht="12.75">
      <c r="AI382" s="72"/>
    </row>
    <row r="383" spans="35:35" ht="12.75">
      <c r="AI383" s="72"/>
    </row>
    <row r="384" spans="35:35" ht="12.75">
      <c r="AI384" s="72"/>
    </row>
    <row r="385" spans="35:35" ht="12.75">
      <c r="AI385" s="72"/>
    </row>
    <row r="386" spans="35:35" ht="12.75">
      <c r="AI386" s="72"/>
    </row>
    <row r="387" spans="35:35" ht="12.75">
      <c r="AI387" s="72"/>
    </row>
    <row r="388" spans="35:35" ht="12.75">
      <c r="AI388" s="72"/>
    </row>
    <row r="389" spans="35:35" ht="12.75">
      <c r="AI389" s="72"/>
    </row>
    <row r="390" spans="35:35" ht="12.75">
      <c r="AI390" s="72"/>
    </row>
    <row r="391" spans="35:35" ht="12.75">
      <c r="AI391" s="72"/>
    </row>
    <row r="392" spans="35:35" ht="12.75">
      <c r="AI392" s="72"/>
    </row>
    <row r="393" spans="35:35" ht="12.75">
      <c r="AI393" s="72"/>
    </row>
    <row r="394" spans="35:35" ht="12.75">
      <c r="AI394" s="72"/>
    </row>
    <row r="395" spans="35:35" ht="12.75">
      <c r="AI395" s="72"/>
    </row>
    <row r="396" spans="35:35" ht="12.75">
      <c r="AI396" s="72"/>
    </row>
    <row r="397" spans="35:35" ht="12.75">
      <c r="AI397" s="72"/>
    </row>
    <row r="398" spans="35:35" ht="12.75">
      <c r="AI398" s="72"/>
    </row>
    <row r="399" spans="35:35" ht="12.75">
      <c r="AI399" s="72"/>
    </row>
    <row r="400" spans="35:35" ht="12.75">
      <c r="AI400" s="72"/>
    </row>
    <row r="401" spans="35:35" ht="12.75">
      <c r="AI401" s="72"/>
    </row>
    <row r="402" spans="35:35" ht="12.75">
      <c r="AI402" s="72"/>
    </row>
    <row r="403" spans="35:35" ht="12.75">
      <c r="AI403" s="72"/>
    </row>
    <row r="404" spans="35:35" ht="12.75">
      <c r="AI404" s="72"/>
    </row>
    <row r="405" spans="35:35" ht="12.75">
      <c r="AI405" s="72"/>
    </row>
    <row r="406" spans="35:35" ht="12.75">
      <c r="AI406" s="72"/>
    </row>
    <row r="407" spans="35:35" ht="12.75">
      <c r="AI407" s="72"/>
    </row>
    <row r="408" spans="35:35" ht="12.75">
      <c r="AI408" s="72"/>
    </row>
    <row r="409" spans="35:35" ht="12.75">
      <c r="AI409" s="72"/>
    </row>
    <row r="410" spans="35:35" ht="12.75">
      <c r="AI410" s="72"/>
    </row>
    <row r="411" spans="35:35" ht="12.75">
      <c r="AI411" s="72"/>
    </row>
    <row r="412" spans="35:35" ht="12.75">
      <c r="AI412" s="72"/>
    </row>
    <row r="413" spans="35:35" ht="12.75">
      <c r="AI413" s="72"/>
    </row>
    <row r="414" spans="35:35" ht="12.75">
      <c r="AI414" s="72"/>
    </row>
    <row r="415" spans="35:35" ht="12.75">
      <c r="AI415" s="72"/>
    </row>
    <row r="416" spans="35:35" ht="12.75">
      <c r="AI416" s="72"/>
    </row>
    <row r="417" spans="35:35" ht="12.75">
      <c r="AI417" s="72"/>
    </row>
    <row r="418" spans="35:35" ht="12.75">
      <c r="AI418" s="72"/>
    </row>
    <row r="419" spans="35:35" ht="12.75">
      <c r="AI419" s="72"/>
    </row>
    <row r="420" spans="35:35" ht="12.75">
      <c r="AI420" s="72"/>
    </row>
    <row r="421" spans="35:35" ht="12.75">
      <c r="AI421" s="72"/>
    </row>
    <row r="422" spans="35:35" ht="12.75">
      <c r="AI422" s="72"/>
    </row>
    <row r="423" spans="35:35" ht="12.75">
      <c r="AI423" s="72"/>
    </row>
    <row r="424" spans="35:35" ht="12.75">
      <c r="AI424" s="72"/>
    </row>
    <row r="425" spans="35:35" ht="12.75">
      <c r="AI425" s="72"/>
    </row>
    <row r="426" spans="35:35" ht="12.75">
      <c r="AI426" s="72"/>
    </row>
    <row r="427" spans="35:35" ht="12.75">
      <c r="AI427" s="72"/>
    </row>
    <row r="428" spans="35:35" ht="12.75">
      <c r="AI428" s="72"/>
    </row>
    <row r="429" spans="35:35" ht="12.75">
      <c r="AI429" s="72"/>
    </row>
    <row r="430" spans="35:35" ht="12.75">
      <c r="AI430" s="72"/>
    </row>
    <row r="431" spans="35:35" ht="12.75">
      <c r="AI431" s="72"/>
    </row>
    <row r="432" spans="35:35" ht="12.75">
      <c r="AI432" s="72"/>
    </row>
    <row r="433" spans="35:35" ht="12.75">
      <c r="AI433" s="72"/>
    </row>
    <row r="434" spans="35:35" ht="12.75">
      <c r="AI434" s="72"/>
    </row>
    <row r="435" spans="35:35" ht="12.75">
      <c r="AI435" s="72"/>
    </row>
    <row r="436" spans="35:35" ht="12.75">
      <c r="AI436" s="72"/>
    </row>
    <row r="437" spans="35:35" ht="12.75">
      <c r="AI437" s="72"/>
    </row>
    <row r="438" spans="35:35" ht="12.75">
      <c r="AI438" s="72"/>
    </row>
    <row r="439" spans="35:35" ht="12.75">
      <c r="AI439" s="72"/>
    </row>
    <row r="440" spans="35:35" ht="12.75">
      <c r="AI440" s="72"/>
    </row>
    <row r="441" spans="35:35" ht="12.75">
      <c r="AI441" s="72"/>
    </row>
    <row r="442" spans="35:35" ht="12.75">
      <c r="AI442" s="72"/>
    </row>
    <row r="443" spans="35:35" ht="12.75">
      <c r="AI443" s="72"/>
    </row>
    <row r="444" spans="35:35" ht="12.75">
      <c r="AI444" s="72"/>
    </row>
    <row r="445" spans="35:35" ht="12.75">
      <c r="AI445" s="72"/>
    </row>
    <row r="446" spans="35:35" ht="12.75">
      <c r="AI446" s="72"/>
    </row>
    <row r="447" spans="35:35" ht="12.75">
      <c r="AI447" s="72"/>
    </row>
    <row r="448" spans="35:35" ht="12.75">
      <c r="AI448" s="72"/>
    </row>
    <row r="449" spans="35:35" ht="12.75">
      <c r="AI449" s="72"/>
    </row>
    <row r="450" spans="35:35" ht="12.75">
      <c r="AI450" s="72"/>
    </row>
    <row r="451" spans="35:35" ht="12.75">
      <c r="AI451" s="72"/>
    </row>
    <row r="452" spans="35:35" ht="12.75">
      <c r="AI452" s="72"/>
    </row>
    <row r="453" spans="35:35" ht="12.75">
      <c r="AI453" s="72"/>
    </row>
    <row r="454" spans="35:35" ht="12.75">
      <c r="AI454" s="72"/>
    </row>
    <row r="455" spans="35:35" ht="12.75">
      <c r="AI455" s="72"/>
    </row>
    <row r="456" spans="35:35" ht="12.75">
      <c r="AI456" s="72"/>
    </row>
    <row r="457" spans="35:35" ht="12.75">
      <c r="AI457" s="72"/>
    </row>
    <row r="458" spans="35:35" ht="12.75">
      <c r="AI458" s="72"/>
    </row>
    <row r="459" spans="35:35" ht="12.75">
      <c r="AI459" s="72"/>
    </row>
    <row r="460" spans="35:35" ht="12.75">
      <c r="AI460" s="72"/>
    </row>
    <row r="461" spans="35:35" ht="12.75">
      <c r="AI461" s="72"/>
    </row>
    <row r="462" spans="35:35" ht="12.75">
      <c r="AI462" s="72"/>
    </row>
    <row r="463" spans="35:35" ht="12.75">
      <c r="AI463" s="72"/>
    </row>
    <row r="464" spans="35:35" ht="12.75">
      <c r="AI464" s="72"/>
    </row>
    <row r="465" spans="35:35" ht="12.75">
      <c r="AI465" s="72"/>
    </row>
    <row r="466" spans="35:35" ht="12.75">
      <c r="AI466" s="72"/>
    </row>
    <row r="467" spans="35:35" ht="12.75">
      <c r="AI467" s="72"/>
    </row>
    <row r="468" spans="35:35" ht="12.75">
      <c r="AI468" s="72"/>
    </row>
    <row r="469" spans="35:35" ht="12.75">
      <c r="AI469" s="72"/>
    </row>
    <row r="470" spans="35:35" ht="12.75">
      <c r="AI470" s="72"/>
    </row>
    <row r="471" spans="35:35" ht="12.75">
      <c r="AI471" s="72"/>
    </row>
    <row r="472" spans="35:35" ht="12.75">
      <c r="AI472" s="72"/>
    </row>
    <row r="473" spans="35:35" ht="12.75">
      <c r="AI473" s="72"/>
    </row>
    <row r="474" spans="35:35" ht="12.75">
      <c r="AI474" s="72"/>
    </row>
    <row r="475" spans="35:35" ht="12.75">
      <c r="AI475" s="72"/>
    </row>
    <row r="476" spans="35:35" ht="12.75">
      <c r="AI476" s="72"/>
    </row>
    <row r="477" spans="35:35" ht="12.75">
      <c r="AI477" s="72"/>
    </row>
    <row r="478" spans="35:35" ht="12.75">
      <c r="AI478" s="72"/>
    </row>
    <row r="479" spans="35:35" ht="12.75">
      <c r="AI479" s="72"/>
    </row>
    <row r="480" spans="35:35" ht="12.75">
      <c r="AI480" s="72"/>
    </row>
    <row r="481" spans="35:35" ht="12.75">
      <c r="AI481" s="72"/>
    </row>
    <row r="482" spans="35:35" ht="12.75">
      <c r="AI482" s="72"/>
    </row>
    <row r="483" spans="35:35" ht="12.75">
      <c r="AI483" s="72"/>
    </row>
    <row r="484" spans="35:35" ht="12.75">
      <c r="AI484" s="72"/>
    </row>
    <row r="485" spans="35:35" ht="12.75">
      <c r="AI485" s="72"/>
    </row>
    <row r="486" spans="35:35" ht="12.75">
      <c r="AI486" s="72"/>
    </row>
    <row r="487" spans="35:35" ht="12.75">
      <c r="AI487" s="72"/>
    </row>
    <row r="488" spans="35:35" ht="12.75">
      <c r="AI488" s="72"/>
    </row>
    <row r="489" spans="35:35" ht="12.75">
      <c r="AI489" s="72"/>
    </row>
    <row r="490" spans="35:35" ht="12.75">
      <c r="AI490" s="72"/>
    </row>
    <row r="491" spans="35:35" ht="12.75">
      <c r="AI491" s="72"/>
    </row>
    <row r="492" spans="35:35" ht="12.75">
      <c r="AI492" s="72"/>
    </row>
    <row r="493" spans="35:35" ht="12.75">
      <c r="AI493" s="72"/>
    </row>
    <row r="494" spans="35:35" ht="12.75">
      <c r="AI494" s="72"/>
    </row>
    <row r="495" spans="35:35" ht="12.75">
      <c r="AI495" s="72"/>
    </row>
    <row r="496" spans="35:35" ht="12.75">
      <c r="AI496" s="72"/>
    </row>
    <row r="497" spans="35:35" ht="12.75">
      <c r="AI497" s="72"/>
    </row>
    <row r="498" spans="35:35" ht="12.75">
      <c r="AI498" s="72"/>
    </row>
    <row r="499" spans="35:35" ht="12.75">
      <c r="AI499" s="72"/>
    </row>
    <row r="500" spans="35:35" ht="12.75">
      <c r="AI500" s="72"/>
    </row>
    <row r="501" spans="35:35" ht="12.75">
      <c r="AI501" s="72"/>
    </row>
    <row r="502" spans="35:35" ht="12.75">
      <c r="AI502" s="72"/>
    </row>
    <row r="503" spans="35:35" ht="12.75">
      <c r="AI503" s="72"/>
    </row>
    <row r="504" spans="35:35" ht="12.75">
      <c r="AI504" s="72"/>
    </row>
    <row r="505" spans="35:35" ht="12.75">
      <c r="AI505" s="72"/>
    </row>
    <row r="506" spans="35:35" ht="12.75">
      <c r="AI506" s="72"/>
    </row>
    <row r="507" spans="35:35" ht="12.75">
      <c r="AI507" s="72"/>
    </row>
    <row r="508" spans="35:35" ht="12.75">
      <c r="AI508" s="72"/>
    </row>
    <row r="509" spans="35:35" ht="12.75">
      <c r="AI509" s="72"/>
    </row>
    <row r="510" spans="35:35" ht="12.75">
      <c r="AI510" s="72"/>
    </row>
    <row r="511" spans="35:35" ht="12.75">
      <c r="AI511" s="72"/>
    </row>
    <row r="512" spans="35:35" ht="12.75">
      <c r="AI512" s="72"/>
    </row>
    <row r="513" spans="35:35" ht="12.75">
      <c r="AI513" s="72"/>
    </row>
    <row r="514" spans="35:35" ht="12.75">
      <c r="AI514" s="72"/>
    </row>
    <row r="515" spans="35:35" ht="12.75">
      <c r="AI515" s="72"/>
    </row>
    <row r="516" spans="35:35" ht="12.75">
      <c r="AI516" s="72"/>
    </row>
    <row r="517" spans="35:35" ht="12.75">
      <c r="AI517" s="72"/>
    </row>
    <row r="518" spans="35:35" ht="12.75">
      <c r="AI518" s="72"/>
    </row>
    <row r="519" spans="35:35" ht="12.75">
      <c r="AI519" s="72"/>
    </row>
    <row r="520" spans="35:35" ht="12.75">
      <c r="AI520" s="72"/>
    </row>
    <row r="521" spans="35:35" ht="12.75">
      <c r="AI521" s="72"/>
    </row>
    <row r="522" spans="35:35" ht="12.75">
      <c r="AI522" s="72"/>
    </row>
    <row r="523" spans="35:35" ht="12.75">
      <c r="AI523" s="72"/>
    </row>
    <row r="524" spans="35:35" ht="12.75">
      <c r="AI524" s="72"/>
    </row>
    <row r="525" spans="35:35" ht="12.75">
      <c r="AI525" s="72"/>
    </row>
    <row r="526" spans="35:35" ht="12.75">
      <c r="AI526" s="72"/>
    </row>
    <row r="527" spans="35:35" ht="12.75">
      <c r="AI527" s="72"/>
    </row>
    <row r="528" spans="35:35" ht="12.75">
      <c r="AI528" s="72"/>
    </row>
    <row r="529" spans="35:35" ht="12.75">
      <c r="AI529" s="72"/>
    </row>
    <row r="530" spans="35:35" ht="12.75">
      <c r="AI530" s="72"/>
    </row>
    <row r="531" spans="35:35" ht="12.75">
      <c r="AI531" s="72"/>
    </row>
    <row r="532" spans="35:35" ht="12.75">
      <c r="AI532" s="72"/>
    </row>
    <row r="533" spans="35:35" ht="12.75">
      <c r="AI533" s="72"/>
    </row>
    <row r="534" spans="35:35" ht="12.75">
      <c r="AI534" s="72"/>
    </row>
    <row r="535" spans="35:35" ht="12.75">
      <c r="AI535" s="72"/>
    </row>
    <row r="536" spans="35:35" ht="12.75">
      <c r="AI536" s="72"/>
    </row>
    <row r="537" spans="35:35" ht="12.75">
      <c r="AI537" s="72"/>
    </row>
    <row r="538" spans="35:35" ht="12.75">
      <c r="AI538" s="72"/>
    </row>
    <row r="539" spans="35:35" ht="12.75">
      <c r="AI539" s="72"/>
    </row>
    <row r="540" spans="35:35" ht="12.75">
      <c r="AI540" s="72"/>
    </row>
    <row r="541" spans="35:35" ht="12.75">
      <c r="AI541" s="72"/>
    </row>
    <row r="542" spans="35:35" ht="12.75">
      <c r="AI542" s="72"/>
    </row>
    <row r="543" spans="35:35" ht="12.75">
      <c r="AI543" s="72"/>
    </row>
    <row r="544" spans="35:35" ht="12.75">
      <c r="AI544" s="72"/>
    </row>
    <row r="545" spans="35:35" ht="12.75">
      <c r="AI545" s="72"/>
    </row>
    <row r="546" spans="35:35" ht="12.75">
      <c r="AI546" s="72"/>
    </row>
    <row r="547" spans="35:35" ht="12.75">
      <c r="AI547" s="72"/>
    </row>
    <row r="548" spans="35:35" ht="12.75">
      <c r="AI548" s="72"/>
    </row>
    <row r="549" spans="35:35" ht="12.75">
      <c r="AI549" s="72"/>
    </row>
    <row r="550" spans="35:35" ht="12.75">
      <c r="AI550" s="72"/>
    </row>
    <row r="551" spans="35:35" ht="12.75">
      <c r="AI551" s="72"/>
    </row>
    <row r="552" spans="35:35" ht="12.75">
      <c r="AI552" s="72"/>
    </row>
    <row r="553" spans="35:35" ht="12.75">
      <c r="AI553" s="72"/>
    </row>
    <row r="554" spans="35:35" ht="12.75">
      <c r="AI554" s="72"/>
    </row>
    <row r="555" spans="35:35" ht="12.75">
      <c r="AI555" s="72"/>
    </row>
    <row r="556" spans="35:35" ht="12.75">
      <c r="AI556" s="72"/>
    </row>
    <row r="557" spans="35:35" ht="12.75">
      <c r="AI557" s="72"/>
    </row>
    <row r="558" spans="35:35" ht="12.75">
      <c r="AI558" s="72"/>
    </row>
    <row r="559" spans="35:35" ht="12.75">
      <c r="AI559" s="72"/>
    </row>
    <row r="560" spans="35:35" ht="12.75">
      <c r="AI560" s="72"/>
    </row>
    <row r="561" spans="35:35" ht="12.75">
      <c r="AI561" s="72"/>
    </row>
    <row r="562" spans="35:35" ht="12.75">
      <c r="AI562" s="72"/>
    </row>
    <row r="563" spans="35:35" ht="12.75">
      <c r="AI563" s="72"/>
    </row>
    <row r="564" spans="35:35" ht="12.75">
      <c r="AI564" s="72"/>
    </row>
    <row r="565" spans="35:35" ht="12.75">
      <c r="AI565" s="72"/>
    </row>
    <row r="566" spans="35:35" ht="12.75">
      <c r="AI566" s="72"/>
    </row>
    <row r="567" spans="35:35" ht="12.75">
      <c r="AI567" s="72"/>
    </row>
    <row r="568" spans="35:35" ht="12.75">
      <c r="AI568" s="72"/>
    </row>
    <row r="569" spans="35:35" ht="12.75">
      <c r="AI569" s="72"/>
    </row>
    <row r="570" spans="35:35" ht="12.75">
      <c r="AI570" s="72"/>
    </row>
    <row r="571" spans="35:35" ht="12.75">
      <c r="AI571" s="72"/>
    </row>
    <row r="572" spans="35:35" ht="12.75">
      <c r="AI572" s="72"/>
    </row>
    <row r="573" spans="35:35" ht="12.75">
      <c r="AI573" s="72"/>
    </row>
    <row r="574" spans="35:35" ht="12.75">
      <c r="AI574" s="72"/>
    </row>
    <row r="575" spans="35:35" ht="12.75">
      <c r="AI575" s="72"/>
    </row>
    <row r="576" spans="35:35" ht="12.75">
      <c r="AI576" s="72"/>
    </row>
    <row r="577" spans="35:35" ht="12.75">
      <c r="AI577" s="72"/>
    </row>
    <row r="578" spans="35:35" ht="12.75">
      <c r="AI578" s="72"/>
    </row>
    <row r="579" spans="35:35" ht="12.75">
      <c r="AI579" s="72"/>
    </row>
    <row r="580" spans="35:35" ht="12.75">
      <c r="AI580" s="72"/>
    </row>
    <row r="581" spans="35:35" ht="12.75">
      <c r="AI581" s="72"/>
    </row>
    <row r="582" spans="35:35" ht="12.75">
      <c r="AI582" s="72"/>
    </row>
    <row r="583" spans="35:35" ht="12.75">
      <c r="AI583" s="72"/>
    </row>
    <row r="584" spans="35:35" ht="12.75">
      <c r="AI584" s="72"/>
    </row>
    <row r="585" spans="35:35" ht="12.75">
      <c r="AI585" s="72"/>
    </row>
    <row r="586" spans="35:35" ht="12.75">
      <c r="AI586" s="72"/>
    </row>
    <row r="587" spans="35:35" ht="12.75">
      <c r="AI587" s="72"/>
    </row>
    <row r="588" spans="35:35" ht="12.75">
      <c r="AI588" s="72"/>
    </row>
    <row r="589" spans="35:35" ht="12.75">
      <c r="AI589" s="72"/>
    </row>
    <row r="590" spans="35:35" ht="12.75">
      <c r="AI590" s="72"/>
    </row>
    <row r="591" spans="35:35" ht="12.75">
      <c r="AI591" s="72"/>
    </row>
    <row r="592" spans="35:35" ht="12.75">
      <c r="AI592" s="72"/>
    </row>
    <row r="593" spans="35:35" ht="12.75">
      <c r="AI593" s="72"/>
    </row>
    <row r="594" spans="35:35" ht="12.75">
      <c r="AI594" s="72"/>
    </row>
    <row r="595" spans="35:35" ht="12.75">
      <c r="AI595" s="72"/>
    </row>
    <row r="596" spans="35:35" ht="12.75">
      <c r="AI596" s="72"/>
    </row>
    <row r="597" spans="35:35" ht="12.75">
      <c r="AI597" s="72"/>
    </row>
    <row r="598" spans="35:35" ht="12.75">
      <c r="AI598" s="72"/>
    </row>
    <row r="599" spans="35:35" ht="12.75">
      <c r="AI599" s="72"/>
    </row>
    <row r="600" spans="35:35" ht="12.75">
      <c r="AI600" s="72"/>
    </row>
    <row r="601" spans="35:35" ht="12.75">
      <c r="AI601" s="72"/>
    </row>
    <row r="602" spans="35:35" ht="12.75">
      <c r="AI602" s="72"/>
    </row>
    <row r="603" spans="35:35" ht="12.75">
      <c r="AI603" s="72"/>
    </row>
    <row r="604" spans="35:35" ht="12.75">
      <c r="AI604" s="72"/>
    </row>
    <row r="605" spans="35:35" ht="12.75">
      <c r="AI605" s="72"/>
    </row>
    <row r="606" spans="35:35" ht="12.75">
      <c r="AI606" s="72"/>
    </row>
    <row r="607" spans="35:35" ht="12.75">
      <c r="AI607" s="72"/>
    </row>
    <row r="608" spans="35:35" ht="12.75">
      <c r="AI608" s="72"/>
    </row>
    <row r="609" spans="35:35" ht="12.75">
      <c r="AI609" s="72"/>
    </row>
    <row r="610" spans="35:35" ht="12.75">
      <c r="AI610" s="72"/>
    </row>
    <row r="611" spans="35:35" ht="12.75">
      <c r="AI611" s="72"/>
    </row>
    <row r="612" spans="35:35" ht="12.75">
      <c r="AI612" s="72"/>
    </row>
    <row r="613" spans="35:35" ht="12.75">
      <c r="AI613" s="72"/>
    </row>
    <row r="614" spans="35:35" ht="12.75">
      <c r="AI614" s="72"/>
    </row>
    <row r="615" spans="35:35" ht="12.75">
      <c r="AI615" s="72"/>
    </row>
    <row r="616" spans="35:35" ht="12.75">
      <c r="AI616" s="72"/>
    </row>
    <row r="617" spans="35:35" ht="12.75">
      <c r="AI617" s="72"/>
    </row>
    <row r="618" spans="35:35" ht="12.75">
      <c r="AI618" s="72"/>
    </row>
    <row r="619" spans="35:35" ht="12.75">
      <c r="AI619" s="72"/>
    </row>
    <row r="620" spans="35:35" ht="12.75">
      <c r="AI620" s="72"/>
    </row>
    <row r="621" spans="35:35" ht="12.75">
      <c r="AI621" s="72"/>
    </row>
    <row r="622" spans="35:35" ht="12.75">
      <c r="AI622" s="72"/>
    </row>
    <row r="623" spans="35:35" ht="12.75">
      <c r="AI623" s="72"/>
    </row>
    <row r="624" spans="35:35" ht="12.75">
      <c r="AI624" s="72"/>
    </row>
    <row r="625" spans="35:35" ht="12.75">
      <c r="AI625" s="72"/>
    </row>
    <row r="626" spans="35:35" ht="12.75">
      <c r="AI626" s="72"/>
    </row>
    <row r="627" spans="35:35" ht="12.75">
      <c r="AI627" s="72"/>
    </row>
    <row r="628" spans="35:35" ht="12.75">
      <c r="AI628" s="72"/>
    </row>
    <row r="629" spans="35:35" ht="12.75">
      <c r="AI629" s="72"/>
    </row>
    <row r="630" spans="35:35" ht="12.75">
      <c r="AI630" s="72"/>
    </row>
    <row r="631" spans="35:35" ht="12.75">
      <c r="AI631" s="72"/>
    </row>
    <row r="632" spans="35:35" ht="12.75">
      <c r="AI632" s="72"/>
    </row>
    <row r="633" spans="35:35" ht="12.75">
      <c r="AI633" s="72"/>
    </row>
    <row r="634" spans="35:35" ht="12.75">
      <c r="AI634" s="72"/>
    </row>
    <row r="635" spans="35:35" ht="12.75">
      <c r="AI635" s="72"/>
    </row>
    <row r="636" spans="35:35" ht="12.75">
      <c r="AI636" s="72"/>
    </row>
    <row r="637" spans="35:35" ht="12.75">
      <c r="AI637" s="72"/>
    </row>
    <row r="638" spans="35:35" ht="12.75">
      <c r="AI638" s="72"/>
    </row>
    <row r="639" spans="35:35" ht="12.75">
      <c r="AI639" s="72"/>
    </row>
    <row r="640" spans="35:35" ht="12.75">
      <c r="AI640" s="72"/>
    </row>
    <row r="641" spans="35:35" ht="12.75">
      <c r="AI641" s="72"/>
    </row>
    <row r="642" spans="35:35" ht="12.75">
      <c r="AI642" s="72"/>
    </row>
    <row r="643" spans="35:35" ht="12.75">
      <c r="AI643" s="72"/>
    </row>
    <row r="644" spans="35:35" ht="12.75">
      <c r="AI644" s="72"/>
    </row>
    <row r="645" spans="35:35" ht="12.75">
      <c r="AI645" s="72"/>
    </row>
    <row r="646" spans="35:35" ht="12.75">
      <c r="AI646" s="72"/>
    </row>
    <row r="647" spans="35:35" ht="12.75">
      <c r="AI647" s="72"/>
    </row>
    <row r="648" spans="35:35" ht="12.75">
      <c r="AI648" s="72"/>
    </row>
    <row r="649" spans="35:35" ht="12.75">
      <c r="AI649" s="72"/>
    </row>
    <row r="650" spans="35:35" ht="12.75">
      <c r="AI650" s="72"/>
    </row>
    <row r="651" spans="35:35" ht="12.75">
      <c r="AI651" s="72"/>
    </row>
    <row r="652" spans="35:35" ht="12.75">
      <c r="AI652" s="72"/>
    </row>
    <row r="653" spans="35:35" ht="12.75">
      <c r="AI653" s="72"/>
    </row>
    <row r="654" spans="35:35" ht="12.75">
      <c r="AI654" s="72"/>
    </row>
    <row r="655" spans="35:35" ht="12.75">
      <c r="AI655" s="72"/>
    </row>
    <row r="656" spans="35:35" ht="12.75">
      <c r="AI656" s="72"/>
    </row>
    <row r="657" spans="35:35" ht="12.75">
      <c r="AI657" s="72"/>
    </row>
    <row r="658" spans="35:35" ht="12.75">
      <c r="AI658" s="72"/>
    </row>
    <row r="659" spans="35:35" ht="12.75">
      <c r="AI659" s="72"/>
    </row>
    <row r="660" spans="35:35" ht="12.75">
      <c r="AI660" s="72"/>
    </row>
    <row r="661" spans="35:35" ht="12.75">
      <c r="AI661" s="72"/>
    </row>
    <row r="662" spans="35:35" ht="12.75">
      <c r="AI662" s="72"/>
    </row>
    <row r="663" spans="35:35" ht="12.75">
      <c r="AI663" s="72"/>
    </row>
    <row r="664" spans="35:35" ht="12.75">
      <c r="AI664" s="72"/>
    </row>
    <row r="665" spans="35:35" ht="12.75">
      <c r="AI665" s="72"/>
    </row>
    <row r="666" spans="35:35" ht="12.75">
      <c r="AI666" s="72"/>
    </row>
    <row r="667" spans="35:35" ht="12.75">
      <c r="AI667" s="72"/>
    </row>
    <row r="668" spans="35:35" ht="12.75">
      <c r="AI668" s="72"/>
    </row>
    <row r="669" spans="35:35" ht="12.75">
      <c r="AI669" s="72"/>
    </row>
    <row r="670" spans="35:35" ht="12.75">
      <c r="AI670" s="72"/>
    </row>
    <row r="671" spans="35:35" ht="12.75">
      <c r="AI671" s="72"/>
    </row>
    <row r="672" spans="35:35" ht="12.75">
      <c r="AI672" s="72"/>
    </row>
    <row r="673" spans="35:35" ht="12.75">
      <c r="AI673" s="72"/>
    </row>
    <row r="674" spans="35:35" ht="12.75">
      <c r="AI674" s="72"/>
    </row>
    <row r="675" spans="35:35" ht="12.75">
      <c r="AI675" s="72"/>
    </row>
    <row r="676" spans="35:35" ht="12.75">
      <c r="AI676" s="72"/>
    </row>
    <row r="677" spans="35:35" ht="12.75">
      <c r="AI677" s="72"/>
    </row>
    <row r="678" spans="35:35" ht="12.75">
      <c r="AI678" s="72"/>
    </row>
    <row r="679" spans="35:35" ht="12.75">
      <c r="AI679" s="72"/>
    </row>
    <row r="680" spans="35:35" ht="12.75">
      <c r="AI680" s="72"/>
    </row>
    <row r="681" spans="35:35" ht="12.75">
      <c r="AI681" s="72"/>
    </row>
    <row r="682" spans="35:35" ht="12.75">
      <c r="AI682" s="72"/>
    </row>
    <row r="683" spans="35:35" ht="12.75">
      <c r="AI683" s="72"/>
    </row>
    <row r="684" spans="35:35" ht="12.75">
      <c r="AI684" s="72"/>
    </row>
    <row r="685" spans="35:35" ht="12.75">
      <c r="AI685" s="72"/>
    </row>
    <row r="686" spans="35:35" ht="12.75">
      <c r="AI686" s="72"/>
    </row>
    <row r="687" spans="35:35" ht="12.75">
      <c r="AI687" s="72"/>
    </row>
    <row r="688" spans="35:35" ht="12.75">
      <c r="AI688" s="72"/>
    </row>
    <row r="689" spans="35:35" ht="12.75">
      <c r="AI689" s="72"/>
    </row>
    <row r="690" spans="35:35" ht="12.75">
      <c r="AI690" s="72"/>
    </row>
    <row r="691" spans="35:35" ht="12.75">
      <c r="AI691" s="72"/>
    </row>
    <row r="692" spans="35:35" ht="12.75">
      <c r="AI692" s="72"/>
    </row>
    <row r="693" spans="35:35" ht="12.75">
      <c r="AI693" s="72"/>
    </row>
    <row r="694" spans="35:35" ht="12.75">
      <c r="AI694" s="72"/>
    </row>
    <row r="695" spans="35:35" ht="12.75">
      <c r="AI695" s="72"/>
    </row>
    <row r="696" spans="35:35" ht="12.75">
      <c r="AI696" s="72"/>
    </row>
    <row r="697" spans="35:35" ht="12.75">
      <c r="AI697" s="72"/>
    </row>
    <row r="698" spans="35:35" ht="12.75">
      <c r="AI698" s="72"/>
    </row>
    <row r="699" spans="35:35" ht="12.75">
      <c r="AI699" s="72"/>
    </row>
    <row r="700" spans="35:35" ht="12.75">
      <c r="AI700" s="72"/>
    </row>
    <row r="701" spans="35:35" ht="12.75">
      <c r="AI701" s="72"/>
    </row>
    <row r="702" spans="35:35" ht="12.75">
      <c r="AI702" s="72"/>
    </row>
    <row r="703" spans="35:35" ht="12.75">
      <c r="AI703" s="72"/>
    </row>
    <row r="704" spans="35:35" ht="12.75">
      <c r="AI704" s="72"/>
    </row>
    <row r="705" spans="35:35" ht="12.75">
      <c r="AI705" s="72"/>
    </row>
    <row r="706" spans="35:35" ht="12.75">
      <c r="AI706" s="72"/>
    </row>
    <row r="707" spans="35:35" ht="12.75">
      <c r="AI707" s="72"/>
    </row>
    <row r="708" spans="35:35" ht="12.75">
      <c r="AI708" s="72"/>
    </row>
    <row r="709" spans="35:35" ht="12.75">
      <c r="AI709" s="72"/>
    </row>
    <row r="710" spans="35:35" ht="12.75">
      <c r="AI710" s="72"/>
    </row>
    <row r="711" spans="35:35" ht="12.75">
      <c r="AI711" s="72"/>
    </row>
    <row r="712" spans="35:35" ht="12.75">
      <c r="AI712" s="72"/>
    </row>
    <row r="713" spans="35:35" ht="12.75">
      <c r="AI713" s="72"/>
    </row>
    <row r="714" spans="35:35" ht="12.75">
      <c r="AI714" s="72"/>
    </row>
    <row r="715" spans="35:35" ht="12.75">
      <c r="AI715" s="72"/>
    </row>
    <row r="716" spans="35:35" ht="12.75">
      <c r="AI716" s="72"/>
    </row>
    <row r="717" spans="35:35" ht="12.75">
      <c r="AI717" s="72"/>
    </row>
    <row r="718" spans="35:35" ht="12.75">
      <c r="AI718" s="72"/>
    </row>
    <row r="719" spans="35:35" ht="12.75">
      <c r="AI719" s="72"/>
    </row>
    <row r="720" spans="35:35" ht="12.75">
      <c r="AI720" s="72"/>
    </row>
    <row r="721" spans="35:35" ht="12.75">
      <c r="AI721" s="72"/>
    </row>
    <row r="722" spans="35:35" ht="12.75">
      <c r="AI722" s="72"/>
    </row>
    <row r="723" spans="35:35" ht="12.75">
      <c r="AI723" s="72"/>
    </row>
    <row r="724" spans="35:35" ht="12.75">
      <c r="AI724" s="72"/>
    </row>
    <row r="725" spans="35:35" ht="12.75">
      <c r="AI725" s="72"/>
    </row>
    <row r="726" spans="35:35" ht="12.75">
      <c r="AI726" s="72"/>
    </row>
    <row r="727" spans="35:35" ht="12.75">
      <c r="AI727" s="72"/>
    </row>
    <row r="728" spans="35:35" ht="12.75">
      <c r="AI728" s="72"/>
    </row>
    <row r="729" spans="35:35" ht="12.75">
      <c r="AI729" s="72"/>
    </row>
    <row r="730" spans="35:35" ht="12.75">
      <c r="AI730" s="72"/>
    </row>
    <row r="731" spans="35:35" ht="12.75">
      <c r="AI731" s="72"/>
    </row>
    <row r="732" spans="35:35" ht="12.75">
      <c r="AI732" s="72"/>
    </row>
    <row r="733" spans="35:35" ht="12.75">
      <c r="AI733" s="72"/>
    </row>
    <row r="734" spans="35:35" ht="12.75">
      <c r="AI734" s="72"/>
    </row>
    <row r="735" spans="35:35" ht="12.75">
      <c r="AI735" s="72"/>
    </row>
    <row r="736" spans="35:35" ht="12.75">
      <c r="AI736" s="72"/>
    </row>
    <row r="737" spans="35:35" ht="12.75">
      <c r="AI737" s="72"/>
    </row>
    <row r="738" spans="35:35" ht="12.75">
      <c r="AI738" s="72"/>
    </row>
    <row r="739" spans="35:35" ht="12.75">
      <c r="AI739" s="72"/>
    </row>
    <row r="740" spans="35:35" ht="12.75">
      <c r="AI740" s="72"/>
    </row>
    <row r="741" spans="35:35" ht="12.75">
      <c r="AI741" s="72"/>
    </row>
    <row r="742" spans="35:35" ht="12.75">
      <c r="AI742" s="72"/>
    </row>
    <row r="743" spans="35:35" ht="12.75">
      <c r="AI743" s="72"/>
    </row>
    <row r="744" spans="35:35" ht="12.75">
      <c r="AI744" s="72"/>
    </row>
    <row r="745" spans="35:35" ht="12.75">
      <c r="AI745" s="72"/>
    </row>
    <row r="746" spans="35:35" ht="12.75">
      <c r="AI746" s="72"/>
    </row>
    <row r="747" spans="35:35" ht="12.75">
      <c r="AI747" s="72"/>
    </row>
    <row r="748" spans="35:35" ht="12.75">
      <c r="AI748" s="72"/>
    </row>
    <row r="749" spans="35:35" ht="12.75">
      <c r="AI749" s="72"/>
    </row>
    <row r="750" spans="35:35" ht="12.75">
      <c r="AI750" s="72"/>
    </row>
    <row r="751" spans="35:35" ht="12.75">
      <c r="AI751" s="72"/>
    </row>
    <row r="752" spans="35:35" ht="12.75">
      <c r="AI752" s="72"/>
    </row>
    <row r="753" spans="35:35" ht="12.75">
      <c r="AI753" s="72"/>
    </row>
    <row r="754" spans="35:35" ht="12.75">
      <c r="AI754" s="72"/>
    </row>
    <row r="755" spans="35:35" ht="12.75">
      <c r="AI755" s="72"/>
    </row>
    <row r="756" spans="35:35" ht="12.75">
      <c r="AI756" s="72"/>
    </row>
    <row r="757" spans="35:35" ht="12.75">
      <c r="AI757" s="72"/>
    </row>
    <row r="758" spans="35:35" ht="12.75">
      <c r="AI758" s="72"/>
    </row>
    <row r="759" spans="35:35" ht="12.75">
      <c r="AI759" s="72"/>
    </row>
    <row r="760" spans="35:35" ht="12.75">
      <c r="AI760" s="72"/>
    </row>
    <row r="761" spans="35:35" ht="12.75">
      <c r="AI761" s="72"/>
    </row>
    <row r="762" spans="35:35" ht="12.75">
      <c r="AI762" s="72"/>
    </row>
    <row r="763" spans="35:35" ht="12.75">
      <c r="AI763" s="72"/>
    </row>
    <row r="764" spans="35:35" ht="12.75">
      <c r="AI764" s="72"/>
    </row>
    <row r="765" spans="35:35" ht="12.75">
      <c r="AI765" s="72"/>
    </row>
    <row r="766" spans="35:35" ht="12.75">
      <c r="AI766" s="72"/>
    </row>
    <row r="767" spans="35:35" ht="12.75">
      <c r="AI767" s="72"/>
    </row>
    <row r="768" spans="35:35" ht="12.75">
      <c r="AI768" s="72"/>
    </row>
    <row r="769" spans="35:35" ht="12.75">
      <c r="AI769" s="72"/>
    </row>
    <row r="770" spans="35:35" ht="12.75">
      <c r="AI770" s="72"/>
    </row>
    <row r="771" spans="35:35" ht="12.75">
      <c r="AI771" s="72"/>
    </row>
    <row r="772" spans="35:35" ht="12.75">
      <c r="AI772" s="72"/>
    </row>
    <row r="773" spans="35:35" ht="12.75">
      <c r="AI773" s="72"/>
    </row>
    <row r="774" spans="35:35" ht="12.75">
      <c r="AI774" s="72"/>
    </row>
    <row r="775" spans="35:35" ht="12.75">
      <c r="AI775" s="72"/>
    </row>
    <row r="776" spans="35:35" ht="12.75">
      <c r="AI776" s="72"/>
    </row>
    <row r="777" spans="35:35" ht="12.75">
      <c r="AI777" s="72"/>
    </row>
    <row r="778" spans="35:35" ht="12.75">
      <c r="AI778" s="72"/>
    </row>
    <row r="779" spans="35:35" ht="12.75">
      <c r="AI779" s="72"/>
    </row>
    <row r="780" spans="35:35" ht="12.75">
      <c r="AI780" s="72"/>
    </row>
    <row r="781" spans="35:35" ht="12.75">
      <c r="AI781" s="72"/>
    </row>
    <row r="782" spans="35:35" ht="12.75">
      <c r="AI782" s="72"/>
    </row>
    <row r="783" spans="35:35" ht="12.75">
      <c r="AI783" s="72"/>
    </row>
    <row r="784" spans="35:35" ht="12.75">
      <c r="AI784" s="72"/>
    </row>
    <row r="785" spans="35:35" ht="12.75">
      <c r="AI785" s="72"/>
    </row>
    <row r="786" spans="35:35" ht="12.75">
      <c r="AI786" s="72"/>
    </row>
    <row r="787" spans="35:35" ht="12.75">
      <c r="AI787" s="72"/>
    </row>
    <row r="788" spans="35:35" ht="12.75">
      <c r="AI788" s="72"/>
    </row>
    <row r="789" spans="35:35" ht="12.75">
      <c r="AI789" s="72"/>
    </row>
    <row r="790" spans="35:35" ht="12.75">
      <c r="AI790" s="72"/>
    </row>
    <row r="791" spans="35:35" ht="12.75">
      <c r="AI791" s="72"/>
    </row>
    <row r="792" spans="35:35" ht="12.75">
      <c r="AI792" s="72"/>
    </row>
    <row r="793" spans="35:35" ht="12.75">
      <c r="AI793" s="72"/>
    </row>
    <row r="794" spans="35:35" ht="12.75">
      <c r="AI794" s="72"/>
    </row>
    <row r="795" spans="35:35" ht="12.75">
      <c r="AI795" s="72"/>
    </row>
    <row r="796" spans="35:35" ht="12.75">
      <c r="AI796" s="72"/>
    </row>
    <row r="797" spans="35:35" ht="12.75">
      <c r="AI797" s="72"/>
    </row>
    <row r="798" spans="35:35" ht="12.75">
      <c r="AI798" s="72"/>
    </row>
    <row r="799" spans="35:35" ht="12.75">
      <c r="AI799" s="72"/>
    </row>
    <row r="800" spans="35:35" ht="12.75">
      <c r="AI800" s="72"/>
    </row>
    <row r="801" spans="35:35" ht="12.75">
      <c r="AI801" s="72"/>
    </row>
    <row r="802" spans="35:35" ht="12.75">
      <c r="AI802" s="72"/>
    </row>
    <row r="803" spans="35:35" ht="12.75">
      <c r="AI803" s="72"/>
    </row>
    <row r="804" spans="35:35" ht="12.75">
      <c r="AI804" s="72"/>
    </row>
    <row r="805" spans="35:35" ht="12.75">
      <c r="AI805" s="72"/>
    </row>
    <row r="806" spans="35:35" ht="12.75">
      <c r="AI806" s="72"/>
    </row>
    <row r="807" spans="35:35" ht="12.75">
      <c r="AI807" s="72"/>
    </row>
    <row r="808" spans="35:35" ht="12.75">
      <c r="AI808" s="72"/>
    </row>
    <row r="809" spans="35:35" ht="12.75">
      <c r="AI809" s="72"/>
    </row>
    <row r="810" spans="35:35" ht="12.75">
      <c r="AI810" s="72"/>
    </row>
    <row r="811" spans="35:35" ht="12.75">
      <c r="AI811" s="72"/>
    </row>
    <row r="812" spans="35:35" ht="12.75">
      <c r="AI812" s="72"/>
    </row>
    <row r="813" spans="35:35" ht="12.75">
      <c r="AI813" s="72"/>
    </row>
    <row r="814" spans="35:35" ht="12.75">
      <c r="AI814" s="72"/>
    </row>
    <row r="815" spans="35:35" ht="12.75">
      <c r="AI815" s="72"/>
    </row>
    <row r="816" spans="35:35" ht="12.75">
      <c r="AI816" s="72"/>
    </row>
    <row r="817" spans="35:35" ht="12.75">
      <c r="AI817" s="72"/>
    </row>
    <row r="818" spans="35:35" ht="12.75">
      <c r="AI818" s="72"/>
    </row>
    <row r="819" spans="35:35" ht="12.75">
      <c r="AI819" s="72"/>
    </row>
    <row r="820" spans="35:35" ht="12.75">
      <c r="AI820" s="72"/>
    </row>
    <row r="821" spans="35:35" ht="12.75">
      <c r="AI821" s="72"/>
    </row>
    <row r="822" spans="35:35" ht="12.75">
      <c r="AI822" s="72"/>
    </row>
    <row r="823" spans="35:35" ht="12.75">
      <c r="AI823" s="72"/>
    </row>
    <row r="824" spans="35:35" ht="12.75">
      <c r="AI824" s="72"/>
    </row>
    <row r="825" spans="35:35" ht="12.75">
      <c r="AI825" s="72"/>
    </row>
    <row r="826" spans="35:35" ht="12.75">
      <c r="AI826" s="72"/>
    </row>
    <row r="827" spans="35:35" ht="12.75">
      <c r="AI827" s="72"/>
    </row>
    <row r="828" spans="35:35" ht="12.75">
      <c r="AI828" s="72"/>
    </row>
    <row r="829" spans="35:35" ht="12.75">
      <c r="AI829" s="72"/>
    </row>
    <row r="830" spans="35:35" ht="12.75">
      <c r="AI830" s="72"/>
    </row>
    <row r="831" spans="35:35" ht="12.75">
      <c r="AI831" s="72"/>
    </row>
    <row r="832" spans="35:35" ht="12.75">
      <c r="AI832" s="72"/>
    </row>
    <row r="833" spans="35:35" ht="12.75">
      <c r="AI833" s="72"/>
    </row>
    <row r="834" spans="35:35" ht="12.75">
      <c r="AI834" s="72"/>
    </row>
    <row r="835" spans="35:35" ht="12.75">
      <c r="AI835" s="72"/>
    </row>
    <row r="836" spans="35:35" ht="12.75">
      <c r="AI836" s="72"/>
    </row>
    <row r="837" spans="35:35" ht="12.75">
      <c r="AI837" s="72"/>
    </row>
    <row r="838" spans="35:35" ht="12.75">
      <c r="AI838" s="72"/>
    </row>
    <row r="839" spans="35:35" ht="12.75">
      <c r="AI839" s="72"/>
    </row>
    <row r="840" spans="35:35" ht="12.75">
      <c r="AI840" s="72"/>
    </row>
    <row r="841" spans="35:35" ht="12.75">
      <c r="AI841" s="72"/>
    </row>
    <row r="842" spans="35:35" ht="12.75">
      <c r="AI842" s="72"/>
    </row>
    <row r="843" spans="35:35" ht="12.75">
      <c r="AI843" s="72"/>
    </row>
    <row r="844" spans="35:35" ht="12.75">
      <c r="AI844" s="72"/>
    </row>
    <row r="845" spans="35:35" ht="12.75">
      <c r="AI845" s="72"/>
    </row>
    <row r="846" spans="35:35" ht="12.75">
      <c r="AI846" s="72"/>
    </row>
    <row r="847" spans="35:35" ht="12.75">
      <c r="AI847" s="72"/>
    </row>
    <row r="848" spans="35:35" ht="12.75">
      <c r="AI848" s="72"/>
    </row>
    <row r="849" spans="35:35" ht="12.75">
      <c r="AI849" s="72"/>
    </row>
    <row r="850" spans="35:35" ht="12.75">
      <c r="AI850" s="72"/>
    </row>
    <row r="851" spans="35:35" ht="12.75">
      <c r="AI851" s="72"/>
    </row>
    <row r="852" spans="35:35" ht="12.75">
      <c r="AI852" s="72"/>
    </row>
    <row r="853" spans="35:35" ht="12.75">
      <c r="AI853" s="72"/>
    </row>
    <row r="854" spans="35:35" ht="12.75">
      <c r="AI854" s="72"/>
    </row>
    <row r="855" spans="35:35" ht="12.75">
      <c r="AI855" s="72"/>
    </row>
    <row r="856" spans="35:35" ht="12.75">
      <c r="AI856" s="72"/>
    </row>
    <row r="857" spans="35:35" ht="12.75">
      <c r="AI857" s="72"/>
    </row>
    <row r="858" spans="35:35" ht="12.75">
      <c r="AI858" s="72"/>
    </row>
    <row r="859" spans="35:35" ht="12.75">
      <c r="AI859" s="72"/>
    </row>
    <row r="860" spans="35:35" ht="12.75">
      <c r="AI860" s="72"/>
    </row>
    <row r="861" spans="35:35" ht="12.75">
      <c r="AI861" s="72"/>
    </row>
    <row r="862" spans="35:35" ht="12.75">
      <c r="AI862" s="72"/>
    </row>
    <row r="863" spans="35:35" ht="12.75">
      <c r="AI863" s="72"/>
    </row>
    <row r="864" spans="35:35" ht="12.75">
      <c r="AI864" s="72"/>
    </row>
    <row r="865" spans="35:35" ht="12.75">
      <c r="AI865" s="72"/>
    </row>
    <row r="866" spans="35:35" ht="12.75">
      <c r="AI866" s="72"/>
    </row>
    <row r="867" spans="35:35" ht="12.75">
      <c r="AI867" s="72"/>
    </row>
    <row r="868" spans="35:35" ht="12.75">
      <c r="AI868" s="72"/>
    </row>
    <row r="869" spans="35:35" ht="12.75">
      <c r="AI869" s="72"/>
    </row>
    <row r="870" spans="35:35" ht="12.75">
      <c r="AI870" s="72"/>
    </row>
    <row r="871" spans="35:35" ht="12.75">
      <c r="AI871" s="72"/>
    </row>
    <row r="872" spans="35:35" ht="12.75">
      <c r="AI872" s="72"/>
    </row>
    <row r="873" spans="35:35" ht="12.75">
      <c r="AI873" s="72"/>
    </row>
    <row r="874" spans="35:35" ht="12.75">
      <c r="AI874" s="72"/>
    </row>
    <row r="875" spans="35:35" ht="12.75">
      <c r="AI875" s="72"/>
    </row>
    <row r="876" spans="35:35" ht="12.75">
      <c r="AI876" s="72"/>
    </row>
    <row r="877" spans="35:35" ht="12.75">
      <c r="AI877" s="72"/>
    </row>
    <row r="878" spans="35:35" ht="12.75">
      <c r="AI878" s="72"/>
    </row>
    <row r="879" spans="35:35" ht="12.75">
      <c r="AI879" s="72"/>
    </row>
    <row r="880" spans="35:35" ht="12.75">
      <c r="AI880" s="72"/>
    </row>
    <row r="881" spans="35:35" ht="12.75">
      <c r="AI881" s="72"/>
    </row>
    <row r="882" spans="35:35" ht="12.75">
      <c r="AI882" s="72"/>
    </row>
    <row r="883" spans="35:35" ht="12.75">
      <c r="AI883" s="72"/>
    </row>
    <row r="884" spans="35:35" ht="12.75">
      <c r="AI884" s="72"/>
    </row>
    <row r="885" spans="35:35" ht="12.75">
      <c r="AI885" s="72"/>
    </row>
    <row r="886" spans="35:35" ht="12.75">
      <c r="AI886" s="72"/>
    </row>
    <row r="887" spans="35:35" ht="12.75">
      <c r="AI887" s="72"/>
    </row>
    <row r="888" spans="35:35" ht="12.75">
      <c r="AI888" s="72"/>
    </row>
    <row r="889" spans="35:35" ht="12.75">
      <c r="AI889" s="72"/>
    </row>
    <row r="890" spans="35:35" ht="12.75">
      <c r="AI890" s="72"/>
    </row>
    <row r="891" spans="35:35" ht="12.75">
      <c r="AI891" s="72"/>
    </row>
    <row r="892" spans="35:35" ht="12.75">
      <c r="AI892" s="72"/>
    </row>
    <row r="893" spans="35:35" ht="12.75">
      <c r="AI893" s="72"/>
    </row>
    <row r="894" spans="35:35" ht="12.75">
      <c r="AI894" s="72"/>
    </row>
    <row r="895" spans="35:35" ht="12.75">
      <c r="AI895" s="72"/>
    </row>
    <row r="896" spans="35:35" ht="12.75">
      <c r="AI896" s="72"/>
    </row>
    <row r="897" spans="35:35" ht="12.75">
      <c r="AI897" s="72"/>
    </row>
    <row r="898" spans="35:35" ht="12.75">
      <c r="AI898" s="72"/>
    </row>
    <row r="899" spans="35:35" ht="12.75">
      <c r="AI899" s="72"/>
    </row>
    <row r="900" spans="35:35" ht="12.75">
      <c r="AI900" s="72"/>
    </row>
    <row r="901" spans="35:35" ht="12.75">
      <c r="AI901" s="72"/>
    </row>
    <row r="902" spans="35:35" ht="12.75">
      <c r="AI902" s="72"/>
    </row>
    <row r="903" spans="35:35" ht="12.75">
      <c r="AI903" s="72"/>
    </row>
    <row r="904" spans="35:35" ht="12.75">
      <c r="AI904" s="72"/>
    </row>
    <row r="905" spans="35:35" ht="12.75">
      <c r="AI905" s="72"/>
    </row>
    <row r="906" spans="35:35" ht="12.75">
      <c r="AI906" s="72"/>
    </row>
    <row r="907" spans="35:35" ht="12.75">
      <c r="AI907" s="72"/>
    </row>
    <row r="908" spans="35:35" ht="12.75">
      <c r="AI908" s="72"/>
    </row>
    <row r="909" spans="35:35" ht="12.75">
      <c r="AI909" s="72"/>
    </row>
    <row r="910" spans="35:35" ht="12.75">
      <c r="AI910" s="72"/>
    </row>
    <row r="911" spans="35:35" ht="12.75">
      <c r="AI911" s="72"/>
    </row>
    <row r="912" spans="35:35" ht="12.75">
      <c r="AI912" s="72"/>
    </row>
    <row r="913" spans="35:35" ht="12.75">
      <c r="AI913" s="72"/>
    </row>
    <row r="914" spans="35:35" ht="12.75">
      <c r="AI914" s="72"/>
    </row>
    <row r="915" spans="35:35" ht="12.75">
      <c r="AI915" s="72"/>
    </row>
    <row r="916" spans="35:35" ht="12.75">
      <c r="AI916" s="72"/>
    </row>
    <row r="917" spans="35:35" ht="12.75">
      <c r="AI917" s="72"/>
    </row>
    <row r="918" spans="35:35" ht="12.75">
      <c r="AI918" s="72"/>
    </row>
    <row r="919" spans="35:35" ht="12.75">
      <c r="AI919" s="72"/>
    </row>
    <row r="920" spans="35:35" ht="12.75">
      <c r="AI920" s="72"/>
    </row>
    <row r="921" spans="35:35" ht="12.75">
      <c r="AI921" s="72"/>
    </row>
    <row r="922" spans="35:35" ht="12.75">
      <c r="AI922" s="72"/>
    </row>
    <row r="923" spans="35:35" ht="12.75">
      <c r="AI923" s="72"/>
    </row>
    <row r="924" spans="35:35" ht="12.75">
      <c r="AI924" s="72"/>
    </row>
    <row r="925" spans="35:35" ht="12.75">
      <c r="AI925" s="72"/>
    </row>
    <row r="926" spans="35:35" ht="12.75">
      <c r="AI926" s="72"/>
    </row>
    <row r="927" spans="35:35" ht="12.75">
      <c r="AI927" s="72"/>
    </row>
    <row r="928" spans="35:35" ht="12.75">
      <c r="AI928" s="72"/>
    </row>
    <row r="929" spans="35:35" ht="12.75">
      <c r="AI929" s="72"/>
    </row>
    <row r="930" spans="35:35" ht="12.75">
      <c r="AI930" s="72"/>
    </row>
    <row r="931" spans="35:35" ht="12.75">
      <c r="AI931" s="72"/>
    </row>
    <row r="932" spans="35:35" ht="12.75">
      <c r="AI932" s="72"/>
    </row>
    <row r="933" spans="35:35" ht="12.75">
      <c r="AI933" s="72"/>
    </row>
    <row r="934" spans="35:35" ht="12.75">
      <c r="AI934" s="72"/>
    </row>
    <row r="935" spans="35:35" ht="12.75">
      <c r="AI935" s="72"/>
    </row>
    <row r="936" spans="35:35" ht="12.75">
      <c r="AI936" s="72"/>
    </row>
    <row r="937" spans="35:35" ht="12.75">
      <c r="AI937" s="72"/>
    </row>
    <row r="938" spans="35:35" ht="12.75">
      <c r="AI938" s="72"/>
    </row>
    <row r="939" spans="35:35" ht="12.75">
      <c r="AI939" s="72"/>
    </row>
    <row r="940" spans="35:35" ht="12.75">
      <c r="AI940" s="72"/>
    </row>
    <row r="941" spans="35:35" ht="12.75">
      <c r="AI941" s="72"/>
    </row>
    <row r="942" spans="35:35" ht="12.75">
      <c r="AI942" s="72"/>
    </row>
    <row r="943" spans="35:35" ht="12.75">
      <c r="AI943" s="72"/>
    </row>
    <row r="944" spans="35:35" ht="12.75">
      <c r="AI944" s="72"/>
    </row>
    <row r="945" spans="35:35" ht="12.75">
      <c r="AI945" s="72"/>
    </row>
    <row r="946" spans="35:35" ht="12.75">
      <c r="AI946" s="72"/>
    </row>
    <row r="947" spans="35:35" ht="12.75">
      <c r="AI947" s="72"/>
    </row>
    <row r="948" spans="35:35" ht="12.75">
      <c r="AI948" s="72"/>
    </row>
    <row r="949" spans="35:35" ht="12.75">
      <c r="AI949" s="72"/>
    </row>
    <row r="950" spans="35:35" ht="12.75">
      <c r="AI950" s="72"/>
    </row>
    <row r="951" spans="35:35" ht="12.75">
      <c r="AI951" s="72"/>
    </row>
    <row r="952" spans="35:35" ht="12.75">
      <c r="AI952" s="72"/>
    </row>
    <row r="953" spans="35:35" ht="12.75">
      <c r="AI953" s="72"/>
    </row>
    <row r="954" spans="35:35" ht="12.75">
      <c r="AI954" s="72"/>
    </row>
    <row r="955" spans="35:35" ht="12.75">
      <c r="AI955" s="72"/>
    </row>
    <row r="956" spans="35:35" ht="12.75">
      <c r="AI956" s="72"/>
    </row>
    <row r="957" spans="35:35" ht="12.75">
      <c r="AI957" s="72"/>
    </row>
    <row r="958" spans="35:35" ht="12.75">
      <c r="AI958" s="72"/>
    </row>
    <row r="959" spans="35:35" ht="12.75">
      <c r="AI959" s="72"/>
    </row>
    <row r="960" spans="35:35" ht="12.75">
      <c r="AI960" s="72"/>
    </row>
    <row r="961" spans="35:35" ht="12.75">
      <c r="AI961" s="72"/>
    </row>
    <row r="962" spans="35:35" ht="12.75">
      <c r="AI962" s="72"/>
    </row>
    <row r="963" spans="35:35" ht="12.75">
      <c r="AI963" s="72"/>
    </row>
    <row r="964" spans="35:35" ht="12.75">
      <c r="AI964" s="72"/>
    </row>
    <row r="965" spans="35:35" ht="12.75">
      <c r="AI965" s="72"/>
    </row>
    <row r="966" spans="35:35" ht="12.75">
      <c r="AI966" s="72"/>
    </row>
    <row r="967" spans="35:35" ht="12.75">
      <c r="AI967" s="72"/>
    </row>
    <row r="968" spans="35:35" ht="12.75">
      <c r="AI968" s="72"/>
    </row>
    <row r="969" spans="35:35" ht="12.75">
      <c r="AI969" s="72"/>
    </row>
    <row r="970" spans="35:35" ht="12.75">
      <c r="AI970" s="72"/>
    </row>
    <row r="971" spans="35:35" ht="12.75">
      <c r="AI971" s="72"/>
    </row>
    <row r="972" spans="35:35" ht="12.75">
      <c r="AI972" s="72"/>
    </row>
    <row r="973" spans="35:35" ht="12.75">
      <c r="AI973" s="72"/>
    </row>
    <row r="974" spans="35:35" ht="12.75">
      <c r="AI974" s="72"/>
    </row>
    <row r="975" spans="35:35" ht="12.75">
      <c r="AI975" s="72"/>
    </row>
    <row r="976" spans="35:35" ht="12.75">
      <c r="AI976" s="72"/>
    </row>
    <row r="977" spans="35:35" ht="12.75">
      <c r="AI977" s="72"/>
    </row>
    <row r="978" spans="35:35" ht="12.75">
      <c r="AI978" s="72"/>
    </row>
    <row r="979" spans="35:35" ht="12.75">
      <c r="AI979" s="72"/>
    </row>
    <row r="980" spans="35:35" ht="12.75">
      <c r="AI980" s="72"/>
    </row>
    <row r="981" spans="35:35" ht="12.75">
      <c r="AI981" s="72"/>
    </row>
    <row r="982" spans="35:35" ht="12.75">
      <c r="AI982" s="72"/>
    </row>
    <row r="983" spans="35:35" ht="12.75">
      <c r="AI983" s="72"/>
    </row>
    <row r="984" spans="35:35" ht="12.75">
      <c r="AI984" s="72"/>
    </row>
    <row r="985" spans="35:35" ht="12.75">
      <c r="AI985" s="72"/>
    </row>
    <row r="986" spans="35:35" ht="12.75">
      <c r="AI986" s="72"/>
    </row>
    <row r="987" spans="35:35" ht="12.75">
      <c r="AI987" s="72"/>
    </row>
    <row r="988" spans="35:35" ht="12.75">
      <c r="AI988" s="72"/>
    </row>
    <row r="989" spans="35:35" ht="12.75">
      <c r="AI989" s="72"/>
    </row>
    <row r="990" spans="35:35" ht="12.75">
      <c r="AI990" s="72"/>
    </row>
    <row r="991" spans="35:35" ht="12.75">
      <c r="AI991" s="72"/>
    </row>
    <row r="992" spans="35:35" ht="12.75">
      <c r="AI992" s="72"/>
    </row>
    <row r="993" spans="35:35" ht="12.75">
      <c r="AI993" s="72"/>
    </row>
    <row r="994" spans="35:35" ht="12.75">
      <c r="AI994" s="72"/>
    </row>
    <row r="995" spans="35:35" ht="12.75">
      <c r="AI995" s="72"/>
    </row>
    <row r="996" spans="35:35" ht="12.75">
      <c r="AI996" s="72"/>
    </row>
    <row r="997" spans="35:35" ht="12.75">
      <c r="AI997" s="72"/>
    </row>
    <row r="998" spans="35:35" ht="12.75">
      <c r="AI998" s="72"/>
    </row>
    <row r="999" spans="35:35" ht="12.75">
      <c r="AI999" s="72"/>
    </row>
    <row r="1000" spans="35:35" ht="12.75">
      <c r="AI1000" s="72"/>
    </row>
    <row r="1001" spans="35:35" ht="12.75">
      <c r="AI1001" s="72"/>
    </row>
    <row r="1002" spans="35:35" ht="12.75">
      <c r="AI1002" s="72"/>
    </row>
    <row r="1003" spans="35:35" ht="12.75">
      <c r="AI1003" s="72"/>
    </row>
    <row r="1004" spans="35:35" ht="12.75">
      <c r="AI1004" s="72"/>
    </row>
    <row r="1005" spans="35:35" ht="12.75">
      <c r="AI1005" s="72"/>
    </row>
    <row r="1006" spans="35:35" ht="12.75">
      <c r="AI1006" s="72"/>
    </row>
    <row r="1007" spans="35:35" ht="12.75">
      <c r="AI1007" s="72"/>
    </row>
    <row r="1008" spans="35:35" ht="12.75">
      <c r="AI1008" s="72"/>
    </row>
    <row r="1009" spans="35:35" ht="12.75">
      <c r="AI1009" s="72"/>
    </row>
    <row r="1010" spans="35:35" ht="12.75">
      <c r="AI1010" s="72"/>
    </row>
    <row r="1011" spans="35:35" ht="12.75">
      <c r="AI1011" s="72"/>
    </row>
    <row r="1012" spans="35:35" ht="12.75">
      <c r="AI1012" s="72"/>
    </row>
    <row r="1013" spans="35:35" ht="12.75">
      <c r="AI1013" s="72"/>
    </row>
    <row r="1014" spans="35:35" ht="12.75">
      <c r="AI1014" s="72"/>
    </row>
    <row r="1015" spans="35:35" ht="12.75">
      <c r="AI1015" s="72"/>
    </row>
    <row r="1016" spans="35:35" ht="12.75">
      <c r="AI1016" s="72"/>
    </row>
    <row r="1017" spans="35:35" ht="12.75">
      <c r="AI1017" s="72"/>
    </row>
    <row r="1018" spans="35:35" ht="12.75">
      <c r="AI1018" s="72"/>
    </row>
    <row r="1019" spans="35:35" ht="12.75">
      <c r="AI1019" s="72"/>
    </row>
    <row r="1020" spans="35:35" ht="12.75">
      <c r="AI1020" s="72"/>
    </row>
    <row r="1021" spans="35:35" ht="12.75">
      <c r="AI1021" s="72"/>
    </row>
    <row r="1022" spans="35:35" ht="12.75">
      <c r="AI1022" s="72"/>
    </row>
    <row r="1023" spans="35:35" ht="12.75">
      <c r="AI1023" s="72"/>
    </row>
    <row r="1024" spans="35:35" ht="12.75">
      <c r="AI1024" s="72"/>
    </row>
    <row r="1025" spans="35:35" ht="12.75">
      <c r="AI1025" s="72"/>
    </row>
    <row r="1026" spans="35:35" ht="12.75">
      <c r="AI1026" s="72"/>
    </row>
    <row r="1027" spans="35:35" ht="12.75">
      <c r="AI1027" s="72"/>
    </row>
    <row r="1028" spans="35:35" ht="12.75">
      <c r="AI1028" s="72"/>
    </row>
    <row r="1029" spans="35:35" ht="12.75">
      <c r="AI1029" s="72"/>
    </row>
    <row r="1030" spans="35:35" ht="12.75">
      <c r="AI1030" s="72"/>
    </row>
    <row r="1031" spans="35:35" ht="12.75">
      <c r="AI1031" s="72"/>
    </row>
    <row r="1032" spans="35:35" ht="12.75">
      <c r="AI1032" s="72"/>
    </row>
    <row r="1033" spans="35:35" ht="12.75">
      <c r="AI1033" s="72"/>
    </row>
    <row r="1034" spans="35:35" ht="12.75">
      <c r="AI1034" s="72"/>
    </row>
    <row r="1035" spans="35:35" ht="12.75">
      <c r="AI1035" s="72"/>
    </row>
    <row r="1036" spans="35:35" ht="12.75">
      <c r="AI1036" s="72"/>
    </row>
    <row r="1037" spans="35:35" ht="12.75">
      <c r="AI1037" s="72"/>
    </row>
    <row r="1038" spans="35:35" ht="12.75">
      <c r="AI1038" s="72"/>
    </row>
    <row r="1039" spans="35:35" ht="12.75">
      <c r="AI1039" s="72"/>
    </row>
    <row r="1040" spans="35:35" ht="12.75">
      <c r="AI1040" s="72"/>
    </row>
    <row r="1041" spans="35:35" ht="12.75">
      <c r="AI1041" s="72"/>
    </row>
    <row r="1042" spans="35:35" ht="12.75">
      <c r="AI1042" s="72"/>
    </row>
    <row r="1043" spans="35:35" ht="12.75">
      <c r="AI1043" s="72"/>
    </row>
    <row r="1044" spans="35:35" ht="12.75">
      <c r="AI1044" s="72"/>
    </row>
    <row r="1045" spans="35:35" ht="12.75">
      <c r="AI1045" s="72"/>
    </row>
    <row r="1046" spans="35:35" ht="12.75">
      <c r="AI1046" s="72"/>
    </row>
    <row r="1047" spans="35:35" ht="12.75">
      <c r="AI1047" s="72"/>
    </row>
    <row r="1048" spans="35:35" ht="12.75">
      <c r="AI1048" s="72"/>
    </row>
    <row r="1049" spans="35:35" ht="12.75">
      <c r="AI1049" s="72"/>
    </row>
    <row r="1050" spans="35:35" ht="12.75">
      <c r="AI1050" s="72"/>
    </row>
    <row r="1051" spans="35:35" ht="12.75">
      <c r="AI1051" s="72"/>
    </row>
    <row r="1052" spans="35:35" ht="12.75">
      <c r="AI1052" s="72"/>
    </row>
    <row r="1053" spans="35:35" ht="12.75">
      <c r="AI1053" s="72"/>
    </row>
    <row r="1054" spans="35:35" ht="12.75">
      <c r="AI1054" s="72"/>
    </row>
    <row r="1055" spans="35:35" ht="12.75">
      <c r="AI1055" s="72"/>
    </row>
    <row r="1056" spans="35:35" ht="12.75">
      <c r="AI1056" s="72"/>
    </row>
    <row r="1057" spans="28:35" ht="12.75">
      <c r="AI1057" s="72"/>
    </row>
    <row r="1058" spans="28:35" ht="12.75">
      <c r="AI1058" s="72"/>
    </row>
    <row r="1059" spans="28:35" ht="12.75">
      <c r="AI1059" s="72"/>
    </row>
    <row r="1060" spans="28:35" ht="12.75">
      <c r="AI1060" s="72"/>
    </row>
    <row r="1061" spans="28:35" ht="12.75">
      <c r="AI1061" s="72"/>
    </row>
    <row r="1062" spans="28:35" ht="12.75">
      <c r="AI1062" s="72"/>
    </row>
    <row r="1063" spans="28:35" ht="12.75">
      <c r="AI1063" s="72"/>
    </row>
    <row r="1064" spans="28:35" ht="12.75">
      <c r="AI1064" s="72"/>
    </row>
    <row r="1065" spans="28:35" ht="12.75">
      <c r="AI1065" s="72"/>
    </row>
    <row r="1066" spans="28:35" ht="12.75">
      <c r="AI1066" s="72"/>
    </row>
    <row r="1067" spans="28:35" ht="12.75">
      <c r="AI1067" s="72"/>
    </row>
    <row r="1068" spans="28:35" ht="12.75">
      <c r="AI1068" s="72"/>
    </row>
    <row r="1069" spans="28:35" ht="12.75">
      <c r="AI1069" s="72"/>
    </row>
    <row r="1070" spans="28:35" ht="12.75">
      <c r="AI1070" s="72"/>
    </row>
    <row r="1071" spans="28:35" ht="12.75">
      <c r="AB1071" s="193"/>
      <c r="AI1071" s="72"/>
    </row>
  </sheetData>
  <mergeCells count="65">
    <mergeCell ref="B1:E3"/>
    <mergeCell ref="F3:H3"/>
    <mergeCell ref="B4:B5"/>
    <mergeCell ref="C4:C5"/>
    <mergeCell ref="D4:D5"/>
    <mergeCell ref="E4:E5"/>
    <mergeCell ref="F4:H4"/>
    <mergeCell ref="A1:A5"/>
    <mergeCell ref="F1:Z1"/>
    <mergeCell ref="AB1:AD2"/>
    <mergeCell ref="L2:N2"/>
    <mergeCell ref="O2:Q2"/>
    <mergeCell ref="R2:T2"/>
    <mergeCell ref="U2:W2"/>
    <mergeCell ref="I3:K3"/>
    <mergeCell ref="L3:N3"/>
    <mergeCell ref="O3:Q3"/>
    <mergeCell ref="R3:T3"/>
    <mergeCell ref="I4:K4"/>
    <mergeCell ref="L4:N4"/>
    <mergeCell ref="O4:Q4"/>
    <mergeCell ref="R4:T4"/>
    <mergeCell ref="U4:W4"/>
    <mergeCell ref="AH1:AH5"/>
    <mergeCell ref="AI1:AI5"/>
    <mergeCell ref="X2:Z2"/>
    <mergeCell ref="AE4:AG4"/>
    <mergeCell ref="AE3:AG3"/>
    <mergeCell ref="X4:Z4"/>
    <mergeCell ref="AB4:AD4"/>
    <mergeCell ref="A116:E116"/>
    <mergeCell ref="G116:H116"/>
    <mergeCell ref="A120:E121"/>
    <mergeCell ref="F120:AH122"/>
    <mergeCell ref="A122:B124"/>
    <mergeCell ref="C122:E124"/>
    <mergeCell ref="A134:E134"/>
    <mergeCell ref="F123:AH123"/>
    <mergeCell ref="F124:AH126"/>
    <mergeCell ref="A125:E125"/>
    <mergeCell ref="A126:B128"/>
    <mergeCell ref="C126:E128"/>
    <mergeCell ref="F128:AH128"/>
    <mergeCell ref="A129:E129"/>
    <mergeCell ref="A130:B130"/>
    <mergeCell ref="C130:E130"/>
    <mergeCell ref="F130:AH130"/>
    <mergeCell ref="A131:E131"/>
    <mergeCell ref="A132:E133"/>
    <mergeCell ref="A114:E114"/>
    <mergeCell ref="F114:H114"/>
    <mergeCell ref="F115:H115"/>
    <mergeCell ref="AE113:AG113"/>
    <mergeCell ref="F2:H2"/>
    <mergeCell ref="I2:K2"/>
    <mergeCell ref="B113:E113"/>
    <mergeCell ref="F113:H113"/>
    <mergeCell ref="R113:T113"/>
    <mergeCell ref="O114:Q114"/>
    <mergeCell ref="U3:W3"/>
    <mergeCell ref="X3:Z3"/>
    <mergeCell ref="AB3:AD3"/>
    <mergeCell ref="AB113:AD113"/>
    <mergeCell ref="A115:E115"/>
    <mergeCell ref="AE1:AG2"/>
  </mergeCells>
  <conditionalFormatting sqref="A6:Z110 AH6:AI110">
    <cfRule type="expression" dxfId="2" priority="1">
      <formula>ISODD(ROW())</formula>
    </cfRule>
  </conditionalFormatting>
  <conditionalFormatting sqref="AB6:AG110">
    <cfRule type="expression" dxfId="1" priority="2">
      <formula>ISODD(ROW())</formula>
    </cfRule>
  </conditionalFormatting>
  <hyperlinks>
    <hyperlink ref="AI23" r:id="rId1" xr:uid="{00000000-0004-0000-0700-000000000000}"/>
    <hyperlink ref="AI24" r:id="rId2" xr:uid="{00000000-0004-0000-0700-000001000000}"/>
    <hyperlink ref="AI26" r:id="rId3" xr:uid="{00000000-0004-0000-0700-000002000000}"/>
    <hyperlink ref="AI27" r:id="rId4" xr:uid="{00000000-0004-0000-0700-000003000000}"/>
    <hyperlink ref="AI29" r:id="rId5" xr:uid="{00000000-0004-0000-0700-000004000000}"/>
    <hyperlink ref="AI30" r:id="rId6" xr:uid="{00000000-0004-0000-0700-000005000000}"/>
    <hyperlink ref="AI35" r:id="rId7" xr:uid="{00000000-0004-0000-0700-000006000000}"/>
    <hyperlink ref="AI36" r:id="rId8" xr:uid="{00000000-0004-0000-0700-000007000000}"/>
    <hyperlink ref="AI37" r:id="rId9" xr:uid="{00000000-0004-0000-0700-000008000000}"/>
    <hyperlink ref="AI39" r:id="rId10" xr:uid="{00000000-0004-0000-0700-000009000000}"/>
    <hyperlink ref="AI40" r:id="rId11" xr:uid="{00000000-0004-0000-0700-00000A000000}"/>
    <hyperlink ref="AI41" r:id="rId12" xr:uid="{00000000-0004-0000-0700-00000B000000}"/>
    <hyperlink ref="AI43" r:id="rId13" xr:uid="{00000000-0004-0000-0700-00000C000000}"/>
    <hyperlink ref="AI45" r:id="rId14" xr:uid="{00000000-0004-0000-0700-00000D000000}"/>
    <hyperlink ref="AI46" r:id="rId15" xr:uid="{00000000-0004-0000-0700-00000E000000}"/>
    <hyperlink ref="AI48" r:id="rId16" xr:uid="{00000000-0004-0000-0700-00000F000000}"/>
    <hyperlink ref="AI49" r:id="rId17" xr:uid="{00000000-0004-0000-0700-000010000000}"/>
    <hyperlink ref="AI50" r:id="rId18" xr:uid="{00000000-0004-0000-0700-000011000000}"/>
    <hyperlink ref="AI51" r:id="rId19" xr:uid="{00000000-0004-0000-0700-000012000000}"/>
    <hyperlink ref="AI52" r:id="rId20" xr:uid="{00000000-0004-0000-0700-000013000000}"/>
    <hyperlink ref="AI53" r:id="rId21" xr:uid="{00000000-0004-0000-0700-000014000000}"/>
    <hyperlink ref="AI55" r:id="rId22" xr:uid="{00000000-0004-0000-0700-000015000000}"/>
    <hyperlink ref="AI56" r:id="rId23" xr:uid="{00000000-0004-0000-0700-000016000000}"/>
    <hyperlink ref="AI57" r:id="rId24" xr:uid="{00000000-0004-0000-0700-000017000000}"/>
    <hyperlink ref="AI58" r:id="rId25" xr:uid="{00000000-0004-0000-0700-000018000000}"/>
    <hyperlink ref="AI60" r:id="rId26" xr:uid="{00000000-0004-0000-0700-000019000000}"/>
    <hyperlink ref="AI70" r:id="rId27" xr:uid="{00000000-0004-0000-0700-00001A000000}"/>
    <hyperlink ref="AI75" r:id="rId28" xr:uid="{00000000-0004-0000-0700-00001B000000}"/>
    <hyperlink ref="AI77" r:id="rId29" xr:uid="{00000000-0004-0000-0700-00001C000000}"/>
    <hyperlink ref="AI78" r:id="rId30" xr:uid="{00000000-0004-0000-0700-00001D000000}"/>
    <hyperlink ref="AI87" r:id="rId31" xr:uid="{00000000-0004-0000-0700-00001E000000}"/>
    <hyperlink ref="AI88" r:id="rId32" xr:uid="{00000000-0004-0000-0700-00001F000000}"/>
    <hyperlink ref="AI92" r:id="rId33" xr:uid="{00000000-0004-0000-0700-000020000000}"/>
    <hyperlink ref="AI93" r:id="rId34" xr:uid="{00000000-0004-0000-0700-000021000000}"/>
    <hyperlink ref="O114" r:id="rId35" xr:uid="{00000000-0004-0000-0700-000022000000}"/>
    <hyperlink ref="C122" r:id="rId36" xr:uid="{00000000-0004-0000-0700-000023000000}"/>
    <hyperlink ref="C126" r:id="rId37" location="/c88e37cfc43b4ed3baf977d77e4a0667" xr:uid="{00000000-0004-0000-0700-000024000000}"/>
    <hyperlink ref="C130" r:id="rId38" xr:uid="{00000000-0004-0000-0700-000025000000}"/>
  </hyperlinks>
  <printOptions horizontalCentered="1"/>
  <pageMargins left="0.7" right="0.7" top="0.75" bottom="0.75" header="0" footer="0"/>
  <pageSetup fitToHeight="0" pageOrder="overThenDown" orientation="landscape" cellComments="atEnd"/>
  <drawing r:id="rId3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995"/>
  <sheetViews>
    <sheetView workbookViewId="0"/>
  </sheetViews>
  <sheetFormatPr baseColWidth="10" defaultColWidth="14.42578125" defaultRowHeight="15.75" customHeight="1"/>
  <cols>
    <col min="1" max="1" width="8" customWidth="1"/>
    <col min="3" max="3" width="22.28515625" customWidth="1"/>
    <col min="5" max="5" width="18.85546875" customWidth="1"/>
    <col min="6" max="6" width="17" customWidth="1"/>
    <col min="7" max="7" width="17.5703125" customWidth="1"/>
    <col min="8" max="10" width="17" customWidth="1"/>
    <col min="11" max="11" width="15.42578125" customWidth="1"/>
    <col min="12" max="12" width="16.42578125" customWidth="1"/>
  </cols>
  <sheetData>
    <row r="1" spans="1:12" ht="12.75">
      <c r="A1" s="123"/>
      <c r="B1" s="123"/>
      <c r="C1" s="123"/>
      <c r="E1" s="475"/>
    </row>
    <row r="2" spans="1:12" ht="23.25">
      <c r="A2" s="123"/>
      <c r="B2" s="671" t="s">
        <v>1169</v>
      </c>
      <c r="C2" s="531"/>
      <c r="D2" s="531"/>
      <c r="E2" s="531"/>
      <c r="F2" s="531"/>
      <c r="G2" s="531"/>
      <c r="H2" s="531"/>
      <c r="I2" s="531"/>
      <c r="J2" s="531"/>
    </row>
    <row r="3" spans="1:12" ht="12.75">
      <c r="A3" s="123"/>
      <c r="E3" s="475"/>
    </row>
    <row r="4" spans="1:12" ht="12.75">
      <c r="A4" s="123"/>
      <c r="B4" s="476" t="s">
        <v>1170</v>
      </c>
      <c r="C4" s="477" t="s">
        <v>1171</v>
      </c>
      <c r="D4" s="477" t="s">
        <v>1172</v>
      </c>
      <c r="E4" s="477" t="s">
        <v>1173</v>
      </c>
      <c r="F4" s="478" t="s">
        <v>1174</v>
      </c>
      <c r="G4" s="478" t="s">
        <v>1175</v>
      </c>
      <c r="H4" s="478" t="s">
        <v>1174</v>
      </c>
      <c r="I4" s="478" t="s">
        <v>1175</v>
      </c>
      <c r="J4" s="478" t="s">
        <v>1176</v>
      </c>
      <c r="K4" s="478" t="s">
        <v>1177</v>
      </c>
      <c r="L4" s="479"/>
    </row>
    <row r="5" spans="1:12" ht="12.75" customHeight="1">
      <c r="A5" s="123"/>
      <c r="B5" s="480">
        <v>50</v>
      </c>
      <c r="C5" s="481">
        <v>127550</v>
      </c>
      <c r="D5" s="662">
        <f>SUM(C5:C14)</f>
        <v>1309579</v>
      </c>
      <c r="E5" s="665">
        <f>D5*100/D55</f>
        <v>15.326572649072503</v>
      </c>
      <c r="F5" s="672">
        <f>(C5:C19)</f>
        <v>127550</v>
      </c>
      <c r="G5" s="673">
        <f>F5*100/D55</f>
        <v>1.4927731289133361</v>
      </c>
      <c r="H5" s="662">
        <f>SUM(C5:C14)</f>
        <v>1309579</v>
      </c>
      <c r="I5" s="665">
        <f>D5*100/D55</f>
        <v>15.326572649072503</v>
      </c>
      <c r="J5" s="664">
        <f>D5+D15+D25+D35+D45</f>
        <v>3533130</v>
      </c>
      <c r="K5" s="665">
        <f>J5*100/D55</f>
        <v>41.349757153724617</v>
      </c>
    </row>
    <row r="6" spans="1:12" ht="12.75" customHeight="1">
      <c r="A6" s="123"/>
      <c r="B6" s="480">
        <v>51</v>
      </c>
      <c r="C6" s="481">
        <v>130202</v>
      </c>
      <c r="D6" s="532"/>
      <c r="E6" s="532"/>
      <c r="F6" s="531"/>
      <c r="G6" s="532"/>
      <c r="H6" s="532"/>
      <c r="I6" s="532"/>
      <c r="J6" s="532"/>
      <c r="K6" s="532"/>
    </row>
    <row r="7" spans="1:12" ht="12.75" customHeight="1">
      <c r="A7" s="123"/>
      <c r="B7" s="480">
        <v>52</v>
      </c>
      <c r="C7" s="481">
        <v>132475</v>
      </c>
      <c r="D7" s="532"/>
      <c r="E7" s="532"/>
      <c r="F7" s="531"/>
      <c r="G7" s="532"/>
      <c r="H7" s="532"/>
      <c r="I7" s="532"/>
      <c r="J7" s="532"/>
      <c r="K7" s="532"/>
    </row>
    <row r="8" spans="1:12" ht="12.75" customHeight="1">
      <c r="A8" s="123"/>
      <c r="B8" s="480">
        <v>53</v>
      </c>
      <c r="C8" s="481">
        <v>133208</v>
      </c>
      <c r="D8" s="532"/>
      <c r="E8" s="532"/>
      <c r="F8" s="531"/>
      <c r="G8" s="532"/>
      <c r="H8" s="532"/>
      <c r="I8" s="532"/>
      <c r="J8" s="532"/>
      <c r="K8" s="532"/>
    </row>
    <row r="9" spans="1:12" ht="12.75" customHeight="1">
      <c r="A9" s="123"/>
      <c r="B9" s="480">
        <v>54</v>
      </c>
      <c r="C9" s="481">
        <v>135232</v>
      </c>
      <c r="D9" s="532"/>
      <c r="E9" s="532"/>
      <c r="F9" s="531"/>
      <c r="G9" s="532"/>
      <c r="H9" s="532"/>
      <c r="I9" s="532"/>
      <c r="J9" s="532"/>
      <c r="K9" s="532"/>
    </row>
    <row r="10" spans="1:12" ht="12.75" customHeight="1">
      <c r="A10" s="123"/>
      <c r="B10" s="480">
        <v>55</v>
      </c>
      <c r="C10" s="481">
        <v>134918</v>
      </c>
      <c r="D10" s="532"/>
      <c r="E10" s="532"/>
      <c r="F10" s="531"/>
      <c r="G10" s="532"/>
      <c r="H10" s="532"/>
      <c r="I10" s="532"/>
      <c r="J10" s="532"/>
      <c r="K10" s="532"/>
    </row>
    <row r="11" spans="1:12" ht="12.75" customHeight="1">
      <c r="B11" s="480">
        <v>56</v>
      </c>
      <c r="C11" s="481">
        <v>136297</v>
      </c>
      <c r="D11" s="532"/>
      <c r="E11" s="532"/>
      <c r="F11" s="531"/>
      <c r="G11" s="532"/>
      <c r="H11" s="532"/>
      <c r="I11" s="532"/>
      <c r="J11" s="532"/>
      <c r="K11" s="532"/>
    </row>
    <row r="12" spans="1:12" ht="12.75" customHeight="1">
      <c r="A12" s="123"/>
      <c r="B12" s="480">
        <v>57</v>
      </c>
      <c r="C12" s="481">
        <v>131843</v>
      </c>
      <c r="D12" s="532"/>
      <c r="E12" s="532"/>
      <c r="F12" s="531"/>
      <c r="G12" s="532"/>
      <c r="H12" s="532"/>
      <c r="I12" s="532"/>
      <c r="J12" s="532"/>
      <c r="K12" s="532"/>
    </row>
    <row r="13" spans="1:12" ht="12.75" customHeight="1">
      <c r="B13" s="480">
        <v>58</v>
      </c>
      <c r="C13" s="481">
        <v>126382</v>
      </c>
      <c r="D13" s="532"/>
      <c r="E13" s="532"/>
      <c r="F13" s="531"/>
      <c r="G13" s="532"/>
      <c r="H13" s="532"/>
      <c r="I13" s="532"/>
      <c r="J13" s="532"/>
      <c r="K13" s="532"/>
    </row>
    <row r="14" spans="1:12" ht="13.5" customHeight="1">
      <c r="B14" s="482">
        <v>59</v>
      </c>
      <c r="C14" s="483">
        <v>121472</v>
      </c>
      <c r="D14" s="663"/>
      <c r="E14" s="663"/>
      <c r="F14" s="531"/>
      <c r="G14" s="532"/>
      <c r="H14" s="663"/>
      <c r="I14" s="663"/>
      <c r="J14" s="532"/>
      <c r="K14" s="532"/>
    </row>
    <row r="15" spans="1:12" ht="12.75" customHeight="1">
      <c r="B15" s="480">
        <v>60</v>
      </c>
      <c r="C15" s="481">
        <v>117396</v>
      </c>
      <c r="D15" s="662">
        <f>SUM(C15:C24)</f>
        <v>996582</v>
      </c>
      <c r="E15" s="665">
        <f>D15*100/D55</f>
        <v>11.663432617473228</v>
      </c>
      <c r="F15" s="531"/>
      <c r="G15" s="532"/>
      <c r="H15" s="662">
        <f>SUM(D15:D34)</f>
        <v>1744681</v>
      </c>
      <c r="I15" s="664">
        <f>H15*100/D55</f>
        <v>20.418760606237932</v>
      </c>
      <c r="J15" s="532"/>
      <c r="K15" s="532"/>
    </row>
    <row r="16" spans="1:12" ht="12.75" customHeight="1">
      <c r="B16" s="480">
        <v>61</v>
      </c>
      <c r="C16" s="481">
        <v>113395</v>
      </c>
      <c r="D16" s="532"/>
      <c r="E16" s="532"/>
      <c r="F16" s="531"/>
      <c r="G16" s="532"/>
      <c r="H16" s="532"/>
      <c r="I16" s="532"/>
      <c r="J16" s="532"/>
      <c r="K16" s="532"/>
    </row>
    <row r="17" spans="2:11" ht="12.75" customHeight="1">
      <c r="B17" s="480">
        <v>62</v>
      </c>
      <c r="C17" s="481">
        <v>108644</v>
      </c>
      <c r="D17" s="532"/>
      <c r="E17" s="532"/>
      <c r="F17" s="531"/>
      <c r="G17" s="532"/>
      <c r="H17" s="532"/>
      <c r="I17" s="532"/>
      <c r="J17" s="532"/>
      <c r="K17" s="532"/>
    </row>
    <row r="18" spans="2:11" ht="12.75" customHeight="1">
      <c r="B18" s="480">
        <v>63</v>
      </c>
      <c r="C18" s="481">
        <v>105370</v>
      </c>
      <c r="D18" s="532"/>
      <c r="E18" s="532"/>
      <c r="F18" s="531"/>
      <c r="G18" s="532"/>
      <c r="H18" s="532"/>
      <c r="I18" s="532"/>
      <c r="J18" s="532"/>
      <c r="K18" s="532"/>
    </row>
    <row r="19" spans="2:11" ht="12.75" customHeight="1">
      <c r="B19" s="480">
        <v>64</v>
      </c>
      <c r="C19" s="481">
        <v>101380</v>
      </c>
      <c r="D19" s="532"/>
      <c r="E19" s="532"/>
      <c r="F19" s="639"/>
      <c r="G19" s="663"/>
      <c r="H19" s="532"/>
      <c r="I19" s="532"/>
      <c r="J19" s="532"/>
      <c r="K19" s="532"/>
    </row>
    <row r="20" spans="2:11" ht="12.75" customHeight="1">
      <c r="B20" s="480">
        <v>65</v>
      </c>
      <c r="C20" s="481">
        <v>96419</v>
      </c>
      <c r="D20" s="532"/>
      <c r="E20" s="532"/>
      <c r="F20" s="662">
        <f>(C20:C24)+D25+D35+D45</f>
        <v>1323388</v>
      </c>
      <c r="G20" s="664">
        <f>F20*100/D55</f>
        <v>15.488185382409737</v>
      </c>
      <c r="H20" s="532"/>
      <c r="I20" s="532"/>
      <c r="J20" s="532"/>
      <c r="K20" s="532"/>
    </row>
    <row r="21" spans="2:11" ht="12.75" customHeight="1">
      <c r="B21" s="480">
        <v>66</v>
      </c>
      <c r="C21" s="481">
        <v>92842</v>
      </c>
      <c r="D21" s="532"/>
      <c r="E21" s="532"/>
      <c r="F21" s="532"/>
      <c r="G21" s="532"/>
      <c r="H21" s="532"/>
      <c r="I21" s="532"/>
      <c r="J21" s="532"/>
      <c r="K21" s="532"/>
    </row>
    <row r="22" spans="2:11" ht="12.75" customHeight="1">
      <c r="B22" s="480">
        <v>67</v>
      </c>
      <c r="C22" s="481">
        <v>89255</v>
      </c>
      <c r="D22" s="532"/>
      <c r="E22" s="532"/>
      <c r="F22" s="532"/>
      <c r="G22" s="532"/>
      <c r="H22" s="532"/>
      <c r="I22" s="532"/>
      <c r="J22" s="532"/>
      <c r="K22" s="532"/>
    </row>
    <row r="23" spans="2:11" ht="12.75" customHeight="1">
      <c r="B23" s="480">
        <v>68</v>
      </c>
      <c r="C23" s="481">
        <v>87940</v>
      </c>
      <c r="D23" s="532"/>
      <c r="E23" s="532"/>
      <c r="F23" s="532"/>
      <c r="G23" s="532"/>
      <c r="H23" s="532"/>
      <c r="I23" s="532"/>
      <c r="J23" s="532"/>
      <c r="K23" s="532"/>
    </row>
    <row r="24" spans="2:11" ht="15" customHeight="1">
      <c r="B24" s="482">
        <v>69</v>
      </c>
      <c r="C24" s="483">
        <v>83941</v>
      </c>
      <c r="D24" s="663"/>
      <c r="E24" s="663"/>
      <c r="F24" s="532"/>
      <c r="G24" s="532"/>
      <c r="H24" s="532"/>
      <c r="I24" s="532"/>
      <c r="J24" s="532"/>
      <c r="K24" s="532"/>
    </row>
    <row r="25" spans="2:11" ht="12.75" customHeight="1">
      <c r="B25" s="480">
        <v>70</v>
      </c>
      <c r="C25" s="481">
        <v>85205</v>
      </c>
      <c r="D25" s="662">
        <f>SUM(C25:C34)</f>
        <v>748099</v>
      </c>
      <c r="E25" s="665">
        <f>D25*100/D55</f>
        <v>8.7553279887647033</v>
      </c>
      <c r="F25" s="532"/>
      <c r="G25" s="532"/>
      <c r="H25" s="532"/>
      <c r="I25" s="532"/>
      <c r="J25" s="532"/>
      <c r="K25" s="532"/>
    </row>
    <row r="26" spans="2:11" ht="12.75" customHeight="1">
      <c r="B26" s="480">
        <v>71</v>
      </c>
      <c r="C26" s="481">
        <v>82875</v>
      </c>
      <c r="D26" s="532"/>
      <c r="E26" s="532"/>
      <c r="F26" s="532"/>
      <c r="G26" s="532"/>
      <c r="H26" s="532"/>
      <c r="I26" s="532"/>
      <c r="J26" s="532"/>
      <c r="K26" s="532"/>
    </row>
    <row r="27" spans="2:11" ht="12.75" customHeight="1">
      <c r="B27" s="480">
        <v>72</v>
      </c>
      <c r="C27" s="481">
        <v>82784</v>
      </c>
      <c r="D27" s="532"/>
      <c r="E27" s="532"/>
      <c r="F27" s="532"/>
      <c r="G27" s="532"/>
      <c r="H27" s="532"/>
      <c r="I27" s="532"/>
      <c r="J27" s="532"/>
      <c r="K27" s="532"/>
    </row>
    <row r="28" spans="2:11" ht="12.75" customHeight="1">
      <c r="B28" s="480">
        <v>73</v>
      </c>
      <c r="C28" s="481">
        <v>80590</v>
      </c>
      <c r="D28" s="532"/>
      <c r="E28" s="532"/>
      <c r="F28" s="532"/>
      <c r="G28" s="532"/>
      <c r="H28" s="532"/>
      <c r="I28" s="532"/>
      <c r="J28" s="532"/>
      <c r="K28" s="532"/>
    </row>
    <row r="29" spans="2:11" ht="12.75" customHeight="1">
      <c r="B29" s="480">
        <v>74</v>
      </c>
      <c r="C29" s="481">
        <v>79191</v>
      </c>
      <c r="D29" s="532"/>
      <c r="E29" s="532"/>
      <c r="F29" s="532"/>
      <c r="G29" s="532"/>
      <c r="H29" s="532"/>
      <c r="I29" s="532"/>
      <c r="J29" s="532"/>
      <c r="K29" s="532"/>
    </row>
    <row r="30" spans="2:11" ht="12.75" customHeight="1">
      <c r="B30" s="480">
        <v>75</v>
      </c>
      <c r="C30" s="481">
        <v>74653</v>
      </c>
      <c r="D30" s="532"/>
      <c r="E30" s="532"/>
      <c r="F30" s="532"/>
      <c r="G30" s="532"/>
      <c r="H30" s="532"/>
      <c r="I30" s="532"/>
      <c r="J30" s="532"/>
      <c r="K30" s="532"/>
    </row>
    <row r="31" spans="2:11" ht="12.75" customHeight="1">
      <c r="B31" s="480">
        <v>76</v>
      </c>
      <c r="C31" s="481">
        <v>72213</v>
      </c>
      <c r="D31" s="532"/>
      <c r="E31" s="532"/>
      <c r="F31" s="532"/>
      <c r="G31" s="532"/>
      <c r="H31" s="532"/>
      <c r="I31" s="532"/>
      <c r="J31" s="532"/>
      <c r="K31" s="532"/>
    </row>
    <row r="32" spans="2:11" ht="12.75" customHeight="1">
      <c r="B32" s="480">
        <v>77</v>
      </c>
      <c r="C32" s="481">
        <v>68392</v>
      </c>
      <c r="D32" s="532"/>
      <c r="E32" s="532"/>
      <c r="F32" s="532"/>
      <c r="G32" s="532"/>
      <c r="H32" s="532"/>
      <c r="I32" s="532"/>
      <c r="J32" s="532"/>
      <c r="K32" s="532"/>
    </row>
    <row r="33" spans="2:11" ht="12.75" customHeight="1">
      <c r="B33" s="480">
        <v>78</v>
      </c>
      <c r="C33" s="481">
        <v>63860</v>
      </c>
      <c r="D33" s="532"/>
      <c r="E33" s="532"/>
      <c r="F33" s="532"/>
      <c r="G33" s="532"/>
      <c r="H33" s="532"/>
      <c r="I33" s="532"/>
      <c r="J33" s="532"/>
      <c r="K33" s="532"/>
    </row>
    <row r="34" spans="2:11" ht="15" customHeight="1">
      <c r="B34" s="482">
        <v>79</v>
      </c>
      <c r="C34" s="483">
        <v>58336</v>
      </c>
      <c r="D34" s="663"/>
      <c r="E34" s="663"/>
      <c r="F34" s="532"/>
      <c r="G34" s="532"/>
      <c r="H34" s="663"/>
      <c r="I34" s="663"/>
      <c r="J34" s="532"/>
      <c r="K34" s="532"/>
    </row>
    <row r="35" spans="2:11" ht="12.75" customHeight="1">
      <c r="B35" s="480">
        <v>80</v>
      </c>
      <c r="C35" s="481">
        <v>52239</v>
      </c>
      <c r="D35" s="662">
        <f>SUM(C35:C44)</f>
        <v>385040</v>
      </c>
      <c r="E35" s="665">
        <f>D35*100/D55</f>
        <v>4.5062905962900111</v>
      </c>
      <c r="F35" s="532"/>
      <c r="G35" s="532"/>
      <c r="H35" s="662">
        <f>SUM(D35:D54)</f>
        <v>478870</v>
      </c>
      <c r="I35" s="664">
        <f>H35*100/D55</f>
        <v>5.6044238984141845</v>
      </c>
      <c r="J35" s="532"/>
      <c r="K35" s="532"/>
    </row>
    <row r="36" spans="2:11" ht="12.75" customHeight="1">
      <c r="B36" s="480">
        <v>81</v>
      </c>
      <c r="C36" s="481">
        <v>49321</v>
      </c>
      <c r="D36" s="532"/>
      <c r="E36" s="532"/>
      <c r="F36" s="532"/>
      <c r="G36" s="532"/>
      <c r="H36" s="532"/>
      <c r="I36" s="532"/>
      <c r="J36" s="532"/>
      <c r="K36" s="532"/>
    </row>
    <row r="37" spans="2:11" ht="12.75" customHeight="1">
      <c r="B37" s="480">
        <v>82</v>
      </c>
      <c r="C37" s="481">
        <v>46094</v>
      </c>
      <c r="D37" s="532"/>
      <c r="E37" s="532"/>
      <c r="F37" s="532"/>
      <c r="G37" s="532"/>
      <c r="H37" s="532"/>
      <c r="I37" s="532"/>
      <c r="J37" s="532"/>
      <c r="K37" s="532"/>
    </row>
    <row r="38" spans="2:11" ht="12.75" customHeight="1">
      <c r="B38" s="480">
        <v>83</v>
      </c>
      <c r="C38" s="481">
        <v>42371</v>
      </c>
      <c r="D38" s="532"/>
      <c r="E38" s="532"/>
      <c r="F38" s="532"/>
      <c r="G38" s="532"/>
      <c r="H38" s="532"/>
      <c r="I38" s="532"/>
      <c r="J38" s="532"/>
      <c r="K38" s="532"/>
    </row>
    <row r="39" spans="2:11" ht="12.75" customHeight="1">
      <c r="B39" s="480">
        <v>84</v>
      </c>
      <c r="C39" s="481">
        <v>40227</v>
      </c>
      <c r="D39" s="532"/>
      <c r="E39" s="532"/>
      <c r="F39" s="532"/>
      <c r="G39" s="532"/>
      <c r="H39" s="532"/>
      <c r="I39" s="532"/>
      <c r="J39" s="532"/>
      <c r="K39" s="532"/>
    </row>
    <row r="40" spans="2:11" ht="12.75" customHeight="1">
      <c r="B40" s="480">
        <v>85</v>
      </c>
      <c r="C40" s="481">
        <v>37680</v>
      </c>
      <c r="D40" s="532"/>
      <c r="E40" s="532"/>
      <c r="F40" s="532"/>
      <c r="G40" s="532"/>
      <c r="H40" s="532"/>
      <c r="I40" s="532"/>
      <c r="J40" s="532"/>
      <c r="K40" s="532"/>
    </row>
    <row r="41" spans="2:11" ht="12.75" customHeight="1">
      <c r="B41" s="480">
        <v>86</v>
      </c>
      <c r="C41" s="481">
        <v>34399</v>
      </c>
      <c r="D41" s="532"/>
      <c r="E41" s="532"/>
      <c r="F41" s="532"/>
      <c r="G41" s="532"/>
      <c r="H41" s="532"/>
      <c r="I41" s="532"/>
      <c r="J41" s="532"/>
      <c r="K41" s="532"/>
    </row>
    <row r="42" spans="2:11" ht="12.75" customHeight="1">
      <c r="B42" s="480">
        <v>87</v>
      </c>
      <c r="C42" s="481">
        <v>30662</v>
      </c>
      <c r="D42" s="532"/>
      <c r="E42" s="532"/>
      <c r="F42" s="532"/>
      <c r="G42" s="532"/>
      <c r="H42" s="532"/>
      <c r="I42" s="532"/>
      <c r="J42" s="532"/>
      <c r="K42" s="532"/>
    </row>
    <row r="43" spans="2:11" ht="12.75" customHeight="1">
      <c r="B43" s="480">
        <v>88</v>
      </c>
      <c r="C43" s="481">
        <v>27748</v>
      </c>
      <c r="D43" s="532"/>
      <c r="E43" s="532"/>
      <c r="F43" s="532"/>
      <c r="G43" s="532"/>
      <c r="H43" s="532"/>
      <c r="I43" s="532"/>
      <c r="J43" s="532"/>
      <c r="K43" s="532"/>
    </row>
    <row r="44" spans="2:11" ht="15" customHeight="1">
      <c r="B44" s="482">
        <v>89</v>
      </c>
      <c r="C44" s="483">
        <v>24299</v>
      </c>
      <c r="D44" s="663"/>
      <c r="E44" s="663"/>
      <c r="F44" s="532"/>
      <c r="G44" s="532"/>
      <c r="H44" s="532"/>
      <c r="I44" s="532"/>
      <c r="J44" s="532"/>
      <c r="K44" s="532"/>
    </row>
    <row r="45" spans="2:11" ht="12.75" customHeight="1">
      <c r="B45" s="480">
        <v>90</v>
      </c>
      <c r="C45" s="481">
        <v>21646</v>
      </c>
      <c r="D45" s="662">
        <f>SUM(C45:C54)</f>
        <v>93830</v>
      </c>
      <c r="E45" s="665">
        <f>D45*100/D55</f>
        <v>1.0981333021241735</v>
      </c>
      <c r="F45" s="532"/>
      <c r="G45" s="532"/>
      <c r="H45" s="532"/>
      <c r="I45" s="532"/>
      <c r="J45" s="532"/>
      <c r="K45" s="532"/>
    </row>
    <row r="46" spans="2:11" ht="12.75" customHeight="1">
      <c r="B46" s="480">
        <v>91</v>
      </c>
      <c r="C46" s="481">
        <v>17845</v>
      </c>
      <c r="D46" s="532"/>
      <c r="E46" s="532"/>
      <c r="F46" s="532"/>
      <c r="G46" s="532"/>
      <c r="H46" s="532"/>
      <c r="I46" s="532"/>
      <c r="J46" s="532"/>
      <c r="K46" s="532"/>
    </row>
    <row r="47" spans="2:11" ht="12.75" customHeight="1">
      <c r="B47" s="480">
        <v>92</v>
      </c>
      <c r="C47" s="481">
        <v>14684</v>
      </c>
      <c r="D47" s="532"/>
      <c r="E47" s="532"/>
      <c r="F47" s="532"/>
      <c r="G47" s="532"/>
      <c r="H47" s="532"/>
      <c r="I47" s="532"/>
      <c r="J47" s="532"/>
      <c r="K47" s="532"/>
    </row>
    <row r="48" spans="2:11" ht="12.75" customHeight="1">
      <c r="B48" s="480">
        <v>93</v>
      </c>
      <c r="C48" s="481">
        <v>11578</v>
      </c>
      <c r="D48" s="532"/>
      <c r="E48" s="532"/>
      <c r="F48" s="532"/>
      <c r="G48" s="532"/>
      <c r="H48" s="532"/>
      <c r="I48" s="532"/>
      <c r="J48" s="532"/>
      <c r="K48" s="532"/>
    </row>
    <row r="49" spans="1:11" ht="12.75" customHeight="1">
      <c r="B49" s="480">
        <v>94</v>
      </c>
      <c r="C49" s="481">
        <v>9263</v>
      </c>
      <c r="D49" s="532"/>
      <c r="E49" s="532"/>
      <c r="F49" s="532"/>
      <c r="G49" s="532"/>
      <c r="H49" s="532"/>
      <c r="I49" s="532"/>
      <c r="J49" s="532"/>
      <c r="K49" s="532"/>
    </row>
    <row r="50" spans="1:11" ht="12.75" customHeight="1">
      <c r="B50" s="480">
        <v>95</v>
      </c>
      <c r="C50" s="481">
        <v>6970</v>
      </c>
      <c r="D50" s="532"/>
      <c r="E50" s="532"/>
      <c r="F50" s="532"/>
      <c r="G50" s="532"/>
      <c r="H50" s="532"/>
      <c r="I50" s="532"/>
      <c r="J50" s="532"/>
      <c r="K50" s="532"/>
    </row>
    <row r="51" spans="1:11" ht="12.75" customHeight="1">
      <c r="B51" s="480">
        <v>96</v>
      </c>
      <c r="C51" s="481">
        <v>4987</v>
      </c>
      <c r="D51" s="532"/>
      <c r="E51" s="532"/>
      <c r="F51" s="532"/>
      <c r="G51" s="532"/>
      <c r="H51" s="532"/>
      <c r="I51" s="532"/>
      <c r="J51" s="532"/>
      <c r="K51" s="532"/>
    </row>
    <row r="52" spans="1:11" ht="12.75" customHeight="1">
      <c r="B52" s="480">
        <v>97</v>
      </c>
      <c r="C52" s="481">
        <v>3381</v>
      </c>
      <c r="D52" s="532"/>
      <c r="E52" s="532"/>
      <c r="F52" s="532"/>
      <c r="G52" s="532"/>
      <c r="H52" s="532"/>
      <c r="I52" s="532"/>
      <c r="J52" s="532"/>
      <c r="K52" s="532"/>
    </row>
    <row r="53" spans="1:11" ht="12.75" customHeight="1">
      <c r="B53" s="480">
        <v>98</v>
      </c>
      <c r="C53" s="481">
        <v>2144</v>
      </c>
      <c r="D53" s="532"/>
      <c r="E53" s="532"/>
      <c r="F53" s="532"/>
      <c r="G53" s="532"/>
      <c r="H53" s="532"/>
      <c r="I53" s="532"/>
      <c r="J53" s="532"/>
      <c r="K53" s="532"/>
    </row>
    <row r="54" spans="1:11" ht="15.75" customHeight="1">
      <c r="B54" s="480" t="s">
        <v>1181</v>
      </c>
      <c r="C54" s="481">
        <v>1332</v>
      </c>
      <c r="D54" s="663"/>
      <c r="E54" s="663"/>
      <c r="F54" s="663"/>
      <c r="G54" s="663"/>
      <c r="H54" s="663"/>
      <c r="I54" s="663"/>
      <c r="J54" s="663"/>
      <c r="K54" s="663"/>
    </row>
    <row r="55" spans="1:11" ht="18" customHeight="1">
      <c r="B55" s="668" t="s">
        <v>1182</v>
      </c>
      <c r="C55" s="550"/>
      <c r="D55" s="484">
        <v>8544500</v>
      </c>
      <c r="E55" s="484">
        <v>100</v>
      </c>
    </row>
    <row r="56" spans="1:11" ht="12.75">
      <c r="B56" s="475"/>
    </row>
    <row r="57" spans="1:11" ht="12.75">
      <c r="E57" s="475"/>
    </row>
    <row r="58" spans="1:11" ht="12.75">
      <c r="B58" s="535" t="s">
        <v>12</v>
      </c>
      <c r="C58" s="536"/>
      <c r="D58" s="536"/>
      <c r="E58" s="536"/>
      <c r="F58" s="536"/>
      <c r="G58" s="536"/>
      <c r="H58" s="536"/>
      <c r="I58" s="536"/>
      <c r="J58" s="536"/>
      <c r="K58" s="537"/>
    </row>
    <row r="59" spans="1:11" ht="12.75">
      <c r="A59" s="123"/>
      <c r="B59" s="669" t="s">
        <v>1183</v>
      </c>
      <c r="C59" s="531"/>
      <c r="D59" s="670" t="s">
        <v>1184</v>
      </c>
      <c r="E59" s="531"/>
      <c r="F59" s="531"/>
      <c r="G59" s="531"/>
      <c r="H59" s="531"/>
      <c r="I59" s="531"/>
      <c r="J59" s="531"/>
      <c r="K59" s="532"/>
    </row>
    <row r="60" spans="1:11" ht="12.75">
      <c r="B60" s="666" t="s">
        <v>1185</v>
      </c>
      <c r="C60" s="540"/>
      <c r="D60" s="667" t="s">
        <v>1186</v>
      </c>
      <c r="E60" s="540"/>
      <c r="F60" s="540"/>
      <c r="G60" s="540"/>
      <c r="H60" s="540"/>
      <c r="I60" s="540"/>
      <c r="J60" s="540"/>
      <c r="K60" s="542"/>
    </row>
    <row r="61" spans="1:11" ht="12.75">
      <c r="E61" s="475"/>
    </row>
    <row r="62" spans="1:11" ht="12.75">
      <c r="E62" s="475"/>
    </row>
    <row r="63" spans="1:11" ht="12.75">
      <c r="E63" s="475"/>
    </row>
    <row r="64" spans="1:11" ht="12.75">
      <c r="E64" s="475"/>
    </row>
    <row r="65" spans="5:5" ht="12.75">
      <c r="E65" s="475"/>
    </row>
    <row r="66" spans="5:5" ht="12.75">
      <c r="E66" s="475"/>
    </row>
    <row r="67" spans="5:5" ht="12.75">
      <c r="E67" s="475"/>
    </row>
    <row r="68" spans="5:5" ht="12.75">
      <c r="E68" s="475"/>
    </row>
    <row r="69" spans="5:5" ht="12.75">
      <c r="E69" s="475"/>
    </row>
    <row r="70" spans="5:5" ht="12.75">
      <c r="E70" s="475"/>
    </row>
    <row r="71" spans="5:5" ht="12.75">
      <c r="E71" s="475"/>
    </row>
    <row r="72" spans="5:5" ht="12.75">
      <c r="E72" s="475"/>
    </row>
    <row r="73" spans="5:5" ht="12.75">
      <c r="E73" s="475"/>
    </row>
    <row r="74" spans="5:5" ht="12.75">
      <c r="E74" s="475"/>
    </row>
    <row r="75" spans="5:5" ht="12.75">
      <c r="E75" s="475"/>
    </row>
    <row r="76" spans="5:5" ht="12.75">
      <c r="E76" s="475"/>
    </row>
    <row r="77" spans="5:5" ht="12.75">
      <c r="E77" s="475"/>
    </row>
    <row r="78" spans="5:5" ht="12.75">
      <c r="E78" s="475"/>
    </row>
    <row r="79" spans="5:5" ht="12.75">
      <c r="E79" s="475"/>
    </row>
    <row r="80" spans="5:5" ht="12.75">
      <c r="E80" s="475"/>
    </row>
    <row r="81" spans="5:5" ht="12.75">
      <c r="E81" s="475"/>
    </row>
    <row r="82" spans="5:5" ht="12.75">
      <c r="E82" s="475"/>
    </row>
    <row r="83" spans="5:5" ht="12.75">
      <c r="E83" s="475"/>
    </row>
    <row r="84" spans="5:5" ht="12.75">
      <c r="E84" s="475"/>
    </row>
    <row r="85" spans="5:5" ht="12.75">
      <c r="E85" s="475"/>
    </row>
    <row r="86" spans="5:5" ht="12.75">
      <c r="E86" s="475"/>
    </row>
    <row r="87" spans="5:5" ht="12.75">
      <c r="E87" s="475"/>
    </row>
    <row r="88" spans="5:5" ht="12.75">
      <c r="E88" s="475"/>
    </row>
    <row r="89" spans="5:5" ht="12.75">
      <c r="E89" s="475"/>
    </row>
    <row r="90" spans="5:5" ht="12.75">
      <c r="E90" s="475"/>
    </row>
    <row r="91" spans="5:5" ht="12.75">
      <c r="E91" s="475"/>
    </row>
    <row r="92" spans="5:5" ht="12.75">
      <c r="E92" s="475"/>
    </row>
    <row r="93" spans="5:5" ht="12.75">
      <c r="E93" s="475"/>
    </row>
    <row r="94" spans="5:5" ht="12.75">
      <c r="E94" s="475"/>
    </row>
    <row r="95" spans="5:5" ht="12.75">
      <c r="E95" s="475"/>
    </row>
    <row r="96" spans="5:5" ht="12.75">
      <c r="E96" s="475"/>
    </row>
    <row r="97" spans="5:5" ht="12.75">
      <c r="E97" s="475"/>
    </row>
    <row r="98" spans="5:5" ht="12.75">
      <c r="E98" s="475"/>
    </row>
    <row r="99" spans="5:5" ht="12.75">
      <c r="E99" s="475"/>
    </row>
    <row r="100" spans="5:5" ht="12.75">
      <c r="E100" s="475"/>
    </row>
    <row r="101" spans="5:5" ht="12.75">
      <c r="E101" s="475"/>
    </row>
    <row r="102" spans="5:5" ht="12.75">
      <c r="E102" s="475"/>
    </row>
    <row r="103" spans="5:5" ht="12.75">
      <c r="E103" s="475"/>
    </row>
    <row r="104" spans="5:5" ht="12.75">
      <c r="E104" s="475"/>
    </row>
    <row r="105" spans="5:5" ht="12.75">
      <c r="E105" s="475"/>
    </row>
    <row r="106" spans="5:5" ht="12.75">
      <c r="E106" s="475"/>
    </row>
    <row r="107" spans="5:5" ht="12.75">
      <c r="E107" s="475"/>
    </row>
    <row r="108" spans="5:5" ht="12.75">
      <c r="E108" s="475"/>
    </row>
    <row r="109" spans="5:5" ht="12.75">
      <c r="E109" s="475"/>
    </row>
    <row r="110" spans="5:5" ht="12.75">
      <c r="E110" s="475"/>
    </row>
    <row r="111" spans="5:5" ht="12.75">
      <c r="E111" s="475"/>
    </row>
    <row r="112" spans="5:5" ht="12.75">
      <c r="E112" s="475"/>
    </row>
    <row r="113" spans="5:5" ht="12.75">
      <c r="E113" s="475"/>
    </row>
    <row r="114" spans="5:5" ht="12.75">
      <c r="E114" s="475"/>
    </row>
    <row r="115" spans="5:5" ht="12.75">
      <c r="E115" s="475"/>
    </row>
    <row r="116" spans="5:5" ht="12.75">
      <c r="E116" s="475"/>
    </row>
    <row r="117" spans="5:5" ht="12.75">
      <c r="E117" s="475"/>
    </row>
    <row r="118" spans="5:5" ht="12.75">
      <c r="E118" s="475"/>
    </row>
    <row r="119" spans="5:5" ht="12.75">
      <c r="E119" s="475"/>
    </row>
    <row r="120" spans="5:5" ht="12.75">
      <c r="E120" s="475"/>
    </row>
    <row r="121" spans="5:5" ht="12.75">
      <c r="E121" s="475"/>
    </row>
    <row r="122" spans="5:5" ht="12.75">
      <c r="E122" s="475"/>
    </row>
    <row r="123" spans="5:5" ht="12.75">
      <c r="E123" s="475"/>
    </row>
    <row r="124" spans="5:5" ht="12.75">
      <c r="E124" s="475"/>
    </row>
    <row r="125" spans="5:5" ht="12.75">
      <c r="E125" s="475"/>
    </row>
    <row r="126" spans="5:5" ht="12.75">
      <c r="E126" s="475"/>
    </row>
    <row r="127" spans="5:5" ht="12.75">
      <c r="E127" s="475"/>
    </row>
    <row r="128" spans="5:5" ht="12.75">
      <c r="E128" s="475"/>
    </row>
    <row r="129" spans="5:5" ht="12.75">
      <c r="E129" s="475"/>
    </row>
    <row r="130" spans="5:5" ht="12.75">
      <c r="E130" s="475"/>
    </row>
    <row r="131" spans="5:5" ht="12.75">
      <c r="E131" s="475"/>
    </row>
    <row r="132" spans="5:5" ht="12.75">
      <c r="E132" s="475"/>
    </row>
    <row r="133" spans="5:5" ht="12.75">
      <c r="E133" s="475"/>
    </row>
    <row r="134" spans="5:5" ht="12.75">
      <c r="E134" s="475"/>
    </row>
    <row r="135" spans="5:5" ht="12.75">
      <c r="E135" s="475"/>
    </row>
    <row r="136" spans="5:5" ht="12.75">
      <c r="E136" s="475"/>
    </row>
    <row r="137" spans="5:5" ht="12.75">
      <c r="E137" s="475"/>
    </row>
    <row r="138" spans="5:5" ht="12.75">
      <c r="E138" s="475"/>
    </row>
    <row r="139" spans="5:5" ht="12.75">
      <c r="E139" s="475"/>
    </row>
    <row r="140" spans="5:5" ht="12.75">
      <c r="E140" s="475"/>
    </row>
    <row r="141" spans="5:5" ht="12.75">
      <c r="E141" s="475"/>
    </row>
    <row r="142" spans="5:5" ht="12.75">
      <c r="E142" s="475"/>
    </row>
    <row r="143" spans="5:5" ht="12.75">
      <c r="E143" s="475"/>
    </row>
    <row r="144" spans="5:5" ht="12.75">
      <c r="E144" s="475"/>
    </row>
    <row r="145" spans="5:5" ht="12.75">
      <c r="E145" s="475"/>
    </row>
    <row r="146" spans="5:5" ht="12.75">
      <c r="E146" s="475"/>
    </row>
    <row r="147" spans="5:5" ht="12.75">
      <c r="E147" s="475"/>
    </row>
    <row r="148" spans="5:5" ht="12.75">
      <c r="E148" s="475"/>
    </row>
    <row r="149" spans="5:5" ht="12.75">
      <c r="E149" s="475"/>
    </row>
    <row r="150" spans="5:5" ht="12.75">
      <c r="E150" s="475"/>
    </row>
    <row r="151" spans="5:5" ht="12.75">
      <c r="E151" s="475"/>
    </row>
    <row r="152" spans="5:5" ht="12.75">
      <c r="E152" s="475"/>
    </row>
    <row r="153" spans="5:5" ht="12.75">
      <c r="E153" s="475"/>
    </row>
    <row r="154" spans="5:5" ht="12.75">
      <c r="E154" s="475"/>
    </row>
    <row r="155" spans="5:5" ht="12.75">
      <c r="E155" s="475"/>
    </row>
    <row r="156" spans="5:5" ht="12.75">
      <c r="E156" s="475"/>
    </row>
    <row r="157" spans="5:5" ht="12.75">
      <c r="E157" s="475"/>
    </row>
    <row r="158" spans="5:5" ht="12.75">
      <c r="E158" s="475"/>
    </row>
    <row r="159" spans="5:5" ht="12.75">
      <c r="E159" s="475"/>
    </row>
    <row r="160" spans="5:5" ht="12.75">
      <c r="E160" s="475"/>
    </row>
    <row r="161" spans="5:5" ht="12.75">
      <c r="E161" s="475"/>
    </row>
    <row r="162" spans="5:5" ht="12.75">
      <c r="E162" s="475"/>
    </row>
    <row r="163" spans="5:5" ht="12.75">
      <c r="E163" s="475"/>
    </row>
    <row r="164" spans="5:5" ht="12.75">
      <c r="E164" s="475"/>
    </row>
    <row r="165" spans="5:5" ht="12.75">
      <c r="E165" s="475"/>
    </row>
    <row r="166" spans="5:5" ht="12.75">
      <c r="E166" s="475"/>
    </row>
    <row r="167" spans="5:5" ht="12.75">
      <c r="E167" s="475"/>
    </row>
    <row r="168" spans="5:5" ht="12.75">
      <c r="E168" s="475"/>
    </row>
    <row r="169" spans="5:5" ht="12.75">
      <c r="E169" s="475"/>
    </row>
    <row r="170" spans="5:5" ht="12.75">
      <c r="E170" s="475"/>
    </row>
    <row r="171" spans="5:5" ht="12.75">
      <c r="E171" s="475"/>
    </row>
    <row r="172" spans="5:5" ht="12.75">
      <c r="E172" s="475"/>
    </row>
    <row r="173" spans="5:5" ht="12.75">
      <c r="E173" s="475"/>
    </row>
    <row r="174" spans="5:5" ht="12.75">
      <c r="E174" s="475"/>
    </row>
    <row r="175" spans="5:5" ht="12.75">
      <c r="E175" s="475"/>
    </row>
    <row r="176" spans="5:5" ht="12.75">
      <c r="E176" s="475"/>
    </row>
    <row r="177" spans="5:5" ht="12.75">
      <c r="E177" s="475"/>
    </row>
    <row r="178" spans="5:5" ht="12.75">
      <c r="E178" s="475"/>
    </row>
    <row r="179" spans="5:5" ht="12.75">
      <c r="E179" s="475"/>
    </row>
    <row r="180" spans="5:5" ht="12.75">
      <c r="E180" s="475"/>
    </row>
    <row r="181" spans="5:5" ht="12.75">
      <c r="E181" s="475"/>
    </row>
    <row r="182" spans="5:5" ht="12.75">
      <c r="E182" s="475"/>
    </row>
    <row r="183" spans="5:5" ht="12.75">
      <c r="E183" s="475"/>
    </row>
    <row r="184" spans="5:5" ht="12.75">
      <c r="E184" s="475"/>
    </row>
    <row r="185" spans="5:5" ht="12.75">
      <c r="E185" s="475"/>
    </row>
    <row r="186" spans="5:5" ht="12.75">
      <c r="E186" s="475"/>
    </row>
    <row r="187" spans="5:5" ht="12.75">
      <c r="E187" s="475"/>
    </row>
    <row r="188" spans="5:5" ht="12.75">
      <c r="E188" s="475"/>
    </row>
    <row r="189" spans="5:5" ht="12.75">
      <c r="E189" s="475"/>
    </row>
    <row r="190" spans="5:5" ht="12.75">
      <c r="E190" s="475"/>
    </row>
    <row r="191" spans="5:5" ht="12.75">
      <c r="E191" s="475"/>
    </row>
    <row r="192" spans="5:5" ht="12.75">
      <c r="E192" s="475"/>
    </row>
    <row r="193" spans="5:5" ht="12.75">
      <c r="E193" s="475"/>
    </row>
    <row r="194" spans="5:5" ht="12.75">
      <c r="E194" s="475"/>
    </row>
    <row r="195" spans="5:5" ht="12.75">
      <c r="E195" s="475"/>
    </row>
    <row r="196" spans="5:5" ht="12.75">
      <c r="E196" s="475"/>
    </row>
    <row r="197" spans="5:5" ht="12.75">
      <c r="E197" s="475"/>
    </row>
    <row r="198" spans="5:5" ht="12.75">
      <c r="E198" s="475"/>
    </row>
    <row r="199" spans="5:5" ht="12.75">
      <c r="E199" s="475"/>
    </row>
    <row r="200" spans="5:5" ht="12.75">
      <c r="E200" s="475"/>
    </row>
    <row r="201" spans="5:5" ht="12.75">
      <c r="E201" s="475"/>
    </row>
    <row r="202" spans="5:5" ht="12.75">
      <c r="E202" s="475"/>
    </row>
    <row r="203" spans="5:5" ht="12.75">
      <c r="E203" s="475"/>
    </row>
    <row r="204" spans="5:5" ht="12.75">
      <c r="E204" s="475"/>
    </row>
    <row r="205" spans="5:5" ht="12.75">
      <c r="E205" s="475"/>
    </row>
    <row r="206" spans="5:5" ht="12.75">
      <c r="E206" s="475"/>
    </row>
    <row r="207" spans="5:5" ht="12.75">
      <c r="E207" s="475"/>
    </row>
    <row r="208" spans="5:5" ht="12.75">
      <c r="E208" s="475"/>
    </row>
    <row r="209" spans="5:5" ht="12.75">
      <c r="E209" s="475"/>
    </row>
    <row r="210" spans="5:5" ht="12.75">
      <c r="E210" s="475"/>
    </row>
    <row r="211" spans="5:5" ht="12.75">
      <c r="E211" s="475"/>
    </row>
    <row r="212" spans="5:5" ht="12.75">
      <c r="E212" s="475"/>
    </row>
    <row r="213" spans="5:5" ht="12.75">
      <c r="E213" s="475"/>
    </row>
    <row r="214" spans="5:5" ht="12.75">
      <c r="E214" s="475"/>
    </row>
    <row r="215" spans="5:5" ht="12.75">
      <c r="E215" s="475"/>
    </row>
    <row r="216" spans="5:5" ht="12.75">
      <c r="E216" s="475"/>
    </row>
    <row r="217" spans="5:5" ht="12.75">
      <c r="E217" s="475"/>
    </row>
    <row r="218" spans="5:5" ht="12.75">
      <c r="E218" s="475"/>
    </row>
    <row r="219" spans="5:5" ht="12.75">
      <c r="E219" s="475"/>
    </row>
    <row r="220" spans="5:5" ht="12.75">
      <c r="E220" s="475"/>
    </row>
    <row r="221" spans="5:5" ht="12.75">
      <c r="E221" s="475"/>
    </row>
    <row r="222" spans="5:5" ht="12.75">
      <c r="E222" s="475"/>
    </row>
    <row r="223" spans="5:5" ht="12.75">
      <c r="E223" s="475"/>
    </row>
    <row r="224" spans="5:5" ht="12.75">
      <c r="E224" s="475"/>
    </row>
    <row r="225" spans="5:5" ht="12.75">
      <c r="E225" s="475"/>
    </row>
    <row r="226" spans="5:5" ht="12.75">
      <c r="E226" s="475"/>
    </row>
    <row r="227" spans="5:5" ht="12.75">
      <c r="E227" s="475"/>
    </row>
    <row r="228" spans="5:5" ht="12.75">
      <c r="E228" s="475"/>
    </row>
    <row r="229" spans="5:5" ht="12.75">
      <c r="E229" s="475"/>
    </row>
    <row r="230" spans="5:5" ht="12.75">
      <c r="E230" s="475"/>
    </row>
    <row r="231" spans="5:5" ht="12.75">
      <c r="E231" s="475"/>
    </row>
    <row r="232" spans="5:5" ht="12.75">
      <c r="E232" s="475"/>
    </row>
    <row r="233" spans="5:5" ht="12.75">
      <c r="E233" s="475"/>
    </row>
    <row r="234" spans="5:5" ht="12.75">
      <c r="E234" s="475"/>
    </row>
    <row r="235" spans="5:5" ht="12.75">
      <c r="E235" s="475"/>
    </row>
    <row r="236" spans="5:5" ht="12.75">
      <c r="E236" s="475"/>
    </row>
    <row r="237" spans="5:5" ht="12.75">
      <c r="E237" s="475"/>
    </row>
    <row r="238" spans="5:5" ht="12.75">
      <c r="E238" s="475"/>
    </row>
    <row r="239" spans="5:5" ht="12.75">
      <c r="E239" s="475"/>
    </row>
    <row r="240" spans="5:5" ht="12.75">
      <c r="E240" s="475"/>
    </row>
    <row r="241" spans="5:5" ht="12.75">
      <c r="E241" s="475"/>
    </row>
    <row r="242" spans="5:5" ht="12.75">
      <c r="E242" s="475"/>
    </row>
    <row r="243" spans="5:5" ht="12.75">
      <c r="E243" s="475"/>
    </row>
    <row r="244" spans="5:5" ht="12.75">
      <c r="E244" s="475"/>
    </row>
    <row r="245" spans="5:5" ht="12.75">
      <c r="E245" s="475"/>
    </row>
    <row r="246" spans="5:5" ht="12.75">
      <c r="E246" s="475"/>
    </row>
    <row r="247" spans="5:5" ht="12.75">
      <c r="E247" s="475"/>
    </row>
    <row r="248" spans="5:5" ht="12.75">
      <c r="E248" s="475"/>
    </row>
    <row r="249" spans="5:5" ht="12.75">
      <c r="E249" s="475"/>
    </row>
    <row r="250" spans="5:5" ht="12.75">
      <c r="E250" s="475"/>
    </row>
    <row r="251" spans="5:5" ht="12.75">
      <c r="E251" s="475"/>
    </row>
    <row r="252" spans="5:5" ht="12.75">
      <c r="E252" s="475"/>
    </row>
    <row r="253" spans="5:5" ht="12.75">
      <c r="E253" s="475"/>
    </row>
    <row r="254" spans="5:5" ht="12.75">
      <c r="E254" s="475"/>
    </row>
    <row r="255" spans="5:5" ht="12.75">
      <c r="E255" s="475"/>
    </row>
    <row r="256" spans="5:5" ht="12.75">
      <c r="E256" s="475"/>
    </row>
    <row r="257" spans="5:5" ht="12.75">
      <c r="E257" s="475"/>
    </row>
    <row r="258" spans="5:5" ht="12.75">
      <c r="E258" s="475"/>
    </row>
    <row r="259" spans="5:5" ht="12.75">
      <c r="E259" s="475"/>
    </row>
    <row r="260" spans="5:5" ht="12.75">
      <c r="E260" s="475"/>
    </row>
    <row r="261" spans="5:5" ht="12.75">
      <c r="E261" s="475"/>
    </row>
    <row r="262" spans="5:5" ht="12.75">
      <c r="E262" s="475"/>
    </row>
    <row r="263" spans="5:5" ht="12.75">
      <c r="E263" s="475"/>
    </row>
    <row r="264" spans="5:5" ht="12.75">
      <c r="E264" s="475"/>
    </row>
    <row r="265" spans="5:5" ht="12.75">
      <c r="E265" s="475"/>
    </row>
    <row r="266" spans="5:5" ht="12.75">
      <c r="E266" s="475"/>
    </row>
    <row r="267" spans="5:5" ht="12.75">
      <c r="E267" s="475"/>
    </row>
    <row r="268" spans="5:5" ht="12.75">
      <c r="E268" s="475"/>
    </row>
    <row r="269" spans="5:5" ht="12.75">
      <c r="E269" s="475"/>
    </row>
    <row r="270" spans="5:5" ht="12.75">
      <c r="E270" s="475"/>
    </row>
    <row r="271" spans="5:5" ht="12.75">
      <c r="E271" s="475"/>
    </row>
    <row r="272" spans="5:5" ht="12.75">
      <c r="E272" s="475"/>
    </row>
    <row r="273" spans="5:5" ht="12.75">
      <c r="E273" s="475"/>
    </row>
    <row r="274" spans="5:5" ht="12.75">
      <c r="E274" s="475"/>
    </row>
    <row r="275" spans="5:5" ht="12.75">
      <c r="E275" s="475"/>
    </row>
    <row r="276" spans="5:5" ht="12.75">
      <c r="E276" s="475"/>
    </row>
    <row r="277" spans="5:5" ht="12.75">
      <c r="E277" s="475"/>
    </row>
    <row r="278" spans="5:5" ht="12.75">
      <c r="E278" s="475"/>
    </row>
    <row r="279" spans="5:5" ht="12.75">
      <c r="E279" s="475"/>
    </row>
    <row r="280" spans="5:5" ht="12.75">
      <c r="E280" s="475"/>
    </row>
    <row r="281" spans="5:5" ht="12.75">
      <c r="E281" s="475"/>
    </row>
    <row r="282" spans="5:5" ht="12.75">
      <c r="E282" s="475"/>
    </row>
    <row r="283" spans="5:5" ht="12.75">
      <c r="E283" s="475"/>
    </row>
    <row r="284" spans="5:5" ht="12.75">
      <c r="E284" s="475"/>
    </row>
    <row r="285" spans="5:5" ht="12.75">
      <c r="E285" s="475"/>
    </row>
    <row r="286" spans="5:5" ht="12.75">
      <c r="E286" s="475"/>
    </row>
    <row r="287" spans="5:5" ht="12.75">
      <c r="E287" s="475"/>
    </row>
    <row r="288" spans="5:5" ht="12.75">
      <c r="E288" s="475"/>
    </row>
    <row r="289" spans="5:5" ht="12.75">
      <c r="E289" s="475"/>
    </row>
    <row r="290" spans="5:5" ht="12.75">
      <c r="E290" s="475"/>
    </row>
    <row r="291" spans="5:5" ht="12.75">
      <c r="E291" s="475"/>
    </row>
    <row r="292" spans="5:5" ht="12.75">
      <c r="E292" s="475"/>
    </row>
    <row r="293" spans="5:5" ht="12.75">
      <c r="E293" s="475"/>
    </row>
    <row r="294" spans="5:5" ht="12.75">
      <c r="E294" s="475"/>
    </row>
    <row r="295" spans="5:5" ht="12.75">
      <c r="E295" s="475"/>
    </row>
    <row r="296" spans="5:5" ht="12.75">
      <c r="E296" s="475"/>
    </row>
    <row r="297" spans="5:5" ht="12.75">
      <c r="E297" s="475"/>
    </row>
    <row r="298" spans="5:5" ht="12.75">
      <c r="E298" s="475"/>
    </row>
    <row r="299" spans="5:5" ht="12.75">
      <c r="E299" s="475"/>
    </row>
    <row r="300" spans="5:5" ht="12.75">
      <c r="E300" s="475"/>
    </row>
    <row r="301" spans="5:5" ht="12.75">
      <c r="E301" s="475"/>
    </row>
    <row r="302" spans="5:5" ht="12.75">
      <c r="E302" s="475"/>
    </row>
    <row r="303" spans="5:5" ht="12.75">
      <c r="E303" s="475"/>
    </row>
    <row r="304" spans="5:5" ht="12.75">
      <c r="E304" s="475"/>
    </row>
    <row r="305" spans="5:5" ht="12.75">
      <c r="E305" s="475"/>
    </row>
    <row r="306" spans="5:5" ht="12.75">
      <c r="E306" s="475"/>
    </row>
    <row r="307" spans="5:5" ht="12.75">
      <c r="E307" s="475"/>
    </row>
    <row r="308" spans="5:5" ht="12.75">
      <c r="E308" s="475"/>
    </row>
    <row r="309" spans="5:5" ht="12.75">
      <c r="E309" s="475"/>
    </row>
    <row r="310" spans="5:5" ht="12.75">
      <c r="E310" s="475"/>
    </row>
    <row r="311" spans="5:5" ht="12.75">
      <c r="E311" s="475"/>
    </row>
    <row r="312" spans="5:5" ht="12.75">
      <c r="E312" s="475"/>
    </row>
    <row r="313" spans="5:5" ht="12.75">
      <c r="E313" s="475"/>
    </row>
    <row r="314" spans="5:5" ht="12.75">
      <c r="E314" s="475"/>
    </row>
    <row r="315" spans="5:5" ht="12.75">
      <c r="E315" s="475"/>
    </row>
    <row r="316" spans="5:5" ht="12.75">
      <c r="E316" s="475"/>
    </row>
    <row r="317" spans="5:5" ht="12.75">
      <c r="E317" s="475"/>
    </row>
    <row r="318" spans="5:5" ht="12.75">
      <c r="E318" s="475"/>
    </row>
    <row r="319" spans="5:5" ht="12.75">
      <c r="E319" s="475"/>
    </row>
    <row r="320" spans="5:5" ht="12.75">
      <c r="E320" s="475"/>
    </row>
    <row r="321" spans="5:5" ht="12.75">
      <c r="E321" s="475"/>
    </row>
    <row r="322" spans="5:5" ht="12.75">
      <c r="E322" s="475"/>
    </row>
    <row r="323" spans="5:5" ht="12.75">
      <c r="E323" s="475"/>
    </row>
    <row r="324" spans="5:5" ht="12.75">
      <c r="E324" s="475"/>
    </row>
    <row r="325" spans="5:5" ht="12.75">
      <c r="E325" s="475"/>
    </row>
    <row r="326" spans="5:5" ht="12.75">
      <c r="E326" s="475"/>
    </row>
    <row r="327" spans="5:5" ht="12.75">
      <c r="E327" s="475"/>
    </row>
    <row r="328" spans="5:5" ht="12.75">
      <c r="E328" s="475"/>
    </row>
    <row r="329" spans="5:5" ht="12.75">
      <c r="E329" s="475"/>
    </row>
    <row r="330" spans="5:5" ht="12.75">
      <c r="E330" s="475"/>
    </row>
    <row r="331" spans="5:5" ht="12.75">
      <c r="E331" s="475"/>
    </row>
    <row r="332" spans="5:5" ht="12.75">
      <c r="E332" s="475"/>
    </row>
    <row r="333" spans="5:5" ht="12.75">
      <c r="E333" s="475"/>
    </row>
    <row r="334" spans="5:5" ht="12.75">
      <c r="E334" s="475"/>
    </row>
    <row r="335" spans="5:5" ht="12.75">
      <c r="E335" s="475"/>
    </row>
    <row r="336" spans="5:5" ht="12.75">
      <c r="E336" s="475"/>
    </row>
    <row r="337" spans="5:5" ht="12.75">
      <c r="E337" s="475"/>
    </row>
    <row r="338" spans="5:5" ht="12.75">
      <c r="E338" s="475"/>
    </row>
    <row r="339" spans="5:5" ht="12.75">
      <c r="E339" s="475"/>
    </row>
    <row r="340" spans="5:5" ht="12.75">
      <c r="E340" s="475"/>
    </row>
    <row r="341" spans="5:5" ht="12.75">
      <c r="E341" s="475"/>
    </row>
    <row r="342" spans="5:5" ht="12.75">
      <c r="E342" s="475"/>
    </row>
    <row r="343" spans="5:5" ht="12.75">
      <c r="E343" s="475"/>
    </row>
    <row r="344" spans="5:5" ht="12.75">
      <c r="E344" s="475"/>
    </row>
    <row r="345" spans="5:5" ht="12.75">
      <c r="E345" s="475"/>
    </row>
    <row r="346" spans="5:5" ht="12.75">
      <c r="E346" s="475"/>
    </row>
    <row r="347" spans="5:5" ht="12.75">
      <c r="E347" s="475"/>
    </row>
    <row r="348" spans="5:5" ht="12.75">
      <c r="E348" s="475"/>
    </row>
    <row r="349" spans="5:5" ht="12.75">
      <c r="E349" s="475"/>
    </row>
    <row r="350" spans="5:5" ht="12.75">
      <c r="E350" s="475"/>
    </row>
    <row r="351" spans="5:5" ht="12.75">
      <c r="E351" s="475"/>
    </row>
    <row r="352" spans="5:5" ht="12.75">
      <c r="E352" s="475"/>
    </row>
    <row r="353" spans="5:5" ht="12.75">
      <c r="E353" s="475"/>
    </row>
    <row r="354" spans="5:5" ht="12.75">
      <c r="E354" s="475"/>
    </row>
    <row r="355" spans="5:5" ht="12.75">
      <c r="E355" s="475"/>
    </row>
    <row r="356" spans="5:5" ht="12.75">
      <c r="E356" s="475"/>
    </row>
    <row r="357" spans="5:5" ht="12.75">
      <c r="E357" s="475"/>
    </row>
    <row r="358" spans="5:5" ht="12.75">
      <c r="E358" s="475"/>
    </row>
    <row r="359" spans="5:5" ht="12.75">
      <c r="E359" s="475"/>
    </row>
    <row r="360" spans="5:5" ht="12.75">
      <c r="E360" s="475"/>
    </row>
    <row r="361" spans="5:5" ht="12.75">
      <c r="E361" s="475"/>
    </row>
    <row r="362" spans="5:5" ht="12.75">
      <c r="E362" s="475"/>
    </row>
    <row r="363" spans="5:5" ht="12.75">
      <c r="E363" s="475"/>
    </row>
    <row r="364" spans="5:5" ht="12.75">
      <c r="E364" s="475"/>
    </row>
    <row r="365" spans="5:5" ht="12.75">
      <c r="E365" s="475"/>
    </row>
    <row r="366" spans="5:5" ht="12.75">
      <c r="E366" s="475"/>
    </row>
    <row r="367" spans="5:5" ht="12.75">
      <c r="E367" s="475"/>
    </row>
    <row r="368" spans="5:5" ht="12.75">
      <c r="E368" s="475"/>
    </row>
    <row r="369" spans="5:5" ht="12.75">
      <c r="E369" s="475"/>
    </row>
    <row r="370" spans="5:5" ht="12.75">
      <c r="E370" s="475"/>
    </row>
    <row r="371" spans="5:5" ht="12.75">
      <c r="E371" s="475"/>
    </row>
    <row r="372" spans="5:5" ht="12.75">
      <c r="E372" s="475"/>
    </row>
    <row r="373" spans="5:5" ht="12.75">
      <c r="E373" s="475"/>
    </row>
    <row r="374" spans="5:5" ht="12.75">
      <c r="E374" s="475"/>
    </row>
    <row r="375" spans="5:5" ht="12.75">
      <c r="E375" s="475"/>
    </row>
    <row r="376" spans="5:5" ht="12.75">
      <c r="E376" s="475"/>
    </row>
    <row r="377" spans="5:5" ht="12.75">
      <c r="E377" s="475"/>
    </row>
    <row r="378" spans="5:5" ht="12.75">
      <c r="E378" s="475"/>
    </row>
    <row r="379" spans="5:5" ht="12.75">
      <c r="E379" s="475"/>
    </row>
    <row r="380" spans="5:5" ht="12.75">
      <c r="E380" s="475"/>
    </row>
    <row r="381" spans="5:5" ht="12.75">
      <c r="E381" s="475"/>
    </row>
    <row r="382" spans="5:5" ht="12.75">
      <c r="E382" s="475"/>
    </row>
    <row r="383" spans="5:5" ht="12.75">
      <c r="E383" s="475"/>
    </row>
    <row r="384" spans="5:5" ht="12.75">
      <c r="E384" s="475"/>
    </row>
    <row r="385" spans="5:5" ht="12.75">
      <c r="E385" s="475"/>
    </row>
    <row r="386" spans="5:5" ht="12.75">
      <c r="E386" s="475"/>
    </row>
    <row r="387" spans="5:5" ht="12.75">
      <c r="E387" s="475"/>
    </row>
    <row r="388" spans="5:5" ht="12.75">
      <c r="E388" s="475"/>
    </row>
    <row r="389" spans="5:5" ht="12.75">
      <c r="E389" s="475"/>
    </row>
    <row r="390" spans="5:5" ht="12.75">
      <c r="E390" s="475"/>
    </row>
    <row r="391" spans="5:5" ht="12.75">
      <c r="E391" s="475"/>
    </row>
    <row r="392" spans="5:5" ht="12.75">
      <c r="E392" s="475"/>
    </row>
    <row r="393" spans="5:5" ht="12.75">
      <c r="E393" s="475"/>
    </row>
    <row r="394" spans="5:5" ht="12.75">
      <c r="E394" s="475"/>
    </row>
    <row r="395" spans="5:5" ht="12.75">
      <c r="E395" s="475"/>
    </row>
    <row r="396" spans="5:5" ht="12.75">
      <c r="E396" s="475"/>
    </row>
    <row r="397" spans="5:5" ht="12.75">
      <c r="E397" s="475"/>
    </row>
    <row r="398" spans="5:5" ht="12.75">
      <c r="E398" s="475"/>
    </row>
    <row r="399" spans="5:5" ht="12.75">
      <c r="E399" s="475"/>
    </row>
    <row r="400" spans="5:5" ht="12.75">
      <c r="E400" s="475"/>
    </row>
    <row r="401" spans="5:5" ht="12.75">
      <c r="E401" s="475"/>
    </row>
    <row r="402" spans="5:5" ht="12.75">
      <c r="E402" s="475"/>
    </row>
    <row r="403" spans="5:5" ht="12.75">
      <c r="E403" s="475"/>
    </row>
    <row r="404" spans="5:5" ht="12.75">
      <c r="E404" s="475"/>
    </row>
    <row r="405" spans="5:5" ht="12.75">
      <c r="E405" s="475"/>
    </row>
    <row r="406" spans="5:5" ht="12.75">
      <c r="E406" s="475"/>
    </row>
    <row r="407" spans="5:5" ht="12.75">
      <c r="E407" s="475"/>
    </row>
    <row r="408" spans="5:5" ht="12.75">
      <c r="E408" s="475"/>
    </row>
    <row r="409" spans="5:5" ht="12.75">
      <c r="E409" s="475"/>
    </row>
    <row r="410" spans="5:5" ht="12.75">
      <c r="E410" s="475"/>
    </row>
    <row r="411" spans="5:5" ht="12.75">
      <c r="E411" s="475"/>
    </row>
    <row r="412" spans="5:5" ht="12.75">
      <c r="E412" s="475"/>
    </row>
    <row r="413" spans="5:5" ht="12.75">
      <c r="E413" s="475"/>
    </row>
    <row r="414" spans="5:5" ht="12.75">
      <c r="E414" s="475"/>
    </row>
    <row r="415" spans="5:5" ht="12.75">
      <c r="E415" s="475"/>
    </row>
    <row r="416" spans="5:5" ht="12.75">
      <c r="E416" s="475"/>
    </row>
    <row r="417" spans="5:5" ht="12.75">
      <c r="E417" s="475"/>
    </row>
    <row r="418" spans="5:5" ht="12.75">
      <c r="E418" s="475"/>
    </row>
    <row r="419" spans="5:5" ht="12.75">
      <c r="E419" s="475"/>
    </row>
    <row r="420" spans="5:5" ht="12.75">
      <c r="E420" s="475"/>
    </row>
    <row r="421" spans="5:5" ht="12.75">
      <c r="E421" s="475"/>
    </row>
    <row r="422" spans="5:5" ht="12.75">
      <c r="E422" s="475"/>
    </row>
    <row r="423" spans="5:5" ht="12.75">
      <c r="E423" s="475"/>
    </row>
    <row r="424" spans="5:5" ht="12.75">
      <c r="E424" s="475"/>
    </row>
    <row r="425" spans="5:5" ht="12.75">
      <c r="E425" s="475"/>
    </row>
    <row r="426" spans="5:5" ht="12.75">
      <c r="E426" s="475"/>
    </row>
    <row r="427" spans="5:5" ht="12.75">
      <c r="E427" s="475"/>
    </row>
    <row r="428" spans="5:5" ht="12.75">
      <c r="E428" s="475"/>
    </row>
    <row r="429" spans="5:5" ht="12.75">
      <c r="E429" s="475"/>
    </row>
    <row r="430" spans="5:5" ht="12.75">
      <c r="E430" s="475"/>
    </row>
    <row r="431" spans="5:5" ht="12.75">
      <c r="E431" s="475"/>
    </row>
    <row r="432" spans="5:5" ht="12.75">
      <c r="E432" s="475"/>
    </row>
    <row r="433" spans="5:5" ht="12.75">
      <c r="E433" s="475"/>
    </row>
    <row r="434" spans="5:5" ht="12.75">
      <c r="E434" s="475"/>
    </row>
    <row r="435" spans="5:5" ht="12.75">
      <c r="E435" s="475"/>
    </row>
    <row r="436" spans="5:5" ht="12.75">
      <c r="E436" s="475"/>
    </row>
    <row r="437" spans="5:5" ht="12.75">
      <c r="E437" s="475"/>
    </row>
    <row r="438" spans="5:5" ht="12.75">
      <c r="E438" s="475"/>
    </row>
    <row r="439" spans="5:5" ht="12.75">
      <c r="E439" s="475"/>
    </row>
    <row r="440" spans="5:5" ht="12.75">
      <c r="E440" s="475"/>
    </row>
    <row r="441" spans="5:5" ht="12.75">
      <c r="E441" s="475"/>
    </row>
    <row r="442" spans="5:5" ht="12.75">
      <c r="E442" s="475"/>
    </row>
    <row r="443" spans="5:5" ht="12.75">
      <c r="E443" s="475"/>
    </row>
    <row r="444" spans="5:5" ht="12.75">
      <c r="E444" s="475"/>
    </row>
    <row r="445" spans="5:5" ht="12.75">
      <c r="E445" s="475"/>
    </row>
    <row r="446" spans="5:5" ht="12.75">
      <c r="E446" s="475"/>
    </row>
    <row r="447" spans="5:5" ht="12.75">
      <c r="E447" s="475"/>
    </row>
    <row r="448" spans="5:5" ht="12.75">
      <c r="E448" s="475"/>
    </row>
    <row r="449" spans="5:5" ht="12.75">
      <c r="E449" s="475"/>
    </row>
    <row r="450" spans="5:5" ht="12.75">
      <c r="E450" s="475"/>
    </row>
    <row r="451" spans="5:5" ht="12.75">
      <c r="E451" s="475"/>
    </row>
    <row r="452" spans="5:5" ht="12.75">
      <c r="E452" s="475"/>
    </row>
    <row r="453" spans="5:5" ht="12.75">
      <c r="E453" s="475"/>
    </row>
    <row r="454" spans="5:5" ht="12.75">
      <c r="E454" s="475"/>
    </row>
    <row r="455" spans="5:5" ht="12.75">
      <c r="E455" s="475"/>
    </row>
    <row r="456" spans="5:5" ht="12.75">
      <c r="E456" s="475"/>
    </row>
    <row r="457" spans="5:5" ht="12.75">
      <c r="E457" s="475"/>
    </row>
    <row r="458" spans="5:5" ht="12.75">
      <c r="E458" s="475"/>
    </row>
    <row r="459" spans="5:5" ht="12.75">
      <c r="E459" s="475"/>
    </row>
    <row r="460" spans="5:5" ht="12.75">
      <c r="E460" s="475"/>
    </row>
    <row r="461" spans="5:5" ht="12.75">
      <c r="E461" s="475"/>
    </row>
    <row r="462" spans="5:5" ht="12.75">
      <c r="E462" s="475"/>
    </row>
    <row r="463" spans="5:5" ht="12.75">
      <c r="E463" s="475"/>
    </row>
    <row r="464" spans="5:5" ht="12.75">
      <c r="E464" s="475"/>
    </row>
    <row r="465" spans="5:5" ht="12.75">
      <c r="E465" s="475"/>
    </row>
    <row r="466" spans="5:5" ht="12.75">
      <c r="E466" s="475"/>
    </row>
    <row r="467" spans="5:5" ht="12.75">
      <c r="E467" s="475"/>
    </row>
    <row r="468" spans="5:5" ht="12.75">
      <c r="E468" s="475"/>
    </row>
    <row r="469" spans="5:5" ht="12.75">
      <c r="E469" s="475"/>
    </row>
    <row r="470" spans="5:5" ht="12.75">
      <c r="E470" s="475"/>
    </row>
    <row r="471" spans="5:5" ht="12.75">
      <c r="E471" s="475"/>
    </row>
    <row r="472" spans="5:5" ht="12.75">
      <c r="E472" s="475"/>
    </row>
    <row r="473" spans="5:5" ht="12.75">
      <c r="E473" s="475"/>
    </row>
    <row r="474" spans="5:5" ht="12.75">
      <c r="E474" s="475"/>
    </row>
    <row r="475" spans="5:5" ht="12.75">
      <c r="E475" s="475"/>
    </row>
    <row r="476" spans="5:5" ht="12.75">
      <c r="E476" s="475"/>
    </row>
    <row r="477" spans="5:5" ht="12.75">
      <c r="E477" s="475"/>
    </row>
    <row r="478" spans="5:5" ht="12.75">
      <c r="E478" s="475"/>
    </row>
    <row r="479" spans="5:5" ht="12.75">
      <c r="E479" s="475"/>
    </row>
    <row r="480" spans="5:5" ht="12.75">
      <c r="E480" s="475"/>
    </row>
    <row r="481" spans="5:5" ht="12.75">
      <c r="E481" s="475"/>
    </row>
    <row r="482" spans="5:5" ht="12.75">
      <c r="E482" s="475"/>
    </row>
    <row r="483" spans="5:5" ht="12.75">
      <c r="E483" s="475"/>
    </row>
    <row r="484" spans="5:5" ht="12.75">
      <c r="E484" s="475"/>
    </row>
    <row r="485" spans="5:5" ht="12.75">
      <c r="E485" s="475"/>
    </row>
    <row r="486" spans="5:5" ht="12.75">
      <c r="E486" s="475"/>
    </row>
    <row r="487" spans="5:5" ht="12.75">
      <c r="E487" s="475"/>
    </row>
    <row r="488" spans="5:5" ht="12.75">
      <c r="E488" s="475"/>
    </row>
    <row r="489" spans="5:5" ht="12.75">
      <c r="E489" s="475"/>
    </row>
    <row r="490" spans="5:5" ht="12.75">
      <c r="E490" s="475"/>
    </row>
    <row r="491" spans="5:5" ht="12.75">
      <c r="E491" s="475"/>
    </row>
    <row r="492" spans="5:5" ht="12.75">
      <c r="E492" s="475"/>
    </row>
    <row r="493" spans="5:5" ht="12.75">
      <c r="E493" s="475"/>
    </row>
    <row r="494" spans="5:5" ht="12.75">
      <c r="E494" s="475"/>
    </row>
    <row r="495" spans="5:5" ht="12.75">
      <c r="E495" s="475"/>
    </row>
    <row r="496" spans="5:5" ht="12.75">
      <c r="E496" s="475"/>
    </row>
    <row r="497" spans="5:5" ht="12.75">
      <c r="E497" s="475"/>
    </row>
    <row r="498" spans="5:5" ht="12.75">
      <c r="E498" s="475"/>
    </row>
    <row r="499" spans="5:5" ht="12.75">
      <c r="E499" s="475"/>
    </row>
    <row r="500" spans="5:5" ht="12.75">
      <c r="E500" s="475"/>
    </row>
    <row r="501" spans="5:5" ht="12.75">
      <c r="E501" s="475"/>
    </row>
    <row r="502" spans="5:5" ht="12.75">
      <c r="E502" s="475"/>
    </row>
    <row r="503" spans="5:5" ht="12.75">
      <c r="E503" s="475"/>
    </row>
    <row r="504" spans="5:5" ht="12.75">
      <c r="E504" s="475"/>
    </row>
    <row r="505" spans="5:5" ht="12.75">
      <c r="E505" s="475"/>
    </row>
    <row r="506" spans="5:5" ht="12.75">
      <c r="E506" s="475"/>
    </row>
    <row r="507" spans="5:5" ht="12.75">
      <c r="E507" s="475"/>
    </row>
    <row r="508" spans="5:5" ht="12.75">
      <c r="E508" s="475"/>
    </row>
    <row r="509" spans="5:5" ht="12.75">
      <c r="E509" s="475"/>
    </row>
    <row r="510" spans="5:5" ht="12.75">
      <c r="E510" s="475"/>
    </row>
    <row r="511" spans="5:5" ht="12.75">
      <c r="E511" s="475"/>
    </row>
    <row r="512" spans="5:5" ht="12.75">
      <c r="E512" s="475"/>
    </row>
    <row r="513" spans="5:5" ht="12.75">
      <c r="E513" s="475"/>
    </row>
    <row r="514" spans="5:5" ht="12.75">
      <c r="E514" s="475"/>
    </row>
    <row r="515" spans="5:5" ht="12.75">
      <c r="E515" s="475"/>
    </row>
    <row r="516" spans="5:5" ht="12.75">
      <c r="E516" s="475"/>
    </row>
    <row r="517" spans="5:5" ht="12.75">
      <c r="E517" s="475"/>
    </row>
    <row r="518" spans="5:5" ht="12.75">
      <c r="E518" s="475"/>
    </row>
    <row r="519" spans="5:5" ht="12.75">
      <c r="E519" s="475"/>
    </row>
    <row r="520" spans="5:5" ht="12.75">
      <c r="E520" s="475"/>
    </row>
    <row r="521" spans="5:5" ht="12.75">
      <c r="E521" s="475"/>
    </row>
    <row r="522" spans="5:5" ht="12.75">
      <c r="E522" s="475"/>
    </row>
    <row r="523" spans="5:5" ht="12.75">
      <c r="E523" s="475"/>
    </row>
    <row r="524" spans="5:5" ht="12.75">
      <c r="E524" s="475"/>
    </row>
    <row r="525" spans="5:5" ht="12.75">
      <c r="E525" s="475"/>
    </row>
    <row r="526" spans="5:5" ht="12.75">
      <c r="E526" s="475"/>
    </row>
    <row r="527" spans="5:5" ht="12.75">
      <c r="E527" s="475"/>
    </row>
    <row r="528" spans="5:5" ht="12.75">
      <c r="E528" s="475"/>
    </row>
    <row r="529" spans="5:5" ht="12.75">
      <c r="E529" s="475"/>
    </row>
    <row r="530" spans="5:5" ht="12.75">
      <c r="E530" s="475"/>
    </row>
    <row r="531" spans="5:5" ht="12.75">
      <c r="E531" s="475"/>
    </row>
    <row r="532" spans="5:5" ht="12.75">
      <c r="E532" s="475"/>
    </row>
    <row r="533" spans="5:5" ht="12.75">
      <c r="E533" s="475"/>
    </row>
    <row r="534" spans="5:5" ht="12.75">
      <c r="E534" s="475"/>
    </row>
    <row r="535" spans="5:5" ht="12.75">
      <c r="E535" s="475"/>
    </row>
    <row r="536" spans="5:5" ht="12.75">
      <c r="E536" s="475"/>
    </row>
    <row r="537" spans="5:5" ht="12.75">
      <c r="E537" s="475"/>
    </row>
    <row r="538" spans="5:5" ht="12.75">
      <c r="E538" s="475"/>
    </row>
    <row r="539" spans="5:5" ht="12.75">
      <c r="E539" s="475"/>
    </row>
    <row r="540" spans="5:5" ht="12.75">
      <c r="E540" s="475"/>
    </row>
    <row r="541" spans="5:5" ht="12.75">
      <c r="E541" s="475"/>
    </row>
    <row r="542" spans="5:5" ht="12.75">
      <c r="E542" s="475"/>
    </row>
    <row r="543" spans="5:5" ht="12.75">
      <c r="E543" s="475"/>
    </row>
    <row r="544" spans="5:5" ht="12.75">
      <c r="E544" s="475"/>
    </row>
    <row r="545" spans="5:5" ht="12.75">
      <c r="E545" s="475"/>
    </row>
    <row r="546" spans="5:5" ht="12.75">
      <c r="E546" s="475"/>
    </row>
    <row r="547" spans="5:5" ht="12.75">
      <c r="E547" s="475"/>
    </row>
    <row r="548" spans="5:5" ht="12.75">
      <c r="E548" s="475"/>
    </row>
    <row r="549" spans="5:5" ht="12.75">
      <c r="E549" s="475"/>
    </row>
    <row r="550" spans="5:5" ht="12.75">
      <c r="E550" s="475"/>
    </row>
    <row r="551" spans="5:5" ht="12.75">
      <c r="E551" s="475"/>
    </row>
    <row r="552" spans="5:5" ht="12.75">
      <c r="E552" s="475"/>
    </row>
    <row r="553" spans="5:5" ht="12.75">
      <c r="E553" s="475"/>
    </row>
    <row r="554" spans="5:5" ht="12.75">
      <c r="E554" s="475"/>
    </row>
    <row r="555" spans="5:5" ht="12.75">
      <c r="E555" s="475"/>
    </row>
    <row r="556" spans="5:5" ht="12.75">
      <c r="E556" s="475"/>
    </row>
    <row r="557" spans="5:5" ht="12.75">
      <c r="E557" s="475"/>
    </row>
    <row r="558" spans="5:5" ht="12.75">
      <c r="E558" s="475"/>
    </row>
    <row r="559" spans="5:5" ht="12.75">
      <c r="E559" s="475"/>
    </row>
    <row r="560" spans="5:5" ht="12.75">
      <c r="E560" s="475"/>
    </row>
    <row r="561" spans="5:5" ht="12.75">
      <c r="E561" s="475"/>
    </row>
    <row r="562" spans="5:5" ht="12.75">
      <c r="E562" s="475"/>
    </row>
    <row r="563" spans="5:5" ht="12.75">
      <c r="E563" s="475"/>
    </row>
    <row r="564" spans="5:5" ht="12.75">
      <c r="E564" s="475"/>
    </row>
    <row r="565" spans="5:5" ht="12.75">
      <c r="E565" s="475"/>
    </row>
    <row r="566" spans="5:5" ht="12.75">
      <c r="E566" s="475"/>
    </row>
    <row r="567" spans="5:5" ht="12.75">
      <c r="E567" s="475"/>
    </row>
    <row r="568" spans="5:5" ht="12.75">
      <c r="E568" s="475"/>
    </row>
    <row r="569" spans="5:5" ht="12.75">
      <c r="E569" s="475"/>
    </row>
    <row r="570" spans="5:5" ht="12.75">
      <c r="E570" s="475"/>
    </row>
    <row r="571" spans="5:5" ht="12.75">
      <c r="E571" s="475"/>
    </row>
    <row r="572" spans="5:5" ht="12.75">
      <c r="E572" s="475"/>
    </row>
    <row r="573" spans="5:5" ht="12.75">
      <c r="E573" s="475"/>
    </row>
    <row r="574" spans="5:5" ht="12.75">
      <c r="E574" s="475"/>
    </row>
    <row r="575" spans="5:5" ht="12.75">
      <c r="E575" s="475"/>
    </row>
    <row r="576" spans="5:5" ht="12.75">
      <c r="E576" s="475"/>
    </row>
    <row r="577" spans="5:5" ht="12.75">
      <c r="E577" s="475"/>
    </row>
    <row r="578" spans="5:5" ht="12.75">
      <c r="E578" s="475"/>
    </row>
    <row r="579" spans="5:5" ht="12.75">
      <c r="E579" s="475"/>
    </row>
    <row r="580" spans="5:5" ht="12.75">
      <c r="E580" s="475"/>
    </row>
    <row r="581" spans="5:5" ht="12.75">
      <c r="E581" s="475"/>
    </row>
    <row r="582" spans="5:5" ht="12.75">
      <c r="E582" s="475"/>
    </row>
    <row r="583" spans="5:5" ht="12.75">
      <c r="E583" s="475"/>
    </row>
    <row r="584" spans="5:5" ht="12.75">
      <c r="E584" s="475"/>
    </row>
    <row r="585" spans="5:5" ht="12.75">
      <c r="E585" s="475"/>
    </row>
    <row r="586" spans="5:5" ht="12.75">
      <c r="E586" s="475"/>
    </row>
    <row r="587" spans="5:5" ht="12.75">
      <c r="E587" s="475"/>
    </row>
    <row r="588" spans="5:5" ht="12.75">
      <c r="E588" s="475"/>
    </row>
    <row r="589" spans="5:5" ht="12.75">
      <c r="E589" s="475"/>
    </row>
    <row r="590" spans="5:5" ht="12.75">
      <c r="E590" s="475"/>
    </row>
    <row r="591" spans="5:5" ht="12.75">
      <c r="E591" s="475"/>
    </row>
    <row r="592" spans="5:5" ht="12.75">
      <c r="E592" s="475"/>
    </row>
    <row r="593" spans="5:5" ht="12.75">
      <c r="E593" s="475"/>
    </row>
    <row r="594" spans="5:5" ht="12.75">
      <c r="E594" s="475"/>
    </row>
    <row r="595" spans="5:5" ht="12.75">
      <c r="E595" s="475"/>
    </row>
    <row r="596" spans="5:5" ht="12.75">
      <c r="E596" s="475"/>
    </row>
    <row r="597" spans="5:5" ht="12.75">
      <c r="E597" s="475"/>
    </row>
    <row r="598" spans="5:5" ht="12.75">
      <c r="E598" s="475"/>
    </row>
    <row r="599" spans="5:5" ht="12.75">
      <c r="E599" s="475"/>
    </row>
    <row r="600" spans="5:5" ht="12.75">
      <c r="E600" s="475"/>
    </row>
    <row r="601" spans="5:5" ht="12.75">
      <c r="E601" s="475"/>
    </row>
    <row r="602" spans="5:5" ht="12.75">
      <c r="E602" s="475"/>
    </row>
    <row r="603" spans="5:5" ht="12.75">
      <c r="E603" s="475"/>
    </row>
    <row r="604" spans="5:5" ht="12.75">
      <c r="E604" s="475"/>
    </row>
    <row r="605" spans="5:5" ht="12.75">
      <c r="E605" s="475"/>
    </row>
    <row r="606" spans="5:5" ht="12.75">
      <c r="E606" s="475"/>
    </row>
    <row r="607" spans="5:5" ht="12.75">
      <c r="E607" s="475"/>
    </row>
    <row r="608" spans="5:5" ht="12.75">
      <c r="E608" s="475"/>
    </row>
    <row r="609" spans="5:5" ht="12.75">
      <c r="E609" s="475"/>
    </row>
    <row r="610" spans="5:5" ht="12.75">
      <c r="E610" s="475"/>
    </row>
    <row r="611" spans="5:5" ht="12.75">
      <c r="E611" s="475"/>
    </row>
    <row r="612" spans="5:5" ht="12.75">
      <c r="E612" s="475"/>
    </row>
    <row r="613" spans="5:5" ht="12.75">
      <c r="E613" s="475"/>
    </row>
    <row r="614" spans="5:5" ht="12.75">
      <c r="E614" s="475"/>
    </row>
    <row r="615" spans="5:5" ht="12.75">
      <c r="E615" s="475"/>
    </row>
    <row r="616" spans="5:5" ht="12.75">
      <c r="E616" s="475"/>
    </row>
    <row r="617" spans="5:5" ht="12.75">
      <c r="E617" s="475"/>
    </row>
    <row r="618" spans="5:5" ht="12.75">
      <c r="E618" s="475"/>
    </row>
    <row r="619" spans="5:5" ht="12.75">
      <c r="E619" s="475"/>
    </row>
    <row r="620" spans="5:5" ht="12.75">
      <c r="E620" s="475"/>
    </row>
    <row r="621" spans="5:5" ht="12.75">
      <c r="E621" s="475"/>
    </row>
    <row r="622" spans="5:5" ht="12.75">
      <c r="E622" s="475"/>
    </row>
    <row r="623" spans="5:5" ht="12.75">
      <c r="E623" s="475"/>
    </row>
    <row r="624" spans="5:5" ht="12.75">
      <c r="E624" s="475"/>
    </row>
    <row r="625" spans="5:5" ht="12.75">
      <c r="E625" s="475"/>
    </row>
    <row r="626" spans="5:5" ht="12.75">
      <c r="E626" s="475"/>
    </row>
    <row r="627" spans="5:5" ht="12.75">
      <c r="E627" s="475"/>
    </row>
    <row r="628" spans="5:5" ht="12.75">
      <c r="E628" s="475"/>
    </row>
    <row r="629" spans="5:5" ht="12.75">
      <c r="E629" s="475"/>
    </row>
    <row r="630" spans="5:5" ht="12.75">
      <c r="E630" s="475"/>
    </row>
    <row r="631" spans="5:5" ht="12.75">
      <c r="E631" s="475"/>
    </row>
    <row r="632" spans="5:5" ht="12.75">
      <c r="E632" s="475"/>
    </row>
    <row r="633" spans="5:5" ht="12.75">
      <c r="E633" s="475"/>
    </row>
    <row r="634" spans="5:5" ht="12.75">
      <c r="E634" s="475"/>
    </row>
    <row r="635" spans="5:5" ht="12.75">
      <c r="E635" s="475"/>
    </row>
    <row r="636" spans="5:5" ht="12.75">
      <c r="E636" s="475"/>
    </row>
    <row r="637" spans="5:5" ht="12.75">
      <c r="E637" s="475"/>
    </row>
    <row r="638" spans="5:5" ht="12.75">
      <c r="E638" s="475"/>
    </row>
    <row r="639" spans="5:5" ht="12.75">
      <c r="E639" s="475"/>
    </row>
    <row r="640" spans="5:5" ht="12.75">
      <c r="E640" s="475"/>
    </row>
    <row r="641" spans="5:5" ht="12.75">
      <c r="E641" s="475"/>
    </row>
    <row r="642" spans="5:5" ht="12.75">
      <c r="E642" s="475"/>
    </row>
    <row r="643" spans="5:5" ht="12.75">
      <c r="E643" s="475"/>
    </row>
    <row r="644" spans="5:5" ht="12.75">
      <c r="E644" s="475"/>
    </row>
    <row r="645" spans="5:5" ht="12.75">
      <c r="E645" s="475"/>
    </row>
    <row r="646" spans="5:5" ht="12.75">
      <c r="E646" s="475"/>
    </row>
    <row r="647" spans="5:5" ht="12.75">
      <c r="E647" s="475"/>
    </row>
    <row r="648" spans="5:5" ht="12.75">
      <c r="E648" s="475"/>
    </row>
    <row r="649" spans="5:5" ht="12.75">
      <c r="E649" s="475"/>
    </row>
    <row r="650" spans="5:5" ht="12.75">
      <c r="E650" s="475"/>
    </row>
    <row r="651" spans="5:5" ht="12.75">
      <c r="E651" s="475"/>
    </row>
    <row r="652" spans="5:5" ht="12.75">
      <c r="E652" s="475"/>
    </row>
    <row r="653" spans="5:5" ht="12.75">
      <c r="E653" s="475"/>
    </row>
    <row r="654" spans="5:5" ht="12.75">
      <c r="E654" s="475"/>
    </row>
    <row r="655" spans="5:5" ht="12.75">
      <c r="E655" s="475"/>
    </row>
    <row r="656" spans="5:5" ht="12.75">
      <c r="E656" s="475"/>
    </row>
    <row r="657" spans="5:5" ht="12.75">
      <c r="E657" s="475"/>
    </row>
    <row r="658" spans="5:5" ht="12.75">
      <c r="E658" s="475"/>
    </row>
    <row r="659" spans="5:5" ht="12.75">
      <c r="E659" s="475"/>
    </row>
    <row r="660" spans="5:5" ht="12.75">
      <c r="E660" s="475"/>
    </row>
    <row r="661" spans="5:5" ht="12.75">
      <c r="E661" s="475"/>
    </row>
    <row r="662" spans="5:5" ht="12.75">
      <c r="E662" s="475"/>
    </row>
    <row r="663" spans="5:5" ht="12.75">
      <c r="E663" s="475"/>
    </row>
    <row r="664" spans="5:5" ht="12.75">
      <c r="E664" s="475"/>
    </row>
    <row r="665" spans="5:5" ht="12.75">
      <c r="E665" s="475"/>
    </row>
    <row r="666" spans="5:5" ht="12.75">
      <c r="E666" s="475"/>
    </row>
    <row r="667" spans="5:5" ht="12.75">
      <c r="E667" s="475"/>
    </row>
    <row r="668" spans="5:5" ht="12.75">
      <c r="E668" s="475"/>
    </row>
    <row r="669" spans="5:5" ht="12.75">
      <c r="E669" s="475"/>
    </row>
    <row r="670" spans="5:5" ht="12.75">
      <c r="E670" s="475"/>
    </row>
    <row r="671" spans="5:5" ht="12.75">
      <c r="E671" s="475"/>
    </row>
    <row r="672" spans="5:5" ht="12.75">
      <c r="E672" s="475"/>
    </row>
    <row r="673" spans="5:5" ht="12.75">
      <c r="E673" s="475"/>
    </row>
    <row r="674" spans="5:5" ht="12.75">
      <c r="E674" s="475"/>
    </row>
    <row r="675" spans="5:5" ht="12.75">
      <c r="E675" s="475"/>
    </row>
    <row r="676" spans="5:5" ht="12.75">
      <c r="E676" s="475"/>
    </row>
    <row r="677" spans="5:5" ht="12.75">
      <c r="E677" s="475"/>
    </row>
    <row r="678" spans="5:5" ht="12.75">
      <c r="E678" s="475"/>
    </row>
    <row r="679" spans="5:5" ht="12.75">
      <c r="E679" s="475"/>
    </row>
    <row r="680" spans="5:5" ht="12.75">
      <c r="E680" s="475"/>
    </row>
    <row r="681" spans="5:5" ht="12.75">
      <c r="E681" s="475"/>
    </row>
    <row r="682" spans="5:5" ht="12.75">
      <c r="E682" s="475"/>
    </row>
    <row r="683" spans="5:5" ht="12.75">
      <c r="E683" s="475"/>
    </row>
    <row r="684" spans="5:5" ht="12.75">
      <c r="E684" s="475"/>
    </row>
    <row r="685" spans="5:5" ht="12.75">
      <c r="E685" s="475"/>
    </row>
    <row r="686" spans="5:5" ht="12.75">
      <c r="E686" s="475"/>
    </row>
    <row r="687" spans="5:5" ht="12.75">
      <c r="E687" s="475"/>
    </row>
    <row r="688" spans="5:5" ht="12.75">
      <c r="E688" s="475"/>
    </row>
    <row r="689" spans="5:5" ht="12.75">
      <c r="E689" s="475"/>
    </row>
    <row r="690" spans="5:5" ht="12.75">
      <c r="E690" s="475"/>
    </row>
    <row r="691" spans="5:5" ht="12.75">
      <c r="E691" s="475"/>
    </row>
    <row r="692" spans="5:5" ht="12.75">
      <c r="E692" s="475"/>
    </row>
    <row r="693" spans="5:5" ht="12.75">
      <c r="E693" s="475"/>
    </row>
    <row r="694" spans="5:5" ht="12.75">
      <c r="E694" s="475"/>
    </row>
    <row r="695" spans="5:5" ht="12.75">
      <c r="E695" s="475"/>
    </row>
    <row r="696" spans="5:5" ht="12.75">
      <c r="E696" s="475"/>
    </row>
    <row r="697" spans="5:5" ht="12.75">
      <c r="E697" s="475"/>
    </row>
    <row r="698" spans="5:5" ht="12.75">
      <c r="E698" s="475"/>
    </row>
    <row r="699" spans="5:5" ht="12.75">
      <c r="E699" s="475"/>
    </row>
    <row r="700" spans="5:5" ht="12.75">
      <c r="E700" s="475"/>
    </row>
    <row r="701" spans="5:5" ht="12.75">
      <c r="E701" s="475"/>
    </row>
    <row r="702" spans="5:5" ht="12.75">
      <c r="E702" s="475"/>
    </row>
    <row r="703" spans="5:5" ht="12.75">
      <c r="E703" s="475"/>
    </row>
    <row r="704" spans="5:5" ht="12.75">
      <c r="E704" s="475"/>
    </row>
    <row r="705" spans="5:5" ht="12.75">
      <c r="E705" s="475"/>
    </row>
    <row r="706" spans="5:5" ht="12.75">
      <c r="E706" s="475"/>
    </row>
    <row r="707" spans="5:5" ht="12.75">
      <c r="E707" s="475"/>
    </row>
    <row r="708" spans="5:5" ht="12.75">
      <c r="E708" s="475"/>
    </row>
    <row r="709" spans="5:5" ht="12.75">
      <c r="E709" s="475"/>
    </row>
    <row r="710" spans="5:5" ht="12.75">
      <c r="E710" s="475"/>
    </row>
    <row r="711" spans="5:5" ht="12.75">
      <c r="E711" s="475"/>
    </row>
    <row r="712" spans="5:5" ht="12.75">
      <c r="E712" s="475"/>
    </row>
    <row r="713" spans="5:5" ht="12.75">
      <c r="E713" s="475"/>
    </row>
    <row r="714" spans="5:5" ht="12.75">
      <c r="E714" s="475"/>
    </row>
    <row r="715" spans="5:5" ht="12.75">
      <c r="E715" s="475"/>
    </row>
    <row r="716" spans="5:5" ht="12.75">
      <c r="E716" s="475"/>
    </row>
    <row r="717" spans="5:5" ht="12.75">
      <c r="E717" s="475"/>
    </row>
    <row r="718" spans="5:5" ht="12.75">
      <c r="E718" s="475"/>
    </row>
    <row r="719" spans="5:5" ht="12.75">
      <c r="E719" s="475"/>
    </row>
    <row r="720" spans="5:5" ht="12.75">
      <c r="E720" s="475"/>
    </row>
    <row r="721" spans="5:5" ht="12.75">
      <c r="E721" s="475"/>
    </row>
    <row r="722" spans="5:5" ht="12.75">
      <c r="E722" s="475"/>
    </row>
    <row r="723" spans="5:5" ht="12.75">
      <c r="E723" s="475"/>
    </row>
    <row r="724" spans="5:5" ht="12.75">
      <c r="E724" s="475"/>
    </row>
    <row r="725" spans="5:5" ht="12.75">
      <c r="E725" s="475"/>
    </row>
    <row r="726" spans="5:5" ht="12.75">
      <c r="E726" s="475"/>
    </row>
    <row r="727" spans="5:5" ht="12.75">
      <c r="E727" s="475"/>
    </row>
    <row r="728" spans="5:5" ht="12.75">
      <c r="E728" s="475"/>
    </row>
    <row r="729" spans="5:5" ht="12.75">
      <c r="E729" s="475"/>
    </row>
    <row r="730" spans="5:5" ht="12.75">
      <c r="E730" s="475"/>
    </row>
    <row r="731" spans="5:5" ht="12.75">
      <c r="E731" s="475"/>
    </row>
    <row r="732" spans="5:5" ht="12.75">
      <c r="E732" s="475"/>
    </row>
    <row r="733" spans="5:5" ht="12.75">
      <c r="E733" s="475"/>
    </row>
    <row r="734" spans="5:5" ht="12.75">
      <c r="E734" s="475"/>
    </row>
    <row r="735" spans="5:5" ht="12.75">
      <c r="E735" s="475"/>
    </row>
    <row r="736" spans="5:5" ht="12.75">
      <c r="E736" s="475"/>
    </row>
    <row r="737" spans="5:5" ht="12.75">
      <c r="E737" s="475"/>
    </row>
    <row r="738" spans="5:5" ht="12.75">
      <c r="E738" s="475"/>
    </row>
    <row r="739" spans="5:5" ht="12.75">
      <c r="E739" s="475"/>
    </row>
    <row r="740" spans="5:5" ht="12.75">
      <c r="E740" s="475"/>
    </row>
    <row r="741" spans="5:5" ht="12.75">
      <c r="E741" s="475"/>
    </row>
    <row r="742" spans="5:5" ht="12.75">
      <c r="E742" s="475"/>
    </row>
    <row r="743" spans="5:5" ht="12.75">
      <c r="E743" s="475"/>
    </row>
    <row r="744" spans="5:5" ht="12.75">
      <c r="E744" s="475"/>
    </row>
    <row r="745" spans="5:5" ht="12.75">
      <c r="E745" s="475"/>
    </row>
    <row r="746" spans="5:5" ht="12.75">
      <c r="E746" s="475"/>
    </row>
    <row r="747" spans="5:5" ht="12.75">
      <c r="E747" s="475"/>
    </row>
    <row r="748" spans="5:5" ht="12.75">
      <c r="E748" s="475"/>
    </row>
    <row r="749" spans="5:5" ht="12.75">
      <c r="E749" s="475"/>
    </row>
    <row r="750" spans="5:5" ht="12.75">
      <c r="E750" s="475"/>
    </row>
    <row r="751" spans="5:5" ht="12.75">
      <c r="E751" s="475"/>
    </row>
    <row r="752" spans="5:5" ht="12.75">
      <c r="E752" s="475"/>
    </row>
    <row r="753" spans="5:5" ht="12.75">
      <c r="E753" s="475"/>
    </row>
    <row r="754" spans="5:5" ht="12.75">
      <c r="E754" s="475"/>
    </row>
    <row r="755" spans="5:5" ht="12.75">
      <c r="E755" s="475"/>
    </row>
    <row r="756" spans="5:5" ht="12.75">
      <c r="E756" s="475"/>
    </row>
    <row r="757" spans="5:5" ht="12.75">
      <c r="E757" s="475"/>
    </row>
    <row r="758" spans="5:5" ht="12.75">
      <c r="E758" s="475"/>
    </row>
    <row r="759" spans="5:5" ht="12.75">
      <c r="E759" s="475"/>
    </row>
    <row r="760" spans="5:5" ht="12.75">
      <c r="E760" s="475"/>
    </row>
    <row r="761" spans="5:5" ht="12.75">
      <c r="E761" s="475"/>
    </row>
    <row r="762" spans="5:5" ht="12.75">
      <c r="E762" s="475"/>
    </row>
    <row r="763" spans="5:5" ht="12.75">
      <c r="E763" s="475"/>
    </row>
    <row r="764" spans="5:5" ht="12.75">
      <c r="E764" s="475"/>
    </row>
    <row r="765" spans="5:5" ht="12.75">
      <c r="E765" s="475"/>
    </row>
    <row r="766" spans="5:5" ht="12.75">
      <c r="E766" s="475"/>
    </row>
    <row r="767" spans="5:5" ht="12.75">
      <c r="E767" s="475"/>
    </row>
    <row r="768" spans="5:5" ht="12.75">
      <c r="E768" s="475"/>
    </row>
    <row r="769" spans="5:5" ht="12.75">
      <c r="E769" s="475"/>
    </row>
    <row r="770" spans="5:5" ht="12.75">
      <c r="E770" s="475"/>
    </row>
    <row r="771" spans="5:5" ht="12.75">
      <c r="E771" s="475"/>
    </row>
    <row r="772" spans="5:5" ht="12.75">
      <c r="E772" s="475"/>
    </row>
    <row r="773" spans="5:5" ht="12.75">
      <c r="E773" s="475"/>
    </row>
    <row r="774" spans="5:5" ht="12.75">
      <c r="E774" s="475"/>
    </row>
    <row r="775" spans="5:5" ht="12.75">
      <c r="E775" s="475"/>
    </row>
    <row r="776" spans="5:5" ht="12.75">
      <c r="E776" s="475"/>
    </row>
    <row r="777" spans="5:5" ht="12.75">
      <c r="E777" s="475"/>
    </row>
    <row r="778" spans="5:5" ht="12.75">
      <c r="E778" s="475"/>
    </row>
    <row r="779" spans="5:5" ht="12.75">
      <c r="E779" s="475"/>
    </row>
    <row r="780" spans="5:5" ht="12.75">
      <c r="E780" s="475"/>
    </row>
    <row r="781" spans="5:5" ht="12.75">
      <c r="E781" s="475"/>
    </row>
    <row r="782" spans="5:5" ht="12.75">
      <c r="E782" s="475"/>
    </row>
    <row r="783" spans="5:5" ht="12.75">
      <c r="E783" s="475"/>
    </row>
    <row r="784" spans="5:5" ht="12.75">
      <c r="E784" s="475"/>
    </row>
    <row r="785" spans="5:5" ht="12.75">
      <c r="E785" s="475"/>
    </row>
    <row r="786" spans="5:5" ht="12.75">
      <c r="E786" s="475"/>
    </row>
    <row r="787" spans="5:5" ht="12.75">
      <c r="E787" s="475"/>
    </row>
    <row r="788" spans="5:5" ht="12.75">
      <c r="E788" s="475"/>
    </row>
    <row r="789" spans="5:5" ht="12.75">
      <c r="E789" s="475"/>
    </row>
    <row r="790" spans="5:5" ht="12.75">
      <c r="E790" s="475"/>
    </row>
    <row r="791" spans="5:5" ht="12.75">
      <c r="E791" s="475"/>
    </row>
    <row r="792" spans="5:5" ht="12.75">
      <c r="E792" s="475"/>
    </row>
    <row r="793" spans="5:5" ht="12.75">
      <c r="E793" s="475"/>
    </row>
    <row r="794" spans="5:5" ht="12.75">
      <c r="E794" s="475"/>
    </row>
    <row r="795" spans="5:5" ht="12.75">
      <c r="E795" s="475"/>
    </row>
    <row r="796" spans="5:5" ht="12.75">
      <c r="E796" s="475"/>
    </row>
    <row r="797" spans="5:5" ht="12.75">
      <c r="E797" s="475"/>
    </row>
    <row r="798" spans="5:5" ht="12.75">
      <c r="E798" s="475"/>
    </row>
    <row r="799" spans="5:5" ht="12.75">
      <c r="E799" s="475"/>
    </row>
    <row r="800" spans="5:5" ht="12.75">
      <c r="E800" s="475"/>
    </row>
    <row r="801" spans="5:5" ht="12.75">
      <c r="E801" s="475"/>
    </row>
    <row r="802" spans="5:5" ht="12.75">
      <c r="E802" s="475"/>
    </row>
    <row r="803" spans="5:5" ht="12.75">
      <c r="E803" s="475"/>
    </row>
    <row r="804" spans="5:5" ht="12.75">
      <c r="E804" s="475"/>
    </row>
    <row r="805" spans="5:5" ht="12.75">
      <c r="E805" s="475"/>
    </row>
    <row r="806" spans="5:5" ht="12.75">
      <c r="E806" s="475"/>
    </row>
    <row r="807" spans="5:5" ht="12.75">
      <c r="E807" s="475"/>
    </row>
    <row r="808" spans="5:5" ht="12.75">
      <c r="E808" s="475"/>
    </row>
    <row r="809" spans="5:5" ht="12.75">
      <c r="E809" s="475"/>
    </row>
    <row r="810" spans="5:5" ht="12.75">
      <c r="E810" s="475"/>
    </row>
    <row r="811" spans="5:5" ht="12.75">
      <c r="E811" s="475"/>
    </row>
    <row r="812" spans="5:5" ht="12.75">
      <c r="E812" s="475"/>
    </row>
    <row r="813" spans="5:5" ht="12.75">
      <c r="E813" s="475"/>
    </row>
    <row r="814" spans="5:5" ht="12.75">
      <c r="E814" s="475"/>
    </row>
    <row r="815" spans="5:5" ht="12.75">
      <c r="E815" s="475"/>
    </row>
    <row r="816" spans="5:5" ht="12.75">
      <c r="E816" s="475"/>
    </row>
    <row r="817" spans="5:5" ht="12.75">
      <c r="E817" s="475"/>
    </row>
    <row r="818" spans="5:5" ht="12.75">
      <c r="E818" s="475"/>
    </row>
    <row r="819" spans="5:5" ht="12.75">
      <c r="E819" s="475"/>
    </row>
    <row r="820" spans="5:5" ht="12.75">
      <c r="E820" s="475"/>
    </row>
    <row r="821" spans="5:5" ht="12.75">
      <c r="E821" s="475"/>
    </row>
    <row r="822" spans="5:5" ht="12.75">
      <c r="E822" s="475"/>
    </row>
    <row r="823" spans="5:5" ht="12.75">
      <c r="E823" s="475"/>
    </row>
    <row r="824" spans="5:5" ht="12.75">
      <c r="E824" s="475"/>
    </row>
    <row r="825" spans="5:5" ht="12.75">
      <c r="E825" s="475"/>
    </row>
    <row r="826" spans="5:5" ht="12.75">
      <c r="E826" s="475"/>
    </row>
    <row r="827" spans="5:5" ht="12.75">
      <c r="E827" s="475"/>
    </row>
    <row r="828" spans="5:5" ht="12.75">
      <c r="E828" s="475"/>
    </row>
    <row r="829" spans="5:5" ht="12.75">
      <c r="E829" s="475"/>
    </row>
    <row r="830" spans="5:5" ht="12.75">
      <c r="E830" s="475"/>
    </row>
    <row r="831" spans="5:5" ht="12.75">
      <c r="E831" s="475"/>
    </row>
    <row r="832" spans="5:5" ht="12.75">
      <c r="E832" s="475"/>
    </row>
    <row r="833" spans="5:5" ht="12.75">
      <c r="E833" s="475"/>
    </row>
    <row r="834" spans="5:5" ht="12.75">
      <c r="E834" s="475"/>
    </row>
    <row r="835" spans="5:5" ht="12.75">
      <c r="E835" s="475"/>
    </row>
    <row r="836" spans="5:5" ht="12.75">
      <c r="E836" s="475"/>
    </row>
    <row r="837" spans="5:5" ht="12.75">
      <c r="E837" s="475"/>
    </row>
    <row r="838" spans="5:5" ht="12.75">
      <c r="E838" s="475"/>
    </row>
    <row r="839" spans="5:5" ht="12.75">
      <c r="E839" s="475"/>
    </row>
    <row r="840" spans="5:5" ht="12.75">
      <c r="E840" s="475"/>
    </row>
    <row r="841" spans="5:5" ht="12.75">
      <c r="E841" s="475"/>
    </row>
    <row r="842" spans="5:5" ht="12.75">
      <c r="E842" s="475"/>
    </row>
    <row r="843" spans="5:5" ht="12.75">
      <c r="E843" s="475"/>
    </row>
    <row r="844" spans="5:5" ht="12.75">
      <c r="E844" s="475"/>
    </row>
    <row r="845" spans="5:5" ht="12.75">
      <c r="E845" s="475"/>
    </row>
    <row r="846" spans="5:5" ht="12.75">
      <c r="E846" s="475"/>
    </row>
    <row r="847" spans="5:5" ht="12.75">
      <c r="E847" s="475"/>
    </row>
    <row r="848" spans="5:5" ht="12.75">
      <c r="E848" s="475"/>
    </row>
    <row r="849" spans="5:5" ht="12.75">
      <c r="E849" s="475"/>
    </row>
    <row r="850" spans="5:5" ht="12.75">
      <c r="E850" s="475"/>
    </row>
    <row r="851" spans="5:5" ht="12.75">
      <c r="E851" s="475"/>
    </row>
    <row r="852" spans="5:5" ht="12.75">
      <c r="E852" s="475"/>
    </row>
    <row r="853" spans="5:5" ht="12.75">
      <c r="E853" s="475"/>
    </row>
    <row r="854" spans="5:5" ht="12.75">
      <c r="E854" s="475"/>
    </row>
    <row r="855" spans="5:5" ht="12.75">
      <c r="E855" s="475"/>
    </row>
    <row r="856" spans="5:5" ht="12.75">
      <c r="E856" s="475"/>
    </row>
    <row r="857" spans="5:5" ht="12.75">
      <c r="E857" s="475"/>
    </row>
    <row r="858" spans="5:5" ht="12.75">
      <c r="E858" s="475"/>
    </row>
    <row r="859" spans="5:5" ht="12.75">
      <c r="E859" s="475"/>
    </row>
    <row r="860" spans="5:5" ht="12.75">
      <c r="E860" s="475"/>
    </row>
    <row r="861" spans="5:5" ht="12.75">
      <c r="E861" s="475"/>
    </row>
    <row r="862" spans="5:5" ht="12.75">
      <c r="E862" s="475"/>
    </row>
    <row r="863" spans="5:5" ht="12.75">
      <c r="E863" s="475"/>
    </row>
    <row r="864" spans="5:5" ht="12.75">
      <c r="E864" s="475"/>
    </row>
    <row r="865" spans="5:5" ht="12.75">
      <c r="E865" s="475"/>
    </row>
    <row r="866" spans="5:5" ht="12.75">
      <c r="E866" s="475"/>
    </row>
    <row r="867" spans="5:5" ht="12.75">
      <c r="E867" s="475"/>
    </row>
    <row r="868" spans="5:5" ht="12.75">
      <c r="E868" s="475"/>
    </row>
    <row r="869" spans="5:5" ht="12.75">
      <c r="E869" s="475"/>
    </row>
    <row r="870" spans="5:5" ht="12.75">
      <c r="E870" s="475"/>
    </row>
    <row r="871" spans="5:5" ht="12.75">
      <c r="E871" s="475"/>
    </row>
    <row r="872" spans="5:5" ht="12.75">
      <c r="E872" s="475"/>
    </row>
    <row r="873" spans="5:5" ht="12.75">
      <c r="E873" s="475"/>
    </row>
    <row r="874" spans="5:5" ht="12.75">
      <c r="E874" s="475"/>
    </row>
    <row r="875" spans="5:5" ht="12.75">
      <c r="E875" s="475"/>
    </row>
    <row r="876" spans="5:5" ht="12.75">
      <c r="E876" s="475"/>
    </row>
    <row r="877" spans="5:5" ht="12.75">
      <c r="E877" s="475"/>
    </row>
    <row r="878" spans="5:5" ht="12.75">
      <c r="E878" s="475"/>
    </row>
    <row r="879" spans="5:5" ht="12.75">
      <c r="E879" s="475"/>
    </row>
    <row r="880" spans="5:5" ht="12.75">
      <c r="E880" s="475"/>
    </row>
    <row r="881" spans="5:5" ht="12.75">
      <c r="E881" s="475"/>
    </row>
    <row r="882" spans="5:5" ht="12.75">
      <c r="E882" s="475"/>
    </row>
    <row r="883" spans="5:5" ht="12.75">
      <c r="E883" s="475"/>
    </row>
    <row r="884" spans="5:5" ht="12.75">
      <c r="E884" s="475"/>
    </row>
    <row r="885" spans="5:5" ht="12.75">
      <c r="E885" s="475"/>
    </row>
    <row r="886" spans="5:5" ht="12.75">
      <c r="E886" s="475"/>
    </row>
    <row r="887" spans="5:5" ht="12.75">
      <c r="E887" s="475"/>
    </row>
    <row r="888" spans="5:5" ht="12.75">
      <c r="E888" s="475"/>
    </row>
    <row r="889" spans="5:5" ht="12.75">
      <c r="E889" s="475"/>
    </row>
    <row r="890" spans="5:5" ht="12.75">
      <c r="E890" s="475"/>
    </row>
    <row r="891" spans="5:5" ht="12.75">
      <c r="E891" s="475"/>
    </row>
    <row r="892" spans="5:5" ht="12.75">
      <c r="E892" s="475"/>
    </row>
    <row r="893" spans="5:5" ht="12.75">
      <c r="E893" s="475"/>
    </row>
    <row r="894" spans="5:5" ht="12.75">
      <c r="E894" s="475"/>
    </row>
    <row r="895" spans="5:5" ht="12.75">
      <c r="E895" s="475"/>
    </row>
    <row r="896" spans="5:5" ht="12.75">
      <c r="E896" s="475"/>
    </row>
    <row r="897" spans="5:5" ht="12.75">
      <c r="E897" s="475"/>
    </row>
    <row r="898" spans="5:5" ht="12.75">
      <c r="E898" s="475"/>
    </row>
    <row r="899" spans="5:5" ht="12.75">
      <c r="E899" s="475"/>
    </row>
    <row r="900" spans="5:5" ht="12.75">
      <c r="E900" s="475"/>
    </row>
    <row r="901" spans="5:5" ht="12.75">
      <c r="E901" s="475"/>
    </row>
    <row r="902" spans="5:5" ht="12.75">
      <c r="E902" s="475"/>
    </row>
    <row r="903" spans="5:5" ht="12.75">
      <c r="E903" s="475"/>
    </row>
    <row r="904" spans="5:5" ht="12.75">
      <c r="E904" s="475"/>
    </row>
    <row r="905" spans="5:5" ht="12.75">
      <c r="E905" s="475"/>
    </row>
    <row r="906" spans="5:5" ht="12.75">
      <c r="E906" s="475"/>
    </row>
    <row r="907" spans="5:5" ht="12.75">
      <c r="E907" s="475"/>
    </row>
    <row r="908" spans="5:5" ht="12.75">
      <c r="E908" s="475"/>
    </row>
    <row r="909" spans="5:5" ht="12.75">
      <c r="E909" s="475"/>
    </row>
    <row r="910" spans="5:5" ht="12.75">
      <c r="E910" s="475"/>
    </row>
    <row r="911" spans="5:5" ht="12.75">
      <c r="E911" s="475"/>
    </row>
    <row r="912" spans="5:5" ht="12.75">
      <c r="E912" s="475"/>
    </row>
    <row r="913" spans="5:5" ht="12.75">
      <c r="E913" s="475"/>
    </row>
    <row r="914" spans="5:5" ht="12.75">
      <c r="E914" s="475"/>
    </row>
    <row r="915" spans="5:5" ht="12.75">
      <c r="E915" s="475"/>
    </row>
    <row r="916" spans="5:5" ht="12.75">
      <c r="E916" s="475"/>
    </row>
    <row r="917" spans="5:5" ht="12.75">
      <c r="E917" s="475"/>
    </row>
    <row r="918" spans="5:5" ht="12.75">
      <c r="E918" s="475"/>
    </row>
    <row r="919" spans="5:5" ht="12.75">
      <c r="E919" s="475"/>
    </row>
    <row r="920" spans="5:5" ht="12.75">
      <c r="E920" s="475"/>
    </row>
    <row r="921" spans="5:5" ht="12.75">
      <c r="E921" s="475"/>
    </row>
    <row r="922" spans="5:5" ht="12.75">
      <c r="E922" s="475"/>
    </row>
    <row r="923" spans="5:5" ht="12.75">
      <c r="E923" s="475"/>
    </row>
    <row r="924" spans="5:5" ht="12.75">
      <c r="E924" s="475"/>
    </row>
    <row r="925" spans="5:5" ht="12.75">
      <c r="E925" s="475"/>
    </row>
    <row r="926" spans="5:5" ht="12.75">
      <c r="E926" s="475"/>
    </row>
    <row r="927" spans="5:5" ht="12.75">
      <c r="E927" s="475"/>
    </row>
    <row r="928" spans="5:5" ht="12.75">
      <c r="E928" s="475"/>
    </row>
    <row r="929" spans="5:5" ht="12.75">
      <c r="E929" s="475"/>
    </row>
    <row r="930" spans="5:5" ht="12.75">
      <c r="E930" s="475"/>
    </row>
    <row r="931" spans="5:5" ht="12.75">
      <c r="E931" s="475"/>
    </row>
    <row r="932" spans="5:5" ht="12.75">
      <c r="E932" s="475"/>
    </row>
    <row r="933" spans="5:5" ht="12.75">
      <c r="E933" s="475"/>
    </row>
    <row r="934" spans="5:5" ht="12.75">
      <c r="E934" s="475"/>
    </row>
    <row r="935" spans="5:5" ht="12.75">
      <c r="E935" s="475"/>
    </row>
    <row r="936" spans="5:5" ht="12.75">
      <c r="E936" s="475"/>
    </row>
    <row r="937" spans="5:5" ht="12.75">
      <c r="E937" s="475"/>
    </row>
    <row r="938" spans="5:5" ht="12.75">
      <c r="E938" s="475"/>
    </row>
    <row r="939" spans="5:5" ht="12.75">
      <c r="E939" s="475"/>
    </row>
    <row r="940" spans="5:5" ht="12.75">
      <c r="E940" s="475"/>
    </row>
    <row r="941" spans="5:5" ht="12.75">
      <c r="E941" s="475"/>
    </row>
    <row r="942" spans="5:5" ht="12.75">
      <c r="E942" s="475"/>
    </row>
    <row r="943" spans="5:5" ht="12.75">
      <c r="E943" s="475"/>
    </row>
    <row r="944" spans="5:5" ht="12.75">
      <c r="E944" s="475"/>
    </row>
    <row r="945" spans="5:5" ht="12.75">
      <c r="E945" s="475"/>
    </row>
    <row r="946" spans="5:5" ht="12.75">
      <c r="E946" s="475"/>
    </row>
    <row r="947" spans="5:5" ht="12.75">
      <c r="E947" s="475"/>
    </row>
    <row r="948" spans="5:5" ht="12.75">
      <c r="E948" s="475"/>
    </row>
    <row r="949" spans="5:5" ht="12.75">
      <c r="E949" s="475"/>
    </row>
    <row r="950" spans="5:5" ht="12.75">
      <c r="E950" s="475"/>
    </row>
    <row r="951" spans="5:5" ht="12.75">
      <c r="E951" s="475"/>
    </row>
    <row r="952" spans="5:5" ht="12.75">
      <c r="E952" s="475"/>
    </row>
    <row r="953" spans="5:5" ht="12.75">
      <c r="E953" s="475"/>
    </row>
    <row r="954" spans="5:5" ht="12.75">
      <c r="E954" s="475"/>
    </row>
    <row r="955" spans="5:5" ht="12.75">
      <c r="E955" s="475"/>
    </row>
    <row r="956" spans="5:5" ht="12.75">
      <c r="E956" s="475"/>
    </row>
    <row r="957" spans="5:5" ht="12.75">
      <c r="E957" s="475"/>
    </row>
    <row r="958" spans="5:5" ht="12.75">
      <c r="E958" s="475"/>
    </row>
    <row r="959" spans="5:5" ht="12.75">
      <c r="E959" s="475"/>
    </row>
    <row r="960" spans="5:5" ht="12.75">
      <c r="E960" s="475"/>
    </row>
    <row r="961" spans="5:5" ht="12.75">
      <c r="E961" s="475"/>
    </row>
    <row r="962" spans="5:5" ht="12.75">
      <c r="E962" s="475"/>
    </row>
    <row r="963" spans="5:5" ht="12.75">
      <c r="E963" s="475"/>
    </row>
    <row r="964" spans="5:5" ht="12.75">
      <c r="E964" s="475"/>
    </row>
    <row r="965" spans="5:5" ht="12.75">
      <c r="E965" s="475"/>
    </row>
    <row r="966" spans="5:5" ht="12.75">
      <c r="E966" s="475"/>
    </row>
    <row r="967" spans="5:5" ht="12.75">
      <c r="E967" s="475"/>
    </row>
    <row r="968" spans="5:5" ht="12.75">
      <c r="E968" s="475"/>
    </row>
    <row r="969" spans="5:5" ht="12.75">
      <c r="E969" s="475"/>
    </row>
    <row r="970" spans="5:5" ht="12.75">
      <c r="E970" s="475"/>
    </row>
    <row r="971" spans="5:5" ht="12.75">
      <c r="E971" s="475"/>
    </row>
    <row r="972" spans="5:5" ht="12.75">
      <c r="E972" s="475"/>
    </row>
    <row r="973" spans="5:5" ht="12.75">
      <c r="E973" s="475"/>
    </row>
    <row r="974" spans="5:5" ht="12.75">
      <c r="E974" s="475"/>
    </row>
    <row r="975" spans="5:5" ht="12.75">
      <c r="E975" s="475"/>
    </row>
    <row r="976" spans="5:5" ht="12.75">
      <c r="E976" s="475"/>
    </row>
    <row r="977" spans="5:5" ht="12.75">
      <c r="E977" s="475"/>
    </row>
    <row r="978" spans="5:5" ht="12.75">
      <c r="E978" s="475"/>
    </row>
    <row r="979" spans="5:5" ht="12.75">
      <c r="E979" s="475"/>
    </row>
    <row r="980" spans="5:5" ht="12.75">
      <c r="E980" s="475"/>
    </row>
    <row r="981" spans="5:5" ht="12.75">
      <c r="E981" s="475"/>
    </row>
    <row r="982" spans="5:5" ht="12.75">
      <c r="E982" s="475"/>
    </row>
    <row r="983" spans="5:5" ht="12.75">
      <c r="E983" s="475"/>
    </row>
    <row r="984" spans="5:5" ht="12.75">
      <c r="E984" s="475"/>
    </row>
    <row r="985" spans="5:5" ht="12.75">
      <c r="E985" s="475"/>
    </row>
    <row r="986" spans="5:5" ht="12.75">
      <c r="E986" s="475"/>
    </row>
    <row r="987" spans="5:5" ht="12.75">
      <c r="E987" s="475"/>
    </row>
    <row r="988" spans="5:5" ht="12.75">
      <c r="E988" s="475"/>
    </row>
    <row r="989" spans="5:5" ht="12.75">
      <c r="E989" s="475"/>
    </row>
    <row r="990" spans="5:5" ht="12.75">
      <c r="E990" s="475"/>
    </row>
    <row r="991" spans="5:5" ht="12.75">
      <c r="E991" s="475"/>
    </row>
    <row r="992" spans="5:5" ht="12.75">
      <c r="E992" s="475"/>
    </row>
    <row r="993" spans="5:5" ht="12.75">
      <c r="E993" s="475"/>
    </row>
    <row r="994" spans="5:5" ht="12.75">
      <c r="E994" s="475"/>
    </row>
    <row r="995" spans="5:5" ht="12.75">
      <c r="E995" s="475"/>
    </row>
  </sheetData>
  <mergeCells count="29">
    <mergeCell ref="D35:D44"/>
    <mergeCell ref="H15:H34"/>
    <mergeCell ref="H35:H54"/>
    <mergeCell ref="D15:D24"/>
    <mergeCell ref="E15:E24"/>
    <mergeCell ref="B2:J2"/>
    <mergeCell ref="D5:D14"/>
    <mergeCell ref="E5:E14"/>
    <mergeCell ref="F5:F19"/>
    <mergeCell ref="G5:G19"/>
    <mergeCell ref="H5:H14"/>
    <mergeCell ref="I5:I14"/>
    <mergeCell ref="I15:I34"/>
    <mergeCell ref="F20:F54"/>
    <mergeCell ref="G20:G54"/>
    <mergeCell ref="E25:E34"/>
    <mergeCell ref="I35:I54"/>
    <mergeCell ref="B60:C60"/>
    <mergeCell ref="D60:K60"/>
    <mergeCell ref="E35:E44"/>
    <mergeCell ref="D45:D54"/>
    <mergeCell ref="E45:E54"/>
    <mergeCell ref="B55:C55"/>
    <mergeCell ref="B58:K58"/>
    <mergeCell ref="B59:C59"/>
    <mergeCell ref="D59:K59"/>
    <mergeCell ref="J5:J54"/>
    <mergeCell ref="K5:K54"/>
    <mergeCell ref="D25:D34"/>
  </mergeCells>
  <conditionalFormatting sqref="B5:C54">
    <cfRule type="expression" dxfId="0" priority="1">
      <formula>ISEVEN(ROW())</formula>
    </cfRule>
  </conditionalFormatting>
  <hyperlinks>
    <hyperlink ref="D59" r:id="rId1" xr:uid="{00000000-0004-0000-0800-000000000000}"/>
    <hyperlink ref="D60"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Chiffres - Monde</vt:lpstr>
      <vt:lpstr>Carte du Monde</vt:lpstr>
      <vt:lpstr>SuisseSwitzerland</vt:lpstr>
      <vt:lpstr>Europe</vt:lpstr>
      <vt:lpstr>Afrique</vt:lpstr>
      <vt:lpstr>Amérique</vt:lpstr>
      <vt:lpstr>Asie</vt:lpstr>
      <vt:lpstr>Océanieautres</vt:lpstr>
      <vt:lpstr>Population Suisse à risque</vt:lpstr>
      <vt:lpstr>Morts en Suisse - Graphique</vt:lpstr>
      <vt:lpstr>Intubations en Suisse - Graphiq</vt:lpstr>
      <vt:lpstr>Morts en Europe - Graphique</vt:lpstr>
      <vt:lpstr>Contaminés - Graphique</vt:lpstr>
      <vt:lpstr>Morts hors Chine - Graphique</vt:lpstr>
      <vt:lpstr>Morts dans le Monde - Graphique</vt:lpstr>
      <vt:lpstr>Situation du Monde - Graphique</vt:lpstr>
      <vt:lpstr>Evolution dans le Monde - Graph</vt:lpstr>
      <vt:lpstr>Taux de létalité global - 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soray</cp:lastModifiedBy>
  <dcterms:created xsi:type="dcterms:W3CDTF">2020-04-21T06:06:23Z</dcterms:created>
  <dcterms:modified xsi:type="dcterms:W3CDTF">2020-04-21T06:19:09Z</dcterms:modified>
</cp:coreProperties>
</file>