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 sheetId="1" r:id="rId4"/>
    <sheet state="visible" name="Explications" sheetId="2" r:id="rId5"/>
    <sheet state="visible" name="Changelog" sheetId="3" r:id="rId6"/>
  </sheets>
  <definedNames/>
  <calcPr/>
</workbook>
</file>

<file path=xl/sharedStrings.xml><?xml version="1.0" encoding="utf-8"?>
<sst xmlns="http://schemas.openxmlformats.org/spreadsheetml/2006/main" count="14" uniqueCount="14">
  <si>
    <t>Contact : Mr Guy SEPAHI, awalepaca@aol.com</t>
  </si>
  <si>
    <t>Onglets</t>
  </si>
  <si>
    <t>Descriptions</t>
  </si>
  <si>
    <t>Import</t>
  </si>
  <si>
    <t>Ce fichier est alimenté automatiquement à partir des réponses des exposants au questionnaire qui leur a été soumis</t>
  </si>
  <si>
    <t>Il n'a pour simple objectif, à ce stade, que de permettre aux équipes développeuses de visualiser des données réelles.</t>
  </si>
  <si>
    <t>Les équipes peuvent copier/récupérer ces données pour leur solution</t>
  </si>
  <si>
    <t>Changelog</t>
  </si>
  <si>
    <t>Contient les modifications appliquées à ce fichier ou au fichier source</t>
  </si>
  <si>
    <t>Date</t>
  </si>
  <si>
    <t>Description</t>
  </si>
  <si>
    <t>Modification des droits d'accès de façon à permettre la copie des données</t>
  </si>
  <si>
    <t>Ajout de la colonne "URL" destinée à contenir le lien vers la page web décrivant l'activité</t>
  </si>
  <si>
    <t>Suppression de la catégorie "Supérieur" dans le champs "Niveaux des visiteurs scolaires"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</si>
</sst>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HH:mm:ss"/>
    <numFmt numFmtId="165" formatCode="m/d/yyyy h:mm:ss"/>
    <numFmt numFmtId="166" formatCode="dd&quot;-&quot;mmm&quot;-&quot;yy"/>
  </numFmts>
  <fonts count="4">
    <font>
      <sz val="10.0"/>
      <color rgb="FF000000"/>
      <name val="Arial"/>
      <scheme val="minor"/>
    </font>
    <font>
      <b/>
      <color theme="1"/>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164" xfId="0" applyAlignment="1" applyFont="1" applyNumberFormat="1">
      <alignment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2" numFmtId="164" xfId="0" applyAlignment="1" applyFont="1" applyNumberFormat="1">
      <alignment vertical="center"/>
    </xf>
    <xf borderId="0" fillId="0" fontId="2" numFmtId="0" xfId="0" applyAlignment="1" applyFont="1">
      <alignment shrinkToFit="0" vertical="center" wrapText="1"/>
    </xf>
    <xf borderId="0" fillId="0" fontId="2" numFmtId="0" xfId="0" applyAlignment="1" applyFont="1">
      <alignment horizontal="center" vertical="center"/>
    </xf>
    <xf borderId="0" fillId="0" fontId="2" numFmtId="19" xfId="0" applyAlignment="1" applyFont="1" applyNumberFormat="1">
      <alignment horizontal="center" vertical="center"/>
    </xf>
    <xf borderId="0" fillId="0" fontId="2" numFmtId="0" xfId="0" applyAlignment="1" applyFont="1">
      <alignment vertical="center"/>
    </xf>
    <xf borderId="0" fillId="0" fontId="3" numFmtId="0" xfId="0" applyAlignment="1" applyFont="1">
      <alignment vertical="center"/>
    </xf>
    <xf borderId="0" fillId="0" fontId="2" numFmtId="165" xfId="0" applyAlignment="1" applyFont="1" applyNumberFormat="1">
      <alignment vertical="center"/>
    </xf>
    <xf borderId="0" fillId="0" fontId="2"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1" numFmtId="0" xfId="0" applyAlignment="1" applyFont="1">
      <alignment readingOrder="0" vertical="center"/>
    </xf>
    <xf borderId="0" fillId="0" fontId="1" numFmtId="0" xfId="0" applyAlignment="1" applyFont="1">
      <alignment readingOrder="0" shrinkToFit="0" vertical="center" wrapText="1"/>
    </xf>
    <xf borderId="0" fillId="0" fontId="2" numFmtId="166" xfId="0" applyAlignment="1" applyFont="1" applyNumberFormat="1">
      <alignment readingOrder="0" vertical="center"/>
    </xf>
    <xf borderId="0" fillId="0" fontId="2" numFmtId="0" xfId="0" applyAlignment="1" applyFont="1">
      <alignment readingOrder="0" shrinkToFit="0" vertical="center" wrapText="1"/>
    </xf>
  </cellXfs>
  <cellStyles count="1">
    <cellStyle xfId="0" name="Normal" builtinId="0"/>
  </cellStyles>
  <dxfs count="9">
    <dxf>
      <font>
        <color rgb="FF0B8043"/>
      </font>
      <fill>
        <patternFill patternType="none"/>
      </fill>
      <border/>
    </dxf>
    <dxf>
      <font/>
      <fill>
        <patternFill patternType="none"/>
      </fill>
      <border/>
    </dxf>
    <dxf>
      <font/>
      <fill>
        <patternFill patternType="solid">
          <fgColor rgb="FFE91D63"/>
          <bgColor rgb="FFE91D63"/>
        </patternFill>
      </fill>
      <border/>
    </dxf>
    <dxf>
      <font/>
      <fill>
        <patternFill patternType="solid">
          <fgColor rgb="FFFFFFFF"/>
          <bgColor rgb="FFFFFFFF"/>
        </patternFill>
      </fill>
      <border/>
    </dxf>
    <dxf>
      <font/>
      <fill>
        <patternFill patternType="solid">
          <fgColor rgb="FFFDDCE8"/>
          <bgColor rgb="FFFDDCE8"/>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BDBDBD"/>
          <bgColor rgb="FFBDBDBD"/>
        </patternFill>
      </fill>
      <border/>
    </dxf>
    <dxf>
      <font/>
      <fill>
        <patternFill patternType="solid">
          <fgColor rgb="FFF3F3F3"/>
          <bgColor rgb="FFF3F3F3"/>
        </patternFill>
      </fill>
      <border/>
    </dxf>
  </dxfs>
  <tableStyles count="3">
    <tableStyle count="3" pivot="0" name="Import-style">
      <tableStyleElement dxfId="2" type="headerRow"/>
      <tableStyleElement dxfId="3" type="firstRowStripe"/>
      <tableStyleElement dxfId="4" type="secondRowStripe"/>
    </tableStyle>
    <tableStyle count="3" pivot="0" name="Explications-style">
      <tableStyleElement dxfId="5" type="headerRow"/>
      <tableStyleElement dxfId="3" type="firstRowStripe"/>
      <tableStyleElement dxfId="6" type="secondRowStripe"/>
    </tableStyle>
    <tableStyle count="3" pivot="0" name="Changelog-style">
      <tableStyleElement dxfId="7" type="headerRow"/>
      <tableStyleElement dxfId="3"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99" displayName="Table_1" id="1">
  <tableColumns count="17">
    <tableColumn name="Horodateur" id="1"/>
    <tableColumn name="Titre du stand " id="2"/>
    <tableColumn name="Vous serez présent [Jeudi 25 mai]" id="3"/>
    <tableColumn name="Vous serez présent [Vendredi 26 mai]" id="4"/>
    <tableColumn name="Description de l'activité" id="5"/>
    <tableColumn name="Niveaux des visiteurs scolaires" id="6"/>
    <tableColumn name="Nb max de visiteurs" id="7"/>
    <tableColumn name="Nombre d'animateurs par jour  [jeudi]" id="8"/>
    <tableColumn name="Nombre d'animateurs par jour  [vendredi]" id="9"/>
    <tableColumn name="Nombre d'animateurs par jour  [samedi]" id="10"/>
    <tableColumn name="Nombre d'animateurs par jour  [dimanche]" id="11"/>
    <tableColumn name="9h - 18h" id="12"/>
    <tableColumn name="Durée" id="13"/>
    <tableColumn name="Temps intersession" id="14"/>
    <tableColumn name="Pause déjeuner - début" id="15"/>
    <tableColumn name="Pause déjeuner - fin" id="16"/>
    <tableColumn name="URL" id="17"/>
  </tableColumns>
  <tableStyleInfo name="Import-style" showColumnStripes="0" showFirstColumn="1" showLastColumn="1" showRowStripes="1"/>
</table>
</file>

<file path=xl/tables/table2.xml><?xml version="1.0" encoding="utf-8"?>
<table xmlns="http://schemas.openxmlformats.org/spreadsheetml/2006/main" ref="A2:B10" displayName="Table_2" id="2">
  <tableColumns count="2">
    <tableColumn name="Onglets" id="1"/>
    <tableColumn name="Descriptions" id="2"/>
  </tableColumns>
  <tableStyleInfo name="Explications-style" showColumnStripes="0" showFirstColumn="1" showLastColumn="1" showRowStripes="1"/>
</table>
</file>

<file path=xl/tables/table3.xml><?xml version="1.0" encoding="utf-8"?>
<table xmlns="http://schemas.openxmlformats.org/spreadsheetml/2006/main" ref="A1:B4" displayName="Table_3" id="3">
  <tableColumns count="2">
    <tableColumn name="Date" id="1"/>
    <tableColumn name="Description" id="2"/>
  </tableColumns>
  <tableStyleInfo name="Changelo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salon-math.fr/awale"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6.25"/>
    <col customWidth="1" min="2" max="2" width="15.88"/>
    <col customWidth="1" min="3" max="3" width="12.13"/>
    <col customWidth="1" min="4" max="4" width="13.25"/>
    <col customWidth="1" min="5" max="5" width="43.13"/>
    <col customWidth="1" min="6" max="6" width="17.0"/>
    <col customWidth="1" min="7" max="7" width="8.63"/>
    <col customWidth="1" min="9" max="9" width="12.0"/>
    <col customWidth="1" min="10" max="10" width="12.13"/>
    <col customWidth="1" min="11" max="11" width="11.88"/>
    <col customWidth="1" min="12" max="12" width="7.25"/>
    <col customWidth="1" min="13" max="13" width="5.75"/>
    <col customWidth="1" min="14" max="14" width="11.13"/>
    <col customWidth="1" min="15" max="15" width="9.0"/>
    <col customWidth="1" min="16" max="16" width="10.25"/>
  </cols>
  <sheetData>
    <row r="1">
      <c r="A1" s="1" t="str">
        <f>IFERROR(__xludf.DUMMYFUNCTION("IMPORTRANGE(""https://docs.google.com/spreadsheets/d/1WcWQnoy1f9AHU3oPe2VS2voabgKwjYb9nQNGmeGqoFU"",""Réponses au formulaire 1!A:A"")"),"Horodateur")</f>
        <v>Horodateur</v>
      </c>
      <c r="B1" s="2" t="str">
        <f>IFERROR(__xludf.DUMMYFUNCTION("IMPORTRANGE(""https://docs.google.com/spreadsheets/d/1WcWQnoy1f9AHU3oPe2VS2voabgKwjYb9nQNGmeGqoFU"",""Réponses au formulaire 1!N:N"")"),"Titre du stand ")</f>
        <v>Titre du stand </v>
      </c>
      <c r="C1" s="3" t="str">
        <f>IFERROR(__xludf.DUMMYFUNCTION("IMPORTRANGE(""https://docs.google.com/spreadsheets/d/1WcWQnoy1f9AHU3oPe2VS2voabgKwjYb9nQNGmeGqoFU"",""Réponses au formulaire 1!G:H"")"),"Vous serez présent [Jeudi 25 mai]")</f>
        <v>Vous serez présent [Jeudi 25 mai]</v>
      </c>
      <c r="D1" s="3" t="str">
        <f>IFERROR(__xludf.DUMMYFUNCTION("""COMPUTED_VALUE"""),"Vous serez présent [Vendredi 26 mai]")</f>
        <v>Vous serez présent [Vendredi 26 mai]</v>
      </c>
      <c r="E1" s="2" t="str">
        <f>IFERROR(__xludf.DUMMYFUNCTION("IMPORTRANGE(""https://docs.google.com/spreadsheets/d/1WcWQnoy1f9AHU3oPe2VS2voabgKwjYb9nQNGmeGqoFU"",""Réponses au formulaire 1!V:AG"")"),"Description de l'activité")</f>
        <v>Description de l'activité</v>
      </c>
      <c r="F1" s="2" t="str">
        <f>IFERROR(__xludf.DUMMYFUNCTION("""COMPUTED_VALUE"""),"Niveaux des visiteurs scolaires")</f>
        <v>Niveaux des visiteurs scolaires</v>
      </c>
      <c r="G1" s="3" t="str">
        <f>IFERROR(__xludf.DUMMYFUNCTION("""COMPUTED_VALUE"""),"Nb max de visiteurs")</f>
        <v>Nb max de visiteurs</v>
      </c>
      <c r="H1" s="3" t="str">
        <f>IFERROR(__xludf.DUMMYFUNCTION("""COMPUTED_VALUE"""),"Nombre d'animateurs par jour  [jeudi]")</f>
        <v>Nombre d'animateurs par jour  [jeudi]</v>
      </c>
      <c r="I1" s="3" t="str">
        <f>IFERROR(__xludf.DUMMYFUNCTION("""COMPUTED_VALUE"""),"Nombre d'animateurs par jour  [vendredi]")</f>
        <v>Nombre d'animateurs par jour  [vendredi]</v>
      </c>
      <c r="J1" s="3" t="str">
        <f>IFERROR(__xludf.DUMMYFUNCTION("""COMPUTED_VALUE"""),"Nombre d'animateurs par jour  [samedi]")</f>
        <v>Nombre d'animateurs par jour  [samedi]</v>
      </c>
      <c r="K1" s="3" t="str">
        <f>IFERROR(__xludf.DUMMYFUNCTION("""COMPUTED_VALUE"""),"Nombre d'animateurs par jour  [dimanche]")</f>
        <v>Nombre d'animateurs par jour  [dimanche]</v>
      </c>
      <c r="L1" s="3" t="str">
        <f>IFERROR(__xludf.DUMMYFUNCTION("""COMPUTED_VALUE"""),"9h - 18h")</f>
        <v>9h - 18h</v>
      </c>
      <c r="M1" s="3" t="str">
        <f>IFERROR(__xludf.DUMMYFUNCTION("""COMPUTED_VALUE"""),"Durée")</f>
        <v>Durée</v>
      </c>
      <c r="N1" s="3" t="str">
        <f>IFERROR(__xludf.DUMMYFUNCTION("""COMPUTED_VALUE"""),"Temps intersession")</f>
        <v>Temps intersession</v>
      </c>
      <c r="O1" s="3" t="str">
        <f>IFERROR(__xludf.DUMMYFUNCTION("""COMPUTED_VALUE"""),"Pause déjeuner - début")</f>
        <v>Pause déjeuner - début</v>
      </c>
      <c r="P1" s="3" t="str">
        <f>IFERROR(__xludf.DUMMYFUNCTION("""COMPUTED_VALUE"""),"Pause déjeuner - fin")</f>
        <v>Pause déjeuner - fin</v>
      </c>
      <c r="Q1" s="2" t="str">
        <f>IFERROR(__xludf.DUMMYFUNCTION("IMPORTRANGE(""https://docs.google.com/spreadsheets/d/1WcWQnoy1f9AHU3oPe2VS2voabgKwjYb9nQNGmeGqoFU"",""Réponses au formulaire 1!ak:ak"")"),"URL")</f>
        <v>URL</v>
      </c>
    </row>
    <row r="2">
      <c r="A2" s="4">
        <f>IFERROR(__xludf.DUMMYFUNCTION("""COMPUTED_VALUE"""),44908.74509829861)</f>
        <v>44908.7451</v>
      </c>
      <c r="B2" s="5" t="str">
        <f>IFERROR(__xludf.DUMMYFUNCTION("""COMPUTED_VALUE"""),"Math &amp; Magie")</f>
        <v>Math &amp; Magie</v>
      </c>
      <c r="C2" s="6" t="str">
        <f>IFERROR(__xludf.DUMMYFUNCTION("""COMPUTED_VALUE"""),"Présent")</f>
        <v>Présent</v>
      </c>
      <c r="D2" s="6" t="str">
        <f>IFERROR(__xludf.DUMMYFUNCTION("""COMPUTED_VALUE"""),"Présent")</f>
        <v>Présent</v>
      </c>
      <c r="E2" s="5" t="str">
        <f>IFERROR(__xludf.DUMMYFUNCTION("""COMPUTED_VALUE"""),"Tours de magie réussissant automatiquement grâce aux maths et à la logique, susceptibles de motiver les élèves à s'investir davantage en maths, et de montrer au grand public que les maths peuvent, aussi, être un talent de société.")</f>
        <v>Tours de magie réussissant automatiquement grâce aux maths et à la logique, susceptibles de motiver les élèves à s'investir davantage en maths, et de montrer au grand public que les maths peuvent, aussi, être un talent de société.</v>
      </c>
      <c r="F2" s="5" t="str">
        <f>IFERROR(__xludf.DUMMYFUNCTION("""COMPUTED_VALUE"""),"Primaire, Collège, Lycée")</f>
        <v>Primaire, Collège, Lycée</v>
      </c>
      <c r="G2" s="6">
        <f>IFERROR(__xludf.DUMMYFUNCTION("""COMPUTED_VALUE"""),20.0)</f>
        <v>20</v>
      </c>
      <c r="H2" s="6">
        <f>IFERROR(__xludf.DUMMYFUNCTION("""COMPUTED_VALUE"""),3.0)</f>
        <v>3</v>
      </c>
      <c r="I2" s="6">
        <f>IFERROR(__xludf.DUMMYFUNCTION("""COMPUTED_VALUE"""),3.0)</f>
        <v>3</v>
      </c>
      <c r="J2" s="6">
        <f>IFERROR(__xludf.DUMMYFUNCTION("""COMPUTED_VALUE"""),2.0)</f>
        <v>2</v>
      </c>
      <c r="K2" s="6">
        <f>IFERROR(__xludf.DUMMYFUNCTION("""COMPUTED_VALUE"""),2.0)</f>
        <v>2</v>
      </c>
      <c r="L2" s="6" t="str">
        <f>IFERROR(__xludf.DUMMYFUNCTION("""COMPUTED_VALUE"""),"oui")</f>
        <v>oui</v>
      </c>
      <c r="M2" s="6">
        <f>IFERROR(__xludf.DUMMYFUNCTION("""COMPUTED_VALUE"""),45.0)</f>
        <v>45</v>
      </c>
      <c r="N2" s="6">
        <f>IFERROR(__xludf.DUMMYFUNCTION("""COMPUTED_VALUE"""),0.0)</f>
        <v>0</v>
      </c>
      <c r="O2" s="7">
        <f>IFERROR(__xludf.DUMMYFUNCTION("""COMPUTED_VALUE"""),0.53125)</f>
        <v>0.53125</v>
      </c>
      <c r="P2" s="7">
        <f>IFERROR(__xludf.DUMMYFUNCTION("""COMPUTED_VALUE"""),0.5625)</f>
        <v>0.5625</v>
      </c>
      <c r="Q2" s="8"/>
    </row>
    <row r="3">
      <c r="A3" s="4">
        <f>IFERROR(__xludf.DUMMYFUNCTION("""COMPUTED_VALUE"""),44908.81439085648)</f>
        <v>44908.81439</v>
      </c>
      <c r="B3" s="5" t="str">
        <f>IFERROR(__xludf.DUMMYFUNCTION("""COMPUTED_VALUE"""),"PARIS JEUNES ECHECS")</f>
        <v>PARIS JEUNES ECHECS</v>
      </c>
      <c r="C3" s="6" t="str">
        <f>IFERROR(__xludf.DUMMYFUNCTION("""COMPUTED_VALUE"""),"Présent")</f>
        <v>Présent</v>
      </c>
      <c r="D3" s="6" t="str">
        <f>IFERROR(__xludf.DUMMYFUNCTION("""COMPUTED_VALUE"""),"Présent")</f>
        <v>Présent</v>
      </c>
      <c r="E3" s="5" t="str">
        <f>IFERROR(__xludf.DUMMYFUNCTION("""COMPUTED_VALUE"""),"ECHECS")</f>
        <v>ECHECS</v>
      </c>
      <c r="F3" s="5" t="str">
        <f>IFERROR(__xludf.DUMMYFUNCTION("""COMPUTED_VALUE"""),"Primaire, Collège")</f>
        <v>Primaire, Collège</v>
      </c>
      <c r="G3" s="6">
        <f>IFERROR(__xludf.DUMMYFUNCTION("""COMPUTED_VALUE"""),16.0)</f>
        <v>16</v>
      </c>
      <c r="H3" s="6">
        <f>IFERROR(__xludf.DUMMYFUNCTION("""COMPUTED_VALUE"""),1.0)</f>
        <v>1</v>
      </c>
      <c r="I3" s="6">
        <f>IFERROR(__xludf.DUMMYFUNCTION("""COMPUTED_VALUE"""),1.0)</f>
        <v>1</v>
      </c>
      <c r="J3" s="6">
        <f>IFERROR(__xludf.DUMMYFUNCTION("""COMPUTED_VALUE"""),1.0)</f>
        <v>1</v>
      </c>
      <c r="K3" s="6">
        <f>IFERROR(__xludf.DUMMYFUNCTION("""COMPUTED_VALUE"""),1.0)</f>
        <v>1</v>
      </c>
      <c r="L3" s="6" t="str">
        <f>IFERROR(__xludf.DUMMYFUNCTION("""COMPUTED_VALUE"""),"oui")</f>
        <v>oui</v>
      </c>
      <c r="M3" s="6">
        <f>IFERROR(__xludf.DUMMYFUNCTION("""COMPUTED_VALUE"""),30.0)</f>
        <v>30</v>
      </c>
      <c r="N3" s="6">
        <f>IFERROR(__xludf.DUMMYFUNCTION("""COMPUTED_VALUE"""),0.0)</f>
        <v>0</v>
      </c>
      <c r="O3" s="7">
        <f>IFERROR(__xludf.DUMMYFUNCTION("""COMPUTED_VALUE"""),0.5)</f>
        <v>0.5</v>
      </c>
      <c r="P3" s="7">
        <f>IFERROR(__xludf.DUMMYFUNCTION("""COMPUTED_VALUE"""),0.5208333333357587)</f>
        <v>0.5208333333</v>
      </c>
      <c r="Q3" s="8"/>
    </row>
    <row r="4">
      <c r="A4" s="4">
        <f>IFERROR(__xludf.DUMMYFUNCTION("""COMPUTED_VALUE"""),44909.42511725695)</f>
        <v>44909.42512</v>
      </c>
      <c r="B4" s="5" t="str">
        <f>IFERROR(__xludf.DUMMYFUNCTION("""COMPUTED_VALUE"""),"L'aventure du calcul")</f>
        <v>L'aventure du calcul</v>
      </c>
      <c r="C4" s="6" t="str">
        <f>IFERROR(__xludf.DUMMYFUNCTION("""COMPUTED_VALUE"""),"Présent")</f>
        <v>Présent</v>
      </c>
      <c r="D4" s="6" t="str">
        <f>IFERROR(__xludf.DUMMYFUNCTION("""COMPUTED_VALUE"""),"Présent")</f>
        <v>Présent</v>
      </c>
      <c r="E4" s="5" t="str">
        <f>IFERROR(__xludf.DUMMYFUNCTION("""COMPUTED_VALUE"""),"Différents objets et instruments de calcul (machines, bâtons, abaques, ...)")</f>
        <v>Différents objets et instruments de calcul (machines, bâtons, abaques, ...)</v>
      </c>
      <c r="F4" s="5" t="str">
        <f>IFERROR(__xludf.DUMMYFUNCTION("""COMPUTED_VALUE"""),"Primaire, Collège")</f>
        <v>Primaire, Collège</v>
      </c>
      <c r="G4" s="6">
        <f>IFERROR(__xludf.DUMMYFUNCTION("""COMPUTED_VALUE"""),12.0)</f>
        <v>12</v>
      </c>
      <c r="H4" s="6">
        <f>IFERROR(__xludf.DUMMYFUNCTION("""COMPUTED_VALUE"""),2.0)</f>
        <v>2</v>
      </c>
      <c r="I4" s="6">
        <f>IFERROR(__xludf.DUMMYFUNCTION("""COMPUTED_VALUE"""),2.0)</f>
        <v>2</v>
      </c>
      <c r="J4" s="6">
        <f>IFERROR(__xludf.DUMMYFUNCTION("""COMPUTED_VALUE"""),2.0)</f>
        <v>2</v>
      </c>
      <c r="K4" s="6">
        <f>IFERROR(__xludf.DUMMYFUNCTION("""COMPUTED_VALUE"""),2.0)</f>
        <v>2</v>
      </c>
      <c r="L4" s="6" t="str">
        <f>IFERROR(__xludf.DUMMYFUNCTION("""COMPUTED_VALUE"""),"oui")</f>
        <v>oui</v>
      </c>
      <c r="M4" s="6">
        <f>IFERROR(__xludf.DUMMYFUNCTION("""COMPUTED_VALUE"""),30.0)</f>
        <v>30</v>
      </c>
      <c r="N4" s="6">
        <f>IFERROR(__xludf.DUMMYFUNCTION("""COMPUTED_VALUE"""),15.0)</f>
        <v>15</v>
      </c>
      <c r="O4" s="7">
        <f>IFERROR(__xludf.DUMMYFUNCTION("""COMPUTED_VALUE"""),0.5416666666642413)</f>
        <v>0.5416666667</v>
      </c>
      <c r="P4" s="7">
        <f>IFERROR(__xludf.DUMMYFUNCTION("""COMPUTED_VALUE"""),0.5833333333357587)</f>
        <v>0.5833333333</v>
      </c>
      <c r="Q4" s="8"/>
    </row>
    <row r="5">
      <c r="A5" s="4">
        <f>IFERROR(__xludf.DUMMYFUNCTION("""COMPUTED_VALUE"""),44909.47778861111)</f>
        <v>44909.47779</v>
      </c>
      <c r="B5" s="5" t="str">
        <f>IFERROR(__xludf.DUMMYFUNCTION("""COMPUTED_VALUE"""),"Le jeu d'Awale")</f>
        <v>Le jeu d'Awale</v>
      </c>
      <c r="C5" s="6" t="str">
        <f>IFERROR(__xludf.DUMMYFUNCTION("""COMPUTED_VALUE"""),"Présent")</f>
        <v>Présent</v>
      </c>
      <c r="D5" s="6" t="str">
        <f>IFERROR(__xludf.DUMMYFUNCTION("""COMPUTED_VALUE"""),"Présent")</f>
        <v>Présent</v>
      </c>
      <c r="E5" s="5" t="str">
        <f>IFERROR(__xludf.DUMMYFUNCTION("""COMPUTED_VALUE"""),"Initiation au jeu d'Awale")</f>
        <v>Initiation au jeu d'Awale</v>
      </c>
      <c r="F5" s="5" t="str">
        <f>IFERROR(__xludf.DUMMYFUNCTION("""COMPUTED_VALUE"""),"Primaire, Collège, Lycée")</f>
        <v>Primaire, Collège, Lycée</v>
      </c>
      <c r="G5" s="6">
        <f>IFERROR(__xludf.DUMMYFUNCTION("""COMPUTED_VALUE"""),12.0)</f>
        <v>12</v>
      </c>
      <c r="H5" s="6">
        <f>IFERROR(__xludf.DUMMYFUNCTION("""COMPUTED_VALUE"""),1.0)</f>
        <v>1</v>
      </c>
      <c r="I5" s="6">
        <f>IFERROR(__xludf.DUMMYFUNCTION("""COMPUTED_VALUE"""),1.0)</f>
        <v>1</v>
      </c>
      <c r="J5" s="6">
        <f>IFERROR(__xludf.DUMMYFUNCTION("""COMPUTED_VALUE"""),1.0)</f>
        <v>1</v>
      </c>
      <c r="K5" s="6">
        <f>IFERROR(__xludf.DUMMYFUNCTION("""COMPUTED_VALUE"""),1.0)</f>
        <v>1</v>
      </c>
      <c r="L5" s="6" t="str">
        <f>IFERROR(__xludf.DUMMYFUNCTION("""COMPUTED_VALUE"""),"oui")</f>
        <v>oui</v>
      </c>
      <c r="M5" s="6">
        <f>IFERROR(__xludf.DUMMYFUNCTION("""COMPUTED_VALUE"""),45.0)</f>
        <v>45</v>
      </c>
      <c r="N5" s="6">
        <f>IFERROR(__xludf.DUMMYFUNCTION("""COMPUTED_VALUE"""),0.0)</f>
        <v>0</v>
      </c>
      <c r="O5" s="7">
        <f>IFERROR(__xludf.DUMMYFUNCTION("""COMPUTED_VALUE"""),0.5)</f>
        <v>0.5</v>
      </c>
      <c r="P5" s="7">
        <f>IFERROR(__xludf.DUMMYFUNCTION("""COMPUTED_VALUE"""),0.5)</f>
        <v>0.5</v>
      </c>
      <c r="Q5" s="9" t="str">
        <f>IFERROR(__xludf.DUMMYFUNCTION("""COMPUTED_VALUE"""),"www.salon-math.fr/awale")</f>
        <v>www.salon-math.fr/awale</v>
      </c>
    </row>
    <row r="6">
      <c r="A6" s="4">
        <f>IFERROR(__xludf.DUMMYFUNCTION("""COMPUTED_VALUE"""),44910.484712233796)</f>
        <v>44910.48471</v>
      </c>
      <c r="B6" s="5" t="str">
        <f>IFERROR(__xludf.DUMMYFUNCTION("""COMPUTED_VALUE"""),"Palais de la découverte")</f>
        <v>Palais de la découverte</v>
      </c>
      <c r="C6" s="6" t="str">
        <f>IFERROR(__xludf.DUMMYFUNCTION("""COMPUTED_VALUE"""),"Présent")</f>
        <v>Présent</v>
      </c>
      <c r="D6" s="6" t="str">
        <f>IFERROR(__xludf.DUMMYFUNCTION("""COMPUTED_VALUE"""),"Présent")</f>
        <v>Présent</v>
      </c>
      <c r="E6" s="5" t="str">
        <f>IFERROR(__xludf.DUMMYFUNCTION("""COMPUTED_VALUE"""),"ateliers de récréations mathématiques")</f>
        <v>ateliers de récréations mathématiques</v>
      </c>
      <c r="F6" s="5" t="str">
        <f>IFERROR(__xludf.DUMMYFUNCTION("""COMPUTED_VALUE"""),"Primaire, Collège, Lycée")</f>
        <v>Primaire, Collège, Lycée</v>
      </c>
      <c r="G6" s="6">
        <f>IFERROR(__xludf.DUMMYFUNCTION("""COMPUTED_VALUE"""),20.0)</f>
        <v>20</v>
      </c>
      <c r="H6" s="6">
        <f>IFERROR(__xludf.DUMMYFUNCTION("""COMPUTED_VALUE"""),2.0)</f>
        <v>2</v>
      </c>
      <c r="I6" s="6">
        <f>IFERROR(__xludf.DUMMYFUNCTION("""COMPUTED_VALUE"""),2.0)</f>
        <v>2</v>
      </c>
      <c r="J6" s="6">
        <f>IFERROR(__xludf.DUMMYFUNCTION("""COMPUTED_VALUE"""),2.0)</f>
        <v>2</v>
      </c>
      <c r="K6" s="6">
        <f>IFERROR(__xludf.DUMMYFUNCTION("""COMPUTED_VALUE"""),2.0)</f>
        <v>2</v>
      </c>
      <c r="L6" s="6" t="str">
        <f>IFERROR(__xludf.DUMMYFUNCTION("""COMPUTED_VALUE"""),"oui")</f>
        <v>oui</v>
      </c>
      <c r="M6" s="6">
        <f>IFERROR(__xludf.DUMMYFUNCTION("""COMPUTED_VALUE"""),30.0)</f>
        <v>30</v>
      </c>
      <c r="N6" s="6">
        <f>IFERROR(__xludf.DUMMYFUNCTION("""COMPUTED_VALUE"""),0.0)</f>
        <v>0</v>
      </c>
      <c r="O6" s="7">
        <f>IFERROR(__xludf.DUMMYFUNCTION("""COMPUTED_VALUE"""),0.5208333333357587)</f>
        <v>0.5208333333</v>
      </c>
      <c r="P6" s="7">
        <f>IFERROR(__xludf.DUMMYFUNCTION("""COMPUTED_VALUE"""),0.5625)</f>
        <v>0.5625</v>
      </c>
      <c r="Q6" s="8"/>
    </row>
    <row r="7">
      <c r="A7" s="4">
        <f>IFERROR(__xludf.DUMMYFUNCTION("""COMPUTED_VALUE"""),44910.64320653935)</f>
        <v>44910.64321</v>
      </c>
      <c r="B7" s="5" t="str">
        <f>IFERROR(__xludf.DUMMYFUNCTION("""COMPUTED_VALUE"""),"Méthode des Abaques")</f>
        <v>Méthode des Abaques</v>
      </c>
      <c r="C7" s="6" t="str">
        <f>IFERROR(__xludf.DUMMYFUNCTION("""COMPUTED_VALUE"""),"Présent")</f>
        <v>Présent</v>
      </c>
      <c r="D7" s="6" t="str">
        <f>IFERROR(__xludf.DUMMYFUNCTION("""COMPUTED_VALUE"""),"Présent")</f>
        <v>Présent</v>
      </c>
      <c r="E7" s="5" t="str">
        <f>IFERROR(__xludf.DUMMYFUNCTION("""COMPUTED_VALUE"""),"Fonctionnement du boulier didactique (Boulier chinois) et Méthodologie des Abaques")</f>
        <v>Fonctionnement du boulier didactique (Boulier chinois) et Méthodologie des Abaques</v>
      </c>
      <c r="F7" s="5" t="str">
        <f>IFERROR(__xludf.DUMMYFUNCTION("""COMPUTED_VALUE"""),"Primaire, Collège, Lycée")</f>
        <v>Primaire, Collège, Lycée</v>
      </c>
      <c r="G7" s="6">
        <f>IFERROR(__xludf.DUMMYFUNCTION("""COMPUTED_VALUE"""),5.0)</f>
        <v>5</v>
      </c>
      <c r="H7" s="6">
        <f>IFERROR(__xludf.DUMMYFUNCTION("""COMPUTED_VALUE"""),2.0)</f>
        <v>2</v>
      </c>
      <c r="I7" s="6">
        <f>IFERROR(__xludf.DUMMYFUNCTION("""COMPUTED_VALUE"""),2.0)</f>
        <v>2</v>
      </c>
      <c r="J7" s="6">
        <f>IFERROR(__xludf.DUMMYFUNCTION("""COMPUTED_VALUE"""),2.0)</f>
        <v>2</v>
      </c>
      <c r="K7" s="6">
        <f>IFERROR(__xludf.DUMMYFUNCTION("""COMPUTED_VALUE"""),3.0)</f>
        <v>3</v>
      </c>
      <c r="L7" s="6" t="str">
        <f>IFERROR(__xludf.DUMMYFUNCTION("""COMPUTED_VALUE"""),"oui")</f>
        <v>oui</v>
      </c>
      <c r="M7" s="6">
        <f>IFERROR(__xludf.DUMMYFUNCTION("""COMPUTED_VALUE"""),45.0)</f>
        <v>45</v>
      </c>
      <c r="N7" s="6">
        <f>IFERROR(__xludf.DUMMYFUNCTION("""COMPUTED_VALUE"""),15.0)</f>
        <v>15</v>
      </c>
      <c r="O7" s="7">
        <f>IFERROR(__xludf.DUMMYFUNCTION("""COMPUTED_VALUE"""),0.5208333333357587)</f>
        <v>0.5208333333</v>
      </c>
      <c r="P7" s="7">
        <f>IFERROR(__xludf.DUMMYFUNCTION("""COMPUTED_VALUE"""),0.5833333333357587)</f>
        <v>0.5833333333</v>
      </c>
      <c r="Q7" s="8"/>
    </row>
    <row r="8">
      <c r="A8" s="4">
        <f>IFERROR(__xludf.DUMMYFUNCTION("""COMPUTED_VALUE"""),44914.4153280787)</f>
        <v>44914.41533</v>
      </c>
      <c r="B8" s="5" t="str">
        <f>IFERROR(__xludf.DUMMYFUNCTION("""COMPUTED_VALUE"""),"Kafemath")</f>
        <v>Kafemath</v>
      </c>
      <c r="C8" s="6" t="str">
        <f>IFERROR(__xludf.DUMMYFUNCTION("""COMPUTED_VALUE"""),"Présent")</f>
        <v>Présent</v>
      </c>
      <c r="D8" s="6" t="str">
        <f>IFERROR(__xludf.DUMMYFUNCTION("""COMPUTED_VALUE"""),"Présent")</f>
        <v>Présent</v>
      </c>
      <c r="E8" s="5" t="str">
        <f>IFERROR(__xludf.DUMMYFUNCTION("""COMPUTED_VALUE"""),"présentation de l'activité de l'association Kafemath")</f>
        <v>présentation de l'activité de l'association Kafemath</v>
      </c>
      <c r="F8" s="5" t="str">
        <f>IFERROR(__xludf.DUMMYFUNCTION("""COMPUTED_VALUE"""),"Primaire, Collège, Lycée")</f>
        <v>Primaire, Collège, Lycée</v>
      </c>
      <c r="G8" s="6">
        <f>IFERROR(__xludf.DUMMYFUNCTION("""COMPUTED_VALUE"""),10.0)</f>
        <v>10</v>
      </c>
      <c r="H8" s="6">
        <f>IFERROR(__xludf.DUMMYFUNCTION("""COMPUTED_VALUE"""),2.0)</f>
        <v>2</v>
      </c>
      <c r="I8" s="6">
        <f>IFERROR(__xludf.DUMMYFUNCTION("""COMPUTED_VALUE"""),2.0)</f>
        <v>2</v>
      </c>
      <c r="J8" s="6">
        <f>IFERROR(__xludf.DUMMYFUNCTION("""COMPUTED_VALUE"""),2.0)</f>
        <v>2</v>
      </c>
      <c r="K8" s="6">
        <f>IFERROR(__xludf.DUMMYFUNCTION("""COMPUTED_VALUE"""),2.0)</f>
        <v>2</v>
      </c>
      <c r="L8" s="6" t="str">
        <f>IFERROR(__xludf.DUMMYFUNCTION("""COMPUTED_VALUE"""),"oui")</f>
        <v>oui</v>
      </c>
      <c r="M8" s="6">
        <f>IFERROR(__xludf.DUMMYFUNCTION("""COMPUTED_VALUE"""),30.0)</f>
        <v>30</v>
      </c>
      <c r="N8" s="6">
        <f>IFERROR(__xludf.DUMMYFUNCTION("""COMPUTED_VALUE"""),30.0)</f>
        <v>30</v>
      </c>
      <c r="O8" s="7">
        <f>IFERROR(__xludf.DUMMYFUNCTION("""COMPUTED_VALUE"""),0.5)</f>
        <v>0.5</v>
      </c>
      <c r="P8" s="7">
        <f>IFERROR(__xludf.DUMMYFUNCTION("""COMPUTED_VALUE"""),0.5625)</f>
        <v>0.5625</v>
      </c>
      <c r="Q8" s="8"/>
    </row>
    <row r="9">
      <c r="A9" s="4">
        <f>IFERROR(__xludf.DUMMYFUNCTION("""COMPUTED_VALUE"""),44916.637422314816)</f>
        <v>44916.63742</v>
      </c>
      <c r="B9" s="5" t="str">
        <f>IFERROR(__xludf.DUMMYFUNCTION("""COMPUTED_VALUE"""),"Dessine-moi une fractale !")</f>
        <v>Dessine-moi une fractale !</v>
      </c>
      <c r="C9" s="6" t="str">
        <f>IFERROR(__xludf.DUMMYFUNCTION("""COMPUTED_VALUE"""),"Présent")</f>
        <v>Présent</v>
      </c>
      <c r="D9" s="6" t="str">
        <f>IFERROR(__xludf.DUMMYFUNCTION("""COMPUTED_VALUE"""),"Présent")</f>
        <v>Présent</v>
      </c>
      <c r="E9" s="5" t="str">
        <f>IFERROR(__xludf.DUMMYFUNCTION("""COMPUTED_VALUE"""),"Constructions de fractales par pliage/découpage")</f>
        <v>Constructions de fractales par pliage/découpage</v>
      </c>
      <c r="F9" s="5" t="str">
        <f>IFERROR(__xludf.DUMMYFUNCTION("""COMPUTED_VALUE"""),"Primaire, Collège")</f>
        <v>Primaire, Collège</v>
      </c>
      <c r="G9" s="6">
        <f>IFERROR(__xludf.DUMMYFUNCTION("""COMPUTED_VALUE"""),10.0)</f>
        <v>10</v>
      </c>
      <c r="H9" s="6" t="str">
        <f>IFERROR(__xludf.DUMMYFUNCTION("""COMPUTED_VALUE"""),"+")</f>
        <v>+</v>
      </c>
      <c r="I9" s="6" t="str">
        <f>IFERROR(__xludf.DUMMYFUNCTION("""COMPUTED_VALUE"""),"+")</f>
        <v>+</v>
      </c>
      <c r="J9" s="6">
        <f>IFERROR(__xludf.DUMMYFUNCTION("""COMPUTED_VALUE"""),1.0)</f>
        <v>1</v>
      </c>
      <c r="K9" s="6">
        <f>IFERROR(__xludf.DUMMYFUNCTION("""COMPUTED_VALUE"""),1.0)</f>
        <v>1</v>
      </c>
      <c r="L9" s="6" t="str">
        <f>IFERROR(__xludf.DUMMYFUNCTION("""COMPUTED_VALUE"""),"non")</f>
        <v>non</v>
      </c>
      <c r="M9" s="6"/>
      <c r="N9" s="6"/>
      <c r="O9" s="6"/>
      <c r="P9" s="6"/>
      <c r="Q9" s="8"/>
    </row>
    <row r="10">
      <c r="A10" s="4">
        <f>IFERROR(__xludf.DUMMYFUNCTION("""COMPUTED_VALUE"""),44916.70502707176)</f>
        <v>44916.70503</v>
      </c>
      <c r="B10" s="5" t="str">
        <f>IFERROR(__xludf.DUMMYFUNCTION("""COMPUTED_VALUE"""),"MATHADOR")</f>
        <v>MATHADOR</v>
      </c>
      <c r="C10" s="6" t="str">
        <f>IFERROR(__xludf.DUMMYFUNCTION("""COMPUTED_VALUE"""),"Présent")</f>
        <v>Présent</v>
      </c>
      <c r="D10" s="6" t="str">
        <f>IFERROR(__xludf.DUMMYFUNCTION("""COMPUTED_VALUE"""),"Présent")</f>
        <v>Présent</v>
      </c>
      <c r="E10" s="5" t="str">
        <f>IFERROR(__xludf.DUMMYFUNCTION("""COMPUTED_VALUE"""),"Pratique ludique du calcul mental avec le jeu Mathador")</f>
        <v>Pratique ludique du calcul mental avec le jeu Mathador</v>
      </c>
      <c r="F10" s="5" t="str">
        <f>IFERROR(__xludf.DUMMYFUNCTION("""COMPUTED_VALUE"""),"Primaire, Collège")</f>
        <v>Primaire, Collège</v>
      </c>
      <c r="G10" s="6">
        <f>IFERROR(__xludf.DUMMYFUNCTION("""COMPUTED_VALUE"""),10.0)</f>
        <v>10</v>
      </c>
      <c r="H10" s="6">
        <f>IFERROR(__xludf.DUMMYFUNCTION("""COMPUTED_VALUE"""),1.0)</f>
        <v>1</v>
      </c>
      <c r="I10" s="6">
        <f>IFERROR(__xludf.DUMMYFUNCTION("""COMPUTED_VALUE"""),1.0)</f>
        <v>1</v>
      </c>
      <c r="J10" s="6">
        <f>IFERROR(__xludf.DUMMYFUNCTION("""COMPUTED_VALUE"""),1.0)</f>
        <v>1</v>
      </c>
      <c r="K10" s="6">
        <f>IFERROR(__xludf.DUMMYFUNCTION("""COMPUTED_VALUE"""),1.0)</f>
        <v>1</v>
      </c>
      <c r="L10" s="6" t="str">
        <f>IFERROR(__xludf.DUMMYFUNCTION("""COMPUTED_VALUE"""),"oui")</f>
        <v>oui</v>
      </c>
      <c r="M10" s="6">
        <f>IFERROR(__xludf.DUMMYFUNCTION("""COMPUTED_VALUE"""),30.0)</f>
        <v>30</v>
      </c>
      <c r="N10" s="6">
        <f>IFERROR(__xludf.DUMMYFUNCTION("""COMPUTED_VALUE"""),0.0)</f>
        <v>0</v>
      </c>
      <c r="O10" s="7">
        <f>IFERROR(__xludf.DUMMYFUNCTION("""COMPUTED_VALUE"""),0.5)</f>
        <v>0.5</v>
      </c>
      <c r="P10" s="7">
        <f>IFERROR(__xludf.DUMMYFUNCTION("""COMPUTED_VALUE"""),0.5416666666642413)</f>
        <v>0.5416666667</v>
      </c>
      <c r="Q10" s="8"/>
    </row>
    <row r="11">
      <c r="A11" s="4">
        <f>IFERROR(__xludf.DUMMYFUNCTION("""COMPUTED_VALUE"""),44917.714179710645)</f>
        <v>44917.71418</v>
      </c>
      <c r="B11" s="5" t="str">
        <f>IFERROR(__xludf.DUMMYFUNCTION("""COMPUTED_VALUE"""),"Recreamaths")</f>
        <v>Recreamaths</v>
      </c>
      <c r="C11" s="6" t="str">
        <f>IFERROR(__xludf.DUMMYFUNCTION("""COMPUTED_VALUE"""),"Présent")</f>
        <v>Présent</v>
      </c>
      <c r="D11" s="6" t="str">
        <f>IFERROR(__xludf.DUMMYFUNCTION("""COMPUTED_VALUE"""),"Présent")</f>
        <v>Présent</v>
      </c>
      <c r="E11" s="5" t="str">
        <f>IFERROR(__xludf.DUMMYFUNCTION("""COMPUTED_VALUE"""),"Ebooks sur tablette et objets 3D à manipuler")</f>
        <v>Ebooks sur tablette et objets 3D à manipuler</v>
      </c>
      <c r="F11" s="5" t="str">
        <f>IFERROR(__xludf.DUMMYFUNCTION("""COMPUTED_VALUE"""),"Primaire, Collège")</f>
        <v>Primaire, Collège</v>
      </c>
      <c r="G11" s="6">
        <f>IFERROR(__xludf.DUMMYFUNCTION("""COMPUTED_VALUE"""),6.0)</f>
        <v>6</v>
      </c>
      <c r="H11" s="6">
        <f>IFERROR(__xludf.DUMMYFUNCTION("""COMPUTED_VALUE"""),2.0)</f>
        <v>2</v>
      </c>
      <c r="I11" s="6">
        <f>IFERROR(__xludf.DUMMYFUNCTION("""COMPUTED_VALUE"""),2.0)</f>
        <v>2</v>
      </c>
      <c r="J11" s="6">
        <f>IFERROR(__xludf.DUMMYFUNCTION("""COMPUTED_VALUE"""),2.0)</f>
        <v>2</v>
      </c>
      <c r="K11" s="6">
        <f>IFERROR(__xludf.DUMMYFUNCTION("""COMPUTED_VALUE"""),2.0)</f>
        <v>2</v>
      </c>
      <c r="L11" s="6" t="str">
        <f>IFERROR(__xludf.DUMMYFUNCTION("""COMPUTED_VALUE"""),"oui")</f>
        <v>oui</v>
      </c>
      <c r="M11" s="6">
        <f>IFERROR(__xludf.DUMMYFUNCTION("""COMPUTED_VALUE"""),45.0)</f>
        <v>45</v>
      </c>
      <c r="N11" s="6">
        <f>IFERROR(__xludf.DUMMYFUNCTION("""COMPUTED_VALUE"""),15.0)</f>
        <v>15</v>
      </c>
      <c r="O11" s="7">
        <f>IFERROR(__xludf.DUMMYFUNCTION("""COMPUTED_VALUE"""),0.5416666666642413)</f>
        <v>0.5416666667</v>
      </c>
      <c r="P11" s="7">
        <f>IFERROR(__xludf.DUMMYFUNCTION("""COMPUTED_VALUE"""),0.5833333333357587)</f>
        <v>0.5833333333</v>
      </c>
      <c r="Q11" s="8"/>
    </row>
    <row r="12">
      <c r="A12" s="4">
        <f>IFERROR(__xludf.DUMMYFUNCTION("""COMPUTED_VALUE"""),44925.08014385417)</f>
        <v>44925.08014</v>
      </c>
      <c r="B12" s="5" t="str">
        <f>IFERROR(__xludf.DUMMYFUNCTION("""COMPUTED_VALUE"""),"Le Magix 34")</f>
        <v>Le Magix 34</v>
      </c>
      <c r="C12" s="6" t="str">
        <f>IFERROR(__xludf.DUMMYFUNCTION("""COMPUTED_VALUE"""),"Présent")</f>
        <v>Présent</v>
      </c>
      <c r="D12" s="6" t="str">
        <f>IFERROR(__xludf.DUMMYFUNCTION("""COMPUTED_VALUE"""),"Présent")</f>
        <v>Présent</v>
      </c>
      <c r="E12" s="5" t="str">
        <f>IFERROR(__xludf.DUMMYFUNCTION("""COMPUTED_VALUE"""),"Atelier de jeux mathématiques")</f>
        <v>Atelier de jeux mathématiques</v>
      </c>
      <c r="F12" s="5" t="str">
        <f>IFERROR(__xludf.DUMMYFUNCTION("""COMPUTED_VALUE"""),"Collège, Lycée")</f>
        <v>Collège, Lycée</v>
      </c>
      <c r="G12" s="6">
        <f>IFERROR(__xludf.DUMMYFUNCTION("""COMPUTED_VALUE"""),16.0)</f>
        <v>16</v>
      </c>
      <c r="H12" s="6">
        <f>IFERROR(__xludf.DUMMYFUNCTION("""COMPUTED_VALUE"""),1.0)</f>
        <v>1</v>
      </c>
      <c r="I12" s="6">
        <f>IFERROR(__xludf.DUMMYFUNCTION("""COMPUTED_VALUE"""),1.0)</f>
        <v>1</v>
      </c>
      <c r="J12" s="6">
        <f>IFERROR(__xludf.DUMMYFUNCTION("""COMPUTED_VALUE"""),1.0)</f>
        <v>1</v>
      </c>
      <c r="K12" s="6">
        <f>IFERROR(__xludf.DUMMYFUNCTION("""COMPUTED_VALUE"""),1.0)</f>
        <v>1</v>
      </c>
      <c r="L12" s="6" t="str">
        <f>IFERROR(__xludf.DUMMYFUNCTION("""COMPUTED_VALUE"""),"oui")</f>
        <v>oui</v>
      </c>
      <c r="M12" s="6">
        <f>IFERROR(__xludf.DUMMYFUNCTION("""COMPUTED_VALUE"""),30.0)</f>
        <v>30</v>
      </c>
      <c r="N12" s="6">
        <f>IFERROR(__xludf.DUMMYFUNCTION("""COMPUTED_VALUE"""),15.0)</f>
        <v>15</v>
      </c>
      <c r="O12" s="7">
        <f>IFERROR(__xludf.DUMMYFUNCTION("""COMPUTED_VALUE"""),0.5423611111109494)</f>
        <v>0.5423611111</v>
      </c>
      <c r="P12" s="7">
        <f>IFERROR(__xludf.DUMMYFUNCTION("""COMPUTED_VALUE"""),0.5833333333357587)</f>
        <v>0.5833333333</v>
      </c>
      <c r="Q12" s="8"/>
    </row>
    <row r="13">
      <c r="A13" s="4">
        <f>IFERROR(__xludf.DUMMYFUNCTION("""COMPUTED_VALUE"""),44925.48954740741)</f>
        <v>44925.48955</v>
      </c>
      <c r="B13" s="5" t="str">
        <f>IFERROR(__xludf.DUMMYFUNCTION("""COMPUTED_VALUE"""),"Le Duel des Mages")</f>
        <v>Le Duel des Mages</v>
      </c>
      <c r="C13" s="6" t="str">
        <f>IFERROR(__xludf.DUMMYFUNCTION("""COMPUTED_VALUE"""),"Présent")</f>
        <v>Présent</v>
      </c>
      <c r="D13" s="6" t="str">
        <f>IFERROR(__xludf.DUMMYFUNCTION("""COMPUTED_VALUE"""),"Présent")</f>
        <v>Présent</v>
      </c>
      <c r="E13" s="5" t="str">
        <f>IFERROR(__xludf.DUMMYFUNCTION("""COMPUTED_VALUE"""),"Jeu de cartes où les pouvoirs sont modifiés par des fonctions ")</f>
        <v>Jeu de cartes où les pouvoirs sont modifiés par des fonctions </v>
      </c>
      <c r="F13" s="5" t="str">
        <f>IFERROR(__xludf.DUMMYFUNCTION("""COMPUTED_VALUE"""),"Collège, Lycée")</f>
        <v>Collège, Lycée</v>
      </c>
      <c r="G13" s="6">
        <f>IFERROR(__xludf.DUMMYFUNCTION("""COMPUTED_VALUE"""),8.0)</f>
        <v>8</v>
      </c>
      <c r="H13" s="6">
        <f>IFERROR(__xludf.DUMMYFUNCTION("""COMPUTED_VALUE"""),1.0)</f>
        <v>1</v>
      </c>
      <c r="I13" s="6">
        <f>IFERROR(__xludf.DUMMYFUNCTION("""COMPUTED_VALUE"""),1.0)</f>
        <v>1</v>
      </c>
      <c r="J13" s="6">
        <f>IFERROR(__xludf.DUMMYFUNCTION("""COMPUTED_VALUE"""),1.0)</f>
        <v>1</v>
      </c>
      <c r="K13" s="6">
        <f>IFERROR(__xludf.DUMMYFUNCTION("""COMPUTED_VALUE"""),1.0)</f>
        <v>1</v>
      </c>
      <c r="L13" s="6" t="str">
        <f>IFERROR(__xludf.DUMMYFUNCTION("""COMPUTED_VALUE"""),"oui")</f>
        <v>oui</v>
      </c>
      <c r="M13" s="6">
        <f>IFERROR(__xludf.DUMMYFUNCTION("""COMPUTED_VALUE"""),30.0)</f>
        <v>30</v>
      </c>
      <c r="N13" s="6">
        <f>IFERROR(__xludf.DUMMYFUNCTION("""COMPUTED_VALUE"""),0.0)</f>
        <v>0</v>
      </c>
      <c r="O13" s="7">
        <f>IFERROR(__xludf.DUMMYFUNCTION("""COMPUTED_VALUE"""),0.5208333333357587)</f>
        <v>0.5208333333</v>
      </c>
      <c r="P13" s="7">
        <f>IFERROR(__xludf.DUMMYFUNCTION("""COMPUTED_VALUE"""),0.5416666666642413)</f>
        <v>0.5416666667</v>
      </c>
      <c r="Q13" s="8"/>
    </row>
    <row r="14">
      <c r="A14" s="4">
        <f>IFERROR(__xludf.DUMMYFUNCTION("""COMPUTED_VALUE"""),44925.55342541667)</f>
        <v>44925.55343</v>
      </c>
      <c r="B14" s="5" t="str">
        <f>IFERROR(__xludf.DUMMYFUNCTION("""COMPUTED_VALUE"""),"Jeu de Go")</f>
        <v>Jeu de Go</v>
      </c>
      <c r="C14" s="6" t="str">
        <f>IFERROR(__xludf.DUMMYFUNCTION("""COMPUTED_VALUE"""),"Présent")</f>
        <v>Présent</v>
      </c>
      <c r="D14" s="6" t="str">
        <f>IFERROR(__xludf.DUMMYFUNCTION("""COMPUTED_VALUE"""),"Présent")</f>
        <v>Présent</v>
      </c>
      <c r="E14" s="5" t="str">
        <f>IFERROR(__xludf.DUMMYFUNCTION("""COMPUTED_VALUE"""),"Initiation au jeu de Go")</f>
        <v>Initiation au jeu de Go</v>
      </c>
      <c r="F14" s="5" t="str">
        <f>IFERROR(__xludf.DUMMYFUNCTION("""COMPUTED_VALUE"""),"Primaire, Collège, Lycée")</f>
        <v>Primaire, Collège, Lycée</v>
      </c>
      <c r="G14" s="6">
        <f>IFERROR(__xludf.DUMMYFUNCTION("""COMPUTED_VALUE"""),8.0)</f>
        <v>8</v>
      </c>
      <c r="H14" s="6">
        <f>IFERROR(__xludf.DUMMYFUNCTION("""COMPUTED_VALUE"""),3.0)</f>
        <v>3</v>
      </c>
      <c r="I14" s="6">
        <f>IFERROR(__xludf.DUMMYFUNCTION("""COMPUTED_VALUE"""),3.0)</f>
        <v>3</v>
      </c>
      <c r="J14" s="6">
        <f>IFERROR(__xludf.DUMMYFUNCTION("""COMPUTED_VALUE"""),3.0)</f>
        <v>3</v>
      </c>
      <c r="K14" s="6">
        <f>IFERROR(__xludf.DUMMYFUNCTION("""COMPUTED_VALUE"""),3.0)</f>
        <v>3</v>
      </c>
      <c r="L14" s="6" t="str">
        <f>IFERROR(__xludf.DUMMYFUNCTION("""COMPUTED_VALUE"""),"oui")</f>
        <v>oui</v>
      </c>
      <c r="M14" s="6">
        <f>IFERROR(__xludf.DUMMYFUNCTION("""COMPUTED_VALUE"""),30.0)</f>
        <v>30</v>
      </c>
      <c r="N14" s="6">
        <f>IFERROR(__xludf.DUMMYFUNCTION("""COMPUTED_VALUE"""),15.0)</f>
        <v>15</v>
      </c>
      <c r="O14" s="7">
        <f>IFERROR(__xludf.DUMMYFUNCTION("""COMPUTED_VALUE"""),0.5208333333357587)</f>
        <v>0.5208333333</v>
      </c>
      <c r="P14" s="7">
        <f>IFERROR(__xludf.DUMMYFUNCTION("""COMPUTED_VALUE"""),0.5833333333357587)</f>
        <v>0.5833333333</v>
      </c>
      <c r="Q14" s="8"/>
    </row>
    <row r="15">
      <c r="A15" s="4">
        <f>IFERROR(__xludf.DUMMYFUNCTION("""COMPUTED_VALUE"""),44926.34038184027)</f>
        <v>44926.34038</v>
      </c>
      <c r="B15" s="5" t="str">
        <f>IFERROR(__xludf.DUMMYFUNCTION("""COMPUTED_VALUE"""),"Zellij expérience")</f>
        <v>Zellij expérience</v>
      </c>
      <c r="C15" s="6" t="str">
        <f>IFERROR(__xludf.DUMMYFUNCTION("""COMPUTED_VALUE"""),"Présent")</f>
        <v>Présent</v>
      </c>
      <c r="D15" s="6" t="str">
        <f>IFERROR(__xludf.DUMMYFUNCTION("""COMPUTED_VALUE"""),"Présent")</f>
        <v>Présent</v>
      </c>
      <c r="E15" s="5" t="str">
        <f>IFERROR(__xludf.DUMMYFUNCTION("""COMPUTED_VALUE"""),"Manipulations de plusieurs ensembles de pièces engendrant des motifs traditionnels ou originaux en relation avec les arts traditionnels géométriques arabo-andalous (famille octogonale) ou persan (familles pentagonales).")</f>
        <v>Manipulations de plusieurs ensembles de pièces engendrant des motifs traditionnels ou originaux en relation avec les arts traditionnels géométriques arabo-andalous (famille octogonale) ou persan (familles pentagonales).</v>
      </c>
      <c r="F15" s="5" t="str">
        <f>IFERROR(__xludf.DUMMYFUNCTION("""COMPUTED_VALUE"""),"Primaire, Collège, Lycée")</f>
        <v>Primaire, Collège, Lycée</v>
      </c>
      <c r="G15" s="6">
        <f>IFERROR(__xludf.DUMMYFUNCTION("""COMPUTED_VALUE"""),10.0)</f>
        <v>10</v>
      </c>
      <c r="H15" s="6">
        <f>IFERROR(__xludf.DUMMYFUNCTION("""COMPUTED_VALUE"""),1.0)</f>
        <v>1</v>
      </c>
      <c r="I15" s="6">
        <f>IFERROR(__xludf.DUMMYFUNCTION("""COMPUTED_VALUE"""),1.0)</f>
        <v>1</v>
      </c>
      <c r="J15" s="6">
        <f>IFERROR(__xludf.DUMMYFUNCTION("""COMPUTED_VALUE"""),1.0)</f>
        <v>1</v>
      </c>
      <c r="K15" s="6">
        <f>IFERROR(__xludf.DUMMYFUNCTION("""COMPUTED_VALUE"""),1.0)</f>
        <v>1</v>
      </c>
      <c r="L15" s="6" t="str">
        <f>IFERROR(__xludf.DUMMYFUNCTION("""COMPUTED_VALUE"""),"oui")</f>
        <v>oui</v>
      </c>
      <c r="M15" s="6">
        <f>IFERROR(__xludf.DUMMYFUNCTION("""COMPUTED_VALUE"""),30.0)</f>
        <v>30</v>
      </c>
      <c r="N15" s="6">
        <f>IFERROR(__xludf.DUMMYFUNCTION("""COMPUTED_VALUE"""),15.0)</f>
        <v>15</v>
      </c>
      <c r="O15" s="7">
        <f>IFERROR(__xludf.DUMMYFUNCTION("""COMPUTED_VALUE"""),0.5416666666642413)</f>
        <v>0.5416666667</v>
      </c>
      <c r="P15" s="7">
        <f>IFERROR(__xludf.DUMMYFUNCTION("""COMPUTED_VALUE"""),0.5833333333357587)</f>
        <v>0.5833333333</v>
      </c>
      <c r="Q15" s="8"/>
    </row>
    <row r="16">
      <c r="A16" s="4">
        <f>IFERROR(__xludf.DUMMYFUNCTION("""COMPUTED_VALUE"""),44928.447651469905)</f>
        <v>44928.44765</v>
      </c>
      <c r="B16" s="5" t="str">
        <f>IFERROR(__xludf.DUMMYFUNCTION("""COMPUTED_VALUE"""),"MathLive")</f>
        <v>MathLive</v>
      </c>
      <c r="C16" s="6" t="str">
        <f>IFERROR(__xludf.DUMMYFUNCTION("""COMPUTED_VALUE"""),"Absent")</f>
        <v>Absent</v>
      </c>
      <c r="D16" s="6" t="str">
        <f>IFERROR(__xludf.DUMMYFUNCTION("""COMPUTED_VALUE"""),"Présent")</f>
        <v>Présent</v>
      </c>
      <c r="E16" s="5" t="str">
        <f>IFERROR(__xludf.DUMMYFUNCTION("""COMPUTED_VALUE"""),"Activité MathLive")</f>
        <v>Activité MathLive</v>
      </c>
      <c r="F16" s="5" t="str">
        <f>IFERROR(__xludf.DUMMYFUNCTION("""COMPUTED_VALUE"""),"Collège, Lycée")</f>
        <v>Collège, Lycée</v>
      </c>
      <c r="G16" s="6">
        <f>IFERROR(__xludf.DUMMYFUNCTION("""COMPUTED_VALUE"""),15.0)</f>
        <v>15</v>
      </c>
      <c r="H16" s="6">
        <f>IFERROR(__xludf.DUMMYFUNCTION("""COMPUTED_VALUE"""),2.0)</f>
        <v>2</v>
      </c>
      <c r="I16" s="6">
        <f>IFERROR(__xludf.DUMMYFUNCTION("""COMPUTED_VALUE"""),2.0)</f>
        <v>2</v>
      </c>
      <c r="J16" s="6">
        <f>IFERROR(__xludf.DUMMYFUNCTION("""COMPUTED_VALUE"""),2.0)</f>
        <v>2</v>
      </c>
      <c r="K16" s="6">
        <f>IFERROR(__xludf.DUMMYFUNCTION("""COMPUTED_VALUE"""),2.0)</f>
        <v>2</v>
      </c>
      <c r="L16" s="6" t="str">
        <f>IFERROR(__xludf.DUMMYFUNCTION("""COMPUTED_VALUE"""),"oui")</f>
        <v>oui</v>
      </c>
      <c r="M16" s="6">
        <f>IFERROR(__xludf.DUMMYFUNCTION("""COMPUTED_VALUE"""),30.0)</f>
        <v>30</v>
      </c>
      <c r="N16" s="6">
        <f>IFERROR(__xludf.DUMMYFUNCTION("""COMPUTED_VALUE"""),15.0)</f>
        <v>15</v>
      </c>
      <c r="O16" s="7">
        <f>IFERROR(__xludf.DUMMYFUNCTION("""COMPUTED_VALUE"""),0.5)</f>
        <v>0.5</v>
      </c>
      <c r="P16" s="7">
        <f>IFERROR(__xludf.DUMMYFUNCTION("""COMPUTED_VALUE"""),0.5416666666642413)</f>
        <v>0.5416666667</v>
      </c>
      <c r="Q16" s="8"/>
    </row>
    <row r="17">
      <c r="A17" s="4">
        <f>IFERROR(__xludf.DUMMYFUNCTION("""COMPUTED_VALUE"""),44928.79094611111)</f>
        <v>44928.79095</v>
      </c>
      <c r="B17" s="5" t="str">
        <f>IFERROR(__xludf.DUMMYFUNCTION("""COMPUTED_VALUE"""),"Géorègle Trigonométrique et Quadratur")</f>
        <v>Géorègle Trigonométrique et Quadratur</v>
      </c>
      <c r="C17" s="6" t="str">
        <f>IFERROR(__xludf.DUMMYFUNCTION("""COMPUTED_VALUE"""),"Présent")</f>
        <v>Présent</v>
      </c>
      <c r="D17" s="6" t="str">
        <f>IFERROR(__xludf.DUMMYFUNCTION("""COMPUTED_VALUE"""),"Présent")</f>
        <v>Présent</v>
      </c>
      <c r="E17" s="5" t="str">
        <f>IFERROR(__xludf.DUMMYFUNCTION("""COMPUTED_VALUE"""),"jeu de société 2-3-4 joueurs")</f>
        <v>jeu de société 2-3-4 joueurs</v>
      </c>
      <c r="F17" s="5" t="str">
        <f>IFERROR(__xludf.DUMMYFUNCTION("""COMPUTED_VALUE"""),"Primaire, Collège, Lycée")</f>
        <v>Primaire, Collège, Lycée</v>
      </c>
      <c r="G17" s="6">
        <f>IFERROR(__xludf.DUMMYFUNCTION("""COMPUTED_VALUE"""),8.0)</f>
        <v>8</v>
      </c>
      <c r="H17" s="6">
        <f>IFERROR(__xludf.DUMMYFUNCTION("""COMPUTED_VALUE"""),1.0)</f>
        <v>1</v>
      </c>
      <c r="I17" s="6">
        <f>IFERROR(__xludf.DUMMYFUNCTION("""COMPUTED_VALUE"""),1.0)</f>
        <v>1</v>
      </c>
      <c r="J17" s="6">
        <f>IFERROR(__xludf.DUMMYFUNCTION("""COMPUTED_VALUE"""),1.0)</f>
        <v>1</v>
      </c>
      <c r="K17" s="6">
        <f>IFERROR(__xludf.DUMMYFUNCTION("""COMPUTED_VALUE"""),1.0)</f>
        <v>1</v>
      </c>
      <c r="L17" s="6" t="str">
        <f>IFERROR(__xludf.DUMMYFUNCTION("""COMPUTED_VALUE"""),"oui")</f>
        <v>oui</v>
      </c>
      <c r="M17" s="6">
        <f>IFERROR(__xludf.DUMMYFUNCTION("""COMPUTED_VALUE"""),30.0)</f>
        <v>30</v>
      </c>
      <c r="N17" s="6">
        <f>IFERROR(__xludf.DUMMYFUNCTION("""COMPUTED_VALUE"""),15.0)</f>
        <v>15</v>
      </c>
      <c r="O17" s="7">
        <f>IFERROR(__xludf.DUMMYFUNCTION("""COMPUTED_VALUE"""),0.5)</f>
        <v>0.5</v>
      </c>
      <c r="P17" s="7">
        <f>IFERROR(__xludf.DUMMYFUNCTION("""COMPUTED_VALUE"""),0.5)</f>
        <v>0.5</v>
      </c>
      <c r="Q17" s="8"/>
    </row>
    <row r="18">
      <c r="A18" s="4">
        <f>IFERROR(__xludf.DUMMYFUNCTION("""COMPUTED_VALUE"""),44929.47305707176)</f>
        <v>44929.47306</v>
      </c>
      <c r="B18" s="5" t="str">
        <f>IFERROR(__xludf.DUMMYFUNCTION("""COMPUTED_VALUE"""),"Maths à Modeler")</f>
        <v>Maths à Modeler</v>
      </c>
      <c r="C18" s="6" t="str">
        <f>IFERROR(__xludf.DUMMYFUNCTION("""COMPUTED_VALUE"""),"Présent")</f>
        <v>Présent</v>
      </c>
      <c r="D18" s="6" t="str">
        <f>IFERROR(__xludf.DUMMYFUNCTION("""COMPUTED_VALUE"""),"Présent")</f>
        <v>Présent</v>
      </c>
      <c r="E18" s="5" t="str">
        <f>IFERROR(__xludf.DUMMYFUNCTION("""COMPUTED_VALUE"""),"Serez-vous carreler ma cuisine ? Le chemin de fer reliera-t-il toutes les villes ?... Venez explorer la recherche en mathématiques en tentant de résoudre ces casse-têtes présentés sous forme de jeux et avec un support matériel en bois. Ils sont inspirés d"&amp;"e problèmes actuels. Ces situations sont conçues pour approcher au plus près la pratique scientifique d’un mathématicien et de mettre les participants dans la peau d’un chercheur : expérimentation, conjecture, contre-exemple, preuve...")</f>
        <v>Serez-vous carreler ma cuisine ? Le chemin de fer reliera-t-il toutes les villes ?... Venez explorer la recherche en mathématiques en tentant de résoudre ces casse-têtes présentés sous forme de jeux et avec un support matériel en bois. Ils sont inspirés de problèmes actuels. Ces situations sont conçues pour approcher au plus près la pratique scientifique d’un mathématicien et de mettre les participants dans la peau d’un chercheur : expérimentation, conjecture, contre-exemple, preuve...</v>
      </c>
      <c r="F18" s="5" t="str">
        <f>IFERROR(__xludf.DUMMYFUNCTION("""COMPUTED_VALUE"""),"Primaire, Collège, Lycée")</f>
        <v>Primaire, Collège, Lycée</v>
      </c>
      <c r="G18" s="6">
        <f>IFERROR(__xludf.DUMMYFUNCTION("""COMPUTED_VALUE"""),8.0)</f>
        <v>8</v>
      </c>
      <c r="H18" s="6">
        <f>IFERROR(__xludf.DUMMYFUNCTION("""COMPUTED_VALUE"""),2.0)</f>
        <v>2</v>
      </c>
      <c r="I18" s="6">
        <f>IFERROR(__xludf.DUMMYFUNCTION("""COMPUTED_VALUE"""),2.0)</f>
        <v>2</v>
      </c>
      <c r="J18" s="6">
        <f>IFERROR(__xludf.DUMMYFUNCTION("""COMPUTED_VALUE"""),2.0)</f>
        <v>2</v>
      </c>
      <c r="K18" s="6">
        <f>IFERROR(__xludf.DUMMYFUNCTION("""COMPUTED_VALUE"""),2.0)</f>
        <v>2</v>
      </c>
      <c r="L18" s="6" t="str">
        <f>IFERROR(__xludf.DUMMYFUNCTION("""COMPUTED_VALUE"""),"oui")</f>
        <v>oui</v>
      </c>
      <c r="M18" s="6">
        <f>IFERROR(__xludf.DUMMYFUNCTION("""COMPUTED_VALUE"""),45.0)</f>
        <v>45</v>
      </c>
      <c r="N18" s="6">
        <f>IFERROR(__xludf.DUMMYFUNCTION("""COMPUTED_VALUE"""),15.0)</f>
        <v>15</v>
      </c>
      <c r="O18" s="7">
        <f>IFERROR(__xludf.DUMMYFUNCTION("""COMPUTED_VALUE"""),0.5208333333357587)</f>
        <v>0.5208333333</v>
      </c>
      <c r="P18" s="7">
        <f>IFERROR(__xludf.DUMMYFUNCTION("""COMPUTED_VALUE"""),0.5625)</f>
        <v>0.5625</v>
      </c>
      <c r="Q18" s="8"/>
    </row>
    <row r="19">
      <c r="A19" s="4">
        <f>IFERROR(__xludf.DUMMYFUNCTION("""COMPUTED_VALUE"""),44929.513356967596)</f>
        <v>44929.51336</v>
      </c>
      <c r="B19" s="5" t="str">
        <f>IFERROR(__xludf.DUMMYFUNCTION("""COMPUTED_VALUE"""),"Fédération Française de Bridge")</f>
        <v>Fédération Française de Bridge</v>
      </c>
      <c r="C19" s="6" t="str">
        <f>IFERROR(__xludf.DUMMYFUNCTION("""COMPUTED_VALUE"""),"Présent")</f>
        <v>Présent</v>
      </c>
      <c r="D19" s="6" t="str">
        <f>IFERROR(__xludf.DUMMYFUNCTION("""COMPUTED_VALUE"""),"Présent")</f>
        <v>Présent</v>
      </c>
      <c r="E19" s="5" t="str">
        <f>IFERROR(__xludf.DUMMYFUNCTION("""COMPUTED_VALUE"""),"initiation rapide et démonstration de bridge. Présentation du bridge scolaire")</f>
        <v>initiation rapide et démonstration de bridge. Présentation du bridge scolaire</v>
      </c>
      <c r="F19" s="5" t="str">
        <f>IFERROR(__xludf.DUMMYFUNCTION("""COMPUTED_VALUE"""),"Primaire, Collège, Lycée")</f>
        <v>Primaire, Collège, Lycée</v>
      </c>
      <c r="G19" s="6">
        <f>IFERROR(__xludf.DUMMYFUNCTION("""COMPUTED_VALUE"""),10.0)</f>
        <v>10</v>
      </c>
      <c r="H19" s="6">
        <f>IFERROR(__xludf.DUMMYFUNCTION("""COMPUTED_VALUE"""),3.0)</f>
        <v>3</v>
      </c>
      <c r="I19" s="6">
        <f>IFERROR(__xludf.DUMMYFUNCTION("""COMPUTED_VALUE"""),3.0)</f>
        <v>3</v>
      </c>
      <c r="J19" s="6">
        <f>IFERROR(__xludf.DUMMYFUNCTION("""COMPUTED_VALUE"""),4.0)</f>
        <v>4</v>
      </c>
      <c r="K19" s="6">
        <f>IFERROR(__xludf.DUMMYFUNCTION("""COMPUTED_VALUE"""),4.0)</f>
        <v>4</v>
      </c>
      <c r="L19" s="6" t="str">
        <f>IFERROR(__xludf.DUMMYFUNCTION("""COMPUTED_VALUE"""),"oui")</f>
        <v>oui</v>
      </c>
      <c r="M19" s="6">
        <f>IFERROR(__xludf.DUMMYFUNCTION("""COMPUTED_VALUE"""),30.0)</f>
        <v>30</v>
      </c>
      <c r="N19" s="6">
        <f>IFERROR(__xludf.DUMMYFUNCTION("""COMPUTED_VALUE"""),0.0)</f>
        <v>0</v>
      </c>
      <c r="O19" s="7">
        <f>IFERROR(__xludf.DUMMYFUNCTION("""COMPUTED_VALUE"""),0.5416666666642413)</f>
        <v>0.5416666667</v>
      </c>
      <c r="P19" s="7">
        <f>IFERROR(__xludf.DUMMYFUNCTION("""COMPUTED_VALUE"""),0.5833333333357587)</f>
        <v>0.5833333333</v>
      </c>
      <c r="Q19" s="8"/>
    </row>
    <row r="20">
      <c r="A20" s="4">
        <f>IFERROR(__xludf.DUMMYFUNCTION("""COMPUTED_VALUE"""),44929.588756550926)</f>
        <v>44929.58876</v>
      </c>
      <c r="B20" s="5" t="str">
        <f>IFERROR(__xludf.DUMMYFUNCTION("""COMPUTED_VALUE"""),"Art of Games")</f>
        <v>Art of Games</v>
      </c>
      <c r="C20" s="6" t="str">
        <f>IFERROR(__xludf.DUMMYFUNCTION("""COMPUTED_VALUE"""),"Présent")</f>
        <v>Présent</v>
      </c>
      <c r="D20" s="6" t="str">
        <f>IFERROR(__xludf.DUMMYFUNCTION("""COMPUTED_VALUE"""),"Présent")</f>
        <v>Présent</v>
      </c>
      <c r="E20" s="5" t="str">
        <f>IFERROR(__xludf.DUMMYFUNCTION("""COMPUTED_VALUE"""),"Jeux de société éducatifs ou de réflexion")</f>
        <v>Jeux de société éducatifs ou de réflexion</v>
      </c>
      <c r="F20" s="5" t="str">
        <f>IFERROR(__xludf.DUMMYFUNCTION("""COMPUTED_VALUE"""),"Primaire, Collège, Lycée")</f>
        <v>Primaire, Collège, Lycée</v>
      </c>
      <c r="G20" s="6">
        <f>IFERROR(__xludf.DUMMYFUNCTION("""COMPUTED_VALUE"""),16.0)</f>
        <v>16</v>
      </c>
      <c r="H20" s="6">
        <f>IFERROR(__xludf.DUMMYFUNCTION("""COMPUTED_VALUE"""),2.0)</f>
        <v>2</v>
      </c>
      <c r="I20" s="6">
        <f>IFERROR(__xludf.DUMMYFUNCTION("""COMPUTED_VALUE"""),2.0)</f>
        <v>2</v>
      </c>
      <c r="J20" s="6">
        <f>IFERROR(__xludf.DUMMYFUNCTION("""COMPUTED_VALUE"""),2.0)</f>
        <v>2</v>
      </c>
      <c r="K20" s="6">
        <f>IFERROR(__xludf.DUMMYFUNCTION("""COMPUTED_VALUE"""),2.0)</f>
        <v>2</v>
      </c>
      <c r="L20" s="6" t="str">
        <f>IFERROR(__xludf.DUMMYFUNCTION("""COMPUTED_VALUE"""),"oui")</f>
        <v>oui</v>
      </c>
      <c r="M20" s="6">
        <f>IFERROR(__xludf.DUMMYFUNCTION("""COMPUTED_VALUE"""),30.0)</f>
        <v>30</v>
      </c>
      <c r="N20" s="6">
        <f>IFERROR(__xludf.DUMMYFUNCTION("""COMPUTED_VALUE"""),0.0)</f>
        <v>0</v>
      </c>
      <c r="O20" s="7">
        <f>IFERROR(__xludf.DUMMYFUNCTION("""COMPUTED_VALUE"""),0.5416666666642413)</f>
        <v>0.5416666667</v>
      </c>
      <c r="P20" s="7">
        <f>IFERROR(__xludf.DUMMYFUNCTION("""COMPUTED_VALUE"""),0.5520833333357587)</f>
        <v>0.5520833333</v>
      </c>
      <c r="Q20" s="8"/>
    </row>
    <row r="21">
      <c r="A21" s="4">
        <f>IFERROR(__xludf.DUMMYFUNCTION("""COMPUTED_VALUE"""),44930.58832429398)</f>
        <v>44930.58832</v>
      </c>
      <c r="B21" s="5" t="str">
        <f>IFERROR(__xludf.DUMMYFUNCTION("""COMPUTED_VALUE"""),"Espéranto")</f>
        <v>Espéranto</v>
      </c>
      <c r="C21" s="6" t="str">
        <f>IFERROR(__xludf.DUMMYFUNCTION("""COMPUTED_VALUE"""),"Présent")</f>
        <v>Présent</v>
      </c>
      <c r="D21" s="6" t="str">
        <f>IFERROR(__xludf.DUMMYFUNCTION("""COMPUTED_VALUE"""),"Présent")</f>
        <v>Présent</v>
      </c>
      <c r="E21" s="5" t="str">
        <f>IFERROR(__xludf.DUMMYFUNCTION("""COMPUTED_VALUE"""),"Nous ne planifions pas nos activités cinq mois à l'avance, je n'ai pas encore organisé mes voyages de janvier 2023.")</f>
        <v>Nous ne planifions pas nos activités cinq mois à l'avance, je n'ai pas encore organisé mes voyages de janvier 2023.</v>
      </c>
      <c r="F21" s="5" t="str">
        <f>IFERROR(__xludf.DUMMYFUNCTION("""COMPUTED_VALUE"""),"Primaire, Collège, Lycée")</f>
        <v>Primaire, Collège, Lycée</v>
      </c>
      <c r="G21" s="6">
        <f>IFERROR(__xludf.DUMMYFUNCTION("""COMPUTED_VALUE"""),6.0)</f>
        <v>6</v>
      </c>
      <c r="H21" s="6">
        <f>IFERROR(__xludf.DUMMYFUNCTION("""COMPUTED_VALUE"""),2.0)</f>
        <v>2</v>
      </c>
      <c r="I21" s="6">
        <f>IFERROR(__xludf.DUMMYFUNCTION("""COMPUTED_VALUE"""),2.0)</f>
        <v>2</v>
      </c>
      <c r="J21" s="6">
        <f>IFERROR(__xludf.DUMMYFUNCTION("""COMPUTED_VALUE"""),2.0)</f>
        <v>2</v>
      </c>
      <c r="K21" s="6">
        <f>IFERROR(__xludf.DUMMYFUNCTION("""COMPUTED_VALUE"""),2.0)</f>
        <v>2</v>
      </c>
      <c r="L21" s="6" t="str">
        <f>IFERROR(__xludf.DUMMYFUNCTION("""COMPUTED_VALUE"""),"oui")</f>
        <v>oui</v>
      </c>
      <c r="M21" s="6">
        <f>IFERROR(__xludf.DUMMYFUNCTION("""COMPUTED_VALUE"""),30.0)</f>
        <v>30</v>
      </c>
      <c r="N21" s="6">
        <f>IFERROR(__xludf.DUMMYFUNCTION("""COMPUTED_VALUE"""),15.0)</f>
        <v>15</v>
      </c>
      <c r="O21" s="7">
        <f>IFERROR(__xludf.DUMMYFUNCTION("""COMPUTED_VALUE"""),0.5416666666642413)</f>
        <v>0.5416666667</v>
      </c>
      <c r="P21" s="7">
        <f>IFERROR(__xludf.DUMMYFUNCTION("""COMPUTED_VALUE"""),0.5833333333357587)</f>
        <v>0.5833333333</v>
      </c>
      <c r="Q21" s="8"/>
    </row>
    <row r="22">
      <c r="A22" s="4">
        <f>IFERROR(__xludf.DUMMYFUNCTION("""COMPUTED_VALUE"""),44930.98887306713)</f>
        <v>44930.98887</v>
      </c>
      <c r="B22" s="5" t="str">
        <f>IFERROR(__xludf.DUMMYFUNCTION("""COMPUTED_VALUE"""),"Faire Rimer les Maths Avec Plaisir")</f>
        <v>Faire Rimer les Maths Avec Plaisir</v>
      </c>
      <c r="C22" s="6" t="str">
        <f>IFERROR(__xludf.DUMMYFUNCTION("""COMPUTED_VALUE"""),"Présent")</f>
        <v>Présent</v>
      </c>
      <c r="D22" s="6" t="str">
        <f>IFERROR(__xludf.DUMMYFUNCTION("""COMPUTED_VALUE"""),"Présent")</f>
        <v>Présent</v>
      </c>
      <c r="E22" s="5" t="str">
        <f>IFERROR(__xludf.DUMMYFUNCTION("""COMPUTED_VALUE"""),"Maths étonnantes:  atelier Origami, atelier jeu d'Hex, atelier prison, atelier qui est ce?  La prison, Escape Game etc")</f>
        <v>Maths étonnantes:  atelier Origami, atelier jeu d'Hex, atelier prison, atelier qui est ce?  La prison, Escape Game etc</v>
      </c>
      <c r="F22" s="5" t="str">
        <f>IFERROR(__xludf.DUMMYFUNCTION("""COMPUTED_VALUE"""),"Primaire, Collège, Lycée")</f>
        <v>Primaire, Collège, Lycée</v>
      </c>
      <c r="G22" s="6">
        <f>IFERROR(__xludf.DUMMYFUNCTION("""COMPUTED_VALUE"""),30.0)</f>
        <v>30</v>
      </c>
      <c r="H22" s="6">
        <f>IFERROR(__xludf.DUMMYFUNCTION("""COMPUTED_VALUE"""),2.0)</f>
        <v>2</v>
      </c>
      <c r="I22" s="6">
        <f>IFERROR(__xludf.DUMMYFUNCTION("""COMPUTED_VALUE"""),2.0)</f>
        <v>2</v>
      </c>
      <c r="J22" s="6">
        <f>IFERROR(__xludf.DUMMYFUNCTION("""COMPUTED_VALUE"""),3.0)</f>
        <v>3</v>
      </c>
      <c r="K22" s="6">
        <f>IFERROR(__xludf.DUMMYFUNCTION("""COMPUTED_VALUE"""),3.0)</f>
        <v>3</v>
      </c>
      <c r="L22" s="6" t="str">
        <f>IFERROR(__xludf.DUMMYFUNCTION("""COMPUTED_VALUE"""),"oui")</f>
        <v>oui</v>
      </c>
      <c r="M22" s="6">
        <f>IFERROR(__xludf.DUMMYFUNCTION("""COMPUTED_VALUE"""),60.0)</f>
        <v>60</v>
      </c>
      <c r="N22" s="6">
        <f>IFERROR(__xludf.DUMMYFUNCTION("""COMPUTED_VALUE"""),15.0)</f>
        <v>15</v>
      </c>
      <c r="O22" s="7">
        <f>IFERROR(__xludf.DUMMYFUNCTION("""COMPUTED_VALUE"""),0.5)</f>
        <v>0.5</v>
      </c>
      <c r="P22" s="7">
        <f>IFERROR(__xludf.DUMMYFUNCTION("""COMPUTED_VALUE"""),0.5625)</f>
        <v>0.5625</v>
      </c>
      <c r="Q22" s="8"/>
    </row>
    <row r="23">
      <c r="A23" s="4">
        <f>IFERROR(__xludf.DUMMYFUNCTION("""COMPUTED_VALUE"""),44931.58097440972)</f>
        <v>44931.58097</v>
      </c>
      <c r="B23" s="5" t="str">
        <f>IFERROR(__xludf.DUMMYFUNCTION("""COMPUTED_VALUE"""),"Terraquée ")</f>
        <v>Terraquée </v>
      </c>
      <c r="C23" s="6" t="str">
        <f>IFERROR(__xludf.DUMMYFUNCTION("""COMPUTED_VALUE"""),"Présent")</f>
        <v>Présent</v>
      </c>
      <c r="D23" s="6" t="str">
        <f>IFERROR(__xludf.DUMMYFUNCTION("""COMPUTED_VALUE"""),"Présent")</f>
        <v>Présent</v>
      </c>
      <c r="E23" s="5" t="str">
        <f>IFERROR(__xludf.DUMMYFUNCTION("""COMPUTED_VALUE"""),"Atelier d'écriture autour des maths.
Et si on faisait un pas de côté ? Et si un moyen d’appréhender les maths, c’était d’inventer une histoire de fiction ? A partir d’une question toute simple (ou pas ?) : « qu’est-ce que c’est, mesurer ?  » on inventera "&amp;"collectivement des histoires qui pourront nous emmener très loin dans l’imaginaire …
Première initiation à la démarche d’écriture de spectacles autour des maths de la cie Terraquée.")</f>
        <v>Atelier d'écriture autour des maths.
Et si on faisait un pas de côté ? Et si un moyen d’appréhender les maths, c’était d’inventer une histoire de fiction ? A partir d’une question toute simple (ou pas ?) : « qu’est-ce que c’est, mesurer ?  » on inventera collectivement des histoires qui pourront nous emmener très loin dans l’imaginaire …
Première initiation à la démarche d’écriture de spectacles autour des maths de la cie Terraquée.</v>
      </c>
      <c r="F23" s="5" t="str">
        <f>IFERROR(__xludf.DUMMYFUNCTION("""COMPUTED_VALUE"""),"Primaire, Collège, Lycée")</f>
        <v>Primaire, Collège, Lycée</v>
      </c>
      <c r="G23" s="6">
        <f>IFERROR(__xludf.DUMMYFUNCTION("""COMPUTED_VALUE"""),15.0)</f>
        <v>15</v>
      </c>
      <c r="H23" s="6">
        <f>IFERROR(__xludf.DUMMYFUNCTION("""COMPUTED_VALUE"""),2.0)</f>
        <v>2</v>
      </c>
      <c r="I23" s="6">
        <f>IFERROR(__xludf.DUMMYFUNCTION("""COMPUTED_VALUE"""),2.0)</f>
        <v>2</v>
      </c>
      <c r="J23" s="6">
        <f>IFERROR(__xludf.DUMMYFUNCTION("""COMPUTED_VALUE"""),2.0)</f>
        <v>2</v>
      </c>
      <c r="K23" s="6">
        <f>IFERROR(__xludf.DUMMYFUNCTION("""COMPUTED_VALUE"""),2.0)</f>
        <v>2</v>
      </c>
      <c r="L23" s="6" t="str">
        <f>IFERROR(__xludf.DUMMYFUNCTION("""COMPUTED_VALUE"""),"oui")</f>
        <v>oui</v>
      </c>
      <c r="M23" s="6">
        <f>IFERROR(__xludf.DUMMYFUNCTION("""COMPUTED_VALUE"""),60.0)</f>
        <v>60</v>
      </c>
      <c r="N23" s="6">
        <f>IFERROR(__xludf.DUMMYFUNCTION("""COMPUTED_VALUE"""),15.0)</f>
        <v>15</v>
      </c>
      <c r="O23" s="7">
        <f>IFERROR(__xludf.DUMMYFUNCTION("""COMPUTED_VALUE"""),0.5208333333357587)</f>
        <v>0.5208333333</v>
      </c>
      <c r="P23" s="7">
        <f>IFERROR(__xludf.DUMMYFUNCTION("""COMPUTED_VALUE"""),0.5625)</f>
        <v>0.5625</v>
      </c>
      <c r="Q23" s="8"/>
    </row>
    <row r="24">
      <c r="A24" s="4">
        <f>IFERROR(__xludf.DUMMYFUNCTION("""COMPUTED_VALUE"""),44932.62104574074)</f>
        <v>44932.62105</v>
      </c>
      <c r="B24" s="5" t="str">
        <f>IFERROR(__xludf.DUMMYFUNCTION("""COMPUTED_VALUE"""),"Astrolabe Lycée Branly Créteil")</f>
        <v>Astrolabe Lycée Branly Créteil</v>
      </c>
      <c r="C24" s="6" t="str">
        <f>IFERROR(__xludf.DUMMYFUNCTION("""COMPUTED_VALUE"""),"Présent")</f>
        <v>Présent</v>
      </c>
      <c r="D24" s="6" t="str">
        <f>IFERROR(__xludf.DUMMYFUNCTION("""COMPUTED_VALUE"""),"Présent")</f>
        <v>Présent</v>
      </c>
      <c r="E24" s="5" t="str">
        <f>IFERROR(__xludf.DUMMYFUNCTION("""COMPUTED_VALUE"""),"Fabrication et utilisation d'un instrument d'astronomie ancien : l'astrolabe ; présentation de fractales (travaux d'élèves) ; atelier light-painting")</f>
        <v>Fabrication et utilisation d'un instrument d'astronomie ancien : l'astrolabe ; présentation de fractales (travaux d'élèves) ; atelier light-painting</v>
      </c>
      <c r="F24" s="5" t="str">
        <f>IFERROR(__xludf.DUMMYFUNCTION("""COMPUTED_VALUE"""),"Collège, Lycée")</f>
        <v>Collège, Lycée</v>
      </c>
      <c r="G24" s="6">
        <f>IFERROR(__xludf.DUMMYFUNCTION("""COMPUTED_VALUE"""),10.0)</f>
        <v>10</v>
      </c>
      <c r="H24" s="6" t="str">
        <f>IFERROR(__xludf.DUMMYFUNCTION("""COMPUTED_VALUE"""),"+")</f>
        <v>+</v>
      </c>
      <c r="I24" s="6" t="str">
        <f>IFERROR(__xludf.DUMMYFUNCTION("""COMPUTED_VALUE"""),"+")</f>
        <v>+</v>
      </c>
      <c r="J24" s="6">
        <f>IFERROR(__xludf.DUMMYFUNCTION("""COMPUTED_VALUE"""),2.0)</f>
        <v>2</v>
      </c>
      <c r="K24" s="6">
        <f>IFERROR(__xludf.DUMMYFUNCTION("""COMPUTED_VALUE"""),2.0)</f>
        <v>2</v>
      </c>
      <c r="L24" s="6" t="str">
        <f>IFERROR(__xludf.DUMMYFUNCTION("""COMPUTED_VALUE"""),"oui")</f>
        <v>oui</v>
      </c>
      <c r="M24" s="6">
        <f>IFERROR(__xludf.DUMMYFUNCTION("""COMPUTED_VALUE"""),30.0)</f>
        <v>30</v>
      </c>
      <c r="N24" s="6">
        <f>IFERROR(__xludf.DUMMYFUNCTION("""COMPUTED_VALUE"""),15.0)</f>
        <v>15</v>
      </c>
      <c r="O24" s="7">
        <f>IFERROR(__xludf.DUMMYFUNCTION("""COMPUTED_VALUE"""),0.5)</f>
        <v>0.5</v>
      </c>
      <c r="P24" s="7">
        <f>IFERROR(__xludf.DUMMYFUNCTION("""COMPUTED_VALUE"""),0.5416666666642413)</f>
        <v>0.5416666667</v>
      </c>
      <c r="Q24" s="8"/>
    </row>
    <row r="25">
      <c r="A25" s="4">
        <f>IFERROR(__xludf.DUMMYFUNCTION("""COMPUTED_VALUE"""),44932.67338815972)</f>
        <v>44932.67339</v>
      </c>
      <c r="B25" s="5" t="str">
        <f>IFERROR(__xludf.DUMMYFUNCTION("""COMPUTED_VALUE"""),"PlayMaths")</f>
        <v>PlayMaths</v>
      </c>
      <c r="C25" s="6" t="str">
        <f>IFERROR(__xludf.DUMMYFUNCTION("""COMPUTED_VALUE"""),"Présent")</f>
        <v>Présent</v>
      </c>
      <c r="D25" s="6" t="str">
        <f>IFERROR(__xludf.DUMMYFUNCTION("""COMPUTED_VALUE"""),"Présent")</f>
        <v>Présent</v>
      </c>
      <c r="E25" s="5" t="str">
        <f>IFERROR(__xludf.DUMMYFUNCTION("""COMPUTED_VALUE"""),"Polyèdres, Casse-têtes")</f>
        <v>Polyèdres, Casse-têtes</v>
      </c>
      <c r="F25" s="5" t="str">
        <f>IFERROR(__xludf.DUMMYFUNCTION("""COMPUTED_VALUE"""),"Primaire, Collège, Lycée")</f>
        <v>Primaire, Collège, Lycée</v>
      </c>
      <c r="G25" s="6">
        <f>IFERROR(__xludf.DUMMYFUNCTION("""COMPUTED_VALUE"""),8.0)</f>
        <v>8</v>
      </c>
      <c r="H25" s="6">
        <f>IFERROR(__xludf.DUMMYFUNCTION("""COMPUTED_VALUE"""),1.0)</f>
        <v>1</v>
      </c>
      <c r="I25" s="6">
        <f>IFERROR(__xludf.DUMMYFUNCTION("""COMPUTED_VALUE"""),1.0)</f>
        <v>1</v>
      </c>
      <c r="J25" s="6">
        <f>IFERROR(__xludf.DUMMYFUNCTION("""COMPUTED_VALUE"""),1.0)</f>
        <v>1</v>
      </c>
      <c r="K25" s="6">
        <f>IFERROR(__xludf.DUMMYFUNCTION("""COMPUTED_VALUE"""),1.0)</f>
        <v>1</v>
      </c>
      <c r="L25" s="6" t="str">
        <f>IFERROR(__xludf.DUMMYFUNCTION("""COMPUTED_VALUE"""),"oui")</f>
        <v>oui</v>
      </c>
      <c r="M25" s="6">
        <f>IFERROR(__xludf.DUMMYFUNCTION("""COMPUTED_VALUE"""),30.0)</f>
        <v>30</v>
      </c>
      <c r="N25" s="6">
        <f>IFERROR(__xludf.DUMMYFUNCTION("""COMPUTED_VALUE"""),0.0)</f>
        <v>0</v>
      </c>
      <c r="O25" s="7">
        <f>IFERROR(__xludf.DUMMYFUNCTION("""COMPUTED_VALUE"""),0.5)</f>
        <v>0.5</v>
      </c>
      <c r="P25" s="7">
        <f>IFERROR(__xludf.DUMMYFUNCTION("""COMPUTED_VALUE"""),0.5416666666642413)</f>
        <v>0.5416666667</v>
      </c>
      <c r="Q25" s="8"/>
    </row>
    <row r="26">
      <c r="A26" s="4">
        <f>IFERROR(__xludf.DUMMYFUNCTION("""COMPUTED_VALUE"""),44932.71918900463)</f>
        <v>44932.71919</v>
      </c>
      <c r="B26" s="5" t="str">
        <f>IFERROR(__xludf.DUMMYFUNCTION("""COMPUTED_VALUE"""),"Logiciels libres pour l'éducation et la recherche")</f>
        <v>Logiciels libres pour l'éducation et la recherche</v>
      </c>
      <c r="C26" s="6" t="str">
        <f>IFERROR(__xludf.DUMMYFUNCTION("""COMPUTED_VALUE"""),"Présent")</f>
        <v>Présent</v>
      </c>
      <c r="D26" s="6" t="str">
        <f>IFERROR(__xludf.DUMMYFUNCTION("""COMPUTED_VALUE"""),"Présent")</f>
        <v>Présent</v>
      </c>
      <c r="E26" s="5" t="str">
        <f>IFERROR(__xludf.DUMMYFUNCTION("""COMPUTED_VALUE"""),"Logiciels libres pour l'éducation de la recherche")</f>
        <v>Logiciels libres pour l'éducation de la recherche</v>
      </c>
      <c r="F26" s="5" t="str">
        <f>IFERROR(__xludf.DUMMYFUNCTION("""COMPUTED_VALUE"""),"Primaire, Collège, Lycée")</f>
        <v>Primaire, Collège, Lycée</v>
      </c>
      <c r="G26" s="6">
        <f>IFERROR(__xludf.DUMMYFUNCTION("""COMPUTED_VALUE"""),10.0)</f>
        <v>10</v>
      </c>
      <c r="H26" s="6">
        <f>IFERROR(__xludf.DUMMYFUNCTION("""COMPUTED_VALUE"""),1.0)</f>
        <v>1</v>
      </c>
      <c r="I26" s="6">
        <f>IFERROR(__xludf.DUMMYFUNCTION("""COMPUTED_VALUE"""),1.0)</f>
        <v>1</v>
      </c>
      <c r="J26" s="6">
        <f>IFERROR(__xludf.DUMMYFUNCTION("""COMPUTED_VALUE"""),1.0)</f>
        <v>1</v>
      </c>
      <c r="K26" s="6">
        <f>IFERROR(__xludf.DUMMYFUNCTION("""COMPUTED_VALUE"""),1.0)</f>
        <v>1</v>
      </c>
      <c r="L26" s="6" t="str">
        <f>IFERROR(__xludf.DUMMYFUNCTION("""COMPUTED_VALUE"""),"oui")</f>
        <v>oui</v>
      </c>
      <c r="M26" s="6">
        <f>IFERROR(__xludf.DUMMYFUNCTION("""COMPUTED_VALUE"""),30.0)</f>
        <v>30</v>
      </c>
      <c r="N26" s="6">
        <f>IFERROR(__xludf.DUMMYFUNCTION("""COMPUTED_VALUE"""),15.0)</f>
        <v>15</v>
      </c>
      <c r="O26" s="7">
        <f>IFERROR(__xludf.DUMMYFUNCTION("""COMPUTED_VALUE"""),0.5208333333357587)</f>
        <v>0.5208333333</v>
      </c>
      <c r="P26" s="7">
        <f>IFERROR(__xludf.DUMMYFUNCTION("""COMPUTED_VALUE"""),0.5625)</f>
        <v>0.5625</v>
      </c>
      <c r="Q26" s="8"/>
    </row>
    <row r="27">
      <c r="A27" s="10">
        <f>IFERROR(__xludf.DUMMYFUNCTION("""COMPUTED_VALUE"""),44933.79002555556)</f>
        <v>44933.79003</v>
      </c>
      <c r="B27" s="5" t="str">
        <f>IFERROR(__xludf.DUMMYFUNCTION("""COMPUTED_VALUE"""),"Logiciels libres pour apprendre les sciences")</f>
        <v>Logiciels libres pour apprendre les sciences</v>
      </c>
      <c r="C27" s="6" t="str">
        <f>IFERROR(__xludf.DUMMYFUNCTION("""COMPUTED_VALUE"""),"Présent")</f>
        <v>Présent</v>
      </c>
      <c r="D27" s="6" t="str">
        <f>IFERROR(__xludf.DUMMYFUNCTION("""COMPUTED_VALUE"""),"Présent")</f>
        <v>Présent</v>
      </c>
      <c r="E27" s="5" t="str">
        <f>IFERROR(__xludf.DUMMYFUNCTION("""COMPUTED_VALUE"""),"Démonstrations sur ordinateurs et tablettes
(ou affiches ou livres)
")</f>
        <v>Démonstrations sur ordinateurs et tablettes
(ou affiches ou livres)
</v>
      </c>
      <c r="F27" s="5" t="str">
        <f>IFERROR(__xludf.DUMMYFUNCTION("""COMPUTED_VALUE"""),"Primaire, Collège, Lycée")</f>
        <v>Primaire, Collège, Lycée</v>
      </c>
      <c r="G27" s="6">
        <f>IFERROR(__xludf.DUMMYFUNCTION("""COMPUTED_VALUE"""),10.0)</f>
        <v>10</v>
      </c>
      <c r="H27" s="6">
        <f>IFERROR(__xludf.DUMMYFUNCTION("""COMPUTED_VALUE"""),1.0)</f>
        <v>1</v>
      </c>
      <c r="I27" s="6">
        <f>IFERROR(__xludf.DUMMYFUNCTION("""COMPUTED_VALUE"""),1.0)</f>
        <v>1</v>
      </c>
      <c r="J27" s="6">
        <f>IFERROR(__xludf.DUMMYFUNCTION("""COMPUTED_VALUE"""),1.0)</f>
        <v>1</v>
      </c>
      <c r="K27" s="6">
        <f>IFERROR(__xludf.DUMMYFUNCTION("""COMPUTED_VALUE"""),1.0)</f>
        <v>1</v>
      </c>
      <c r="L27" s="6" t="str">
        <f>IFERROR(__xludf.DUMMYFUNCTION("""COMPUTED_VALUE"""),"oui")</f>
        <v>oui</v>
      </c>
      <c r="M27" s="6">
        <f>IFERROR(__xludf.DUMMYFUNCTION("""COMPUTED_VALUE"""),30.0)</f>
        <v>30</v>
      </c>
      <c r="N27" s="6">
        <f>IFERROR(__xludf.DUMMYFUNCTION("""COMPUTED_VALUE"""),0.0)</f>
        <v>0</v>
      </c>
      <c r="O27" s="7">
        <f>IFERROR(__xludf.DUMMYFUNCTION("""COMPUTED_VALUE"""),0.5208333333357587)</f>
        <v>0.5208333333</v>
      </c>
      <c r="P27" s="7">
        <f>IFERROR(__xludf.DUMMYFUNCTION("""COMPUTED_VALUE"""),0.5833333333357587)</f>
        <v>0.5833333333</v>
      </c>
      <c r="Q27" s="8"/>
    </row>
    <row r="28">
      <c r="A28" s="8"/>
      <c r="B28" s="5"/>
      <c r="C28" s="6"/>
      <c r="D28" s="6"/>
      <c r="E28" s="5"/>
      <c r="F28" s="5"/>
      <c r="G28" s="6"/>
      <c r="H28" s="6"/>
      <c r="I28" s="6"/>
      <c r="J28" s="6"/>
      <c r="K28" s="6"/>
      <c r="L28" s="6"/>
      <c r="M28" s="6"/>
      <c r="N28" s="6"/>
      <c r="O28" s="6"/>
      <c r="P28" s="6"/>
      <c r="Q28" s="8"/>
    </row>
    <row r="29">
      <c r="A29" s="8"/>
      <c r="B29" s="5"/>
      <c r="C29" s="6"/>
      <c r="D29" s="6"/>
      <c r="E29" s="5"/>
      <c r="F29" s="5"/>
      <c r="G29" s="6"/>
      <c r="H29" s="6"/>
      <c r="I29" s="6"/>
      <c r="J29" s="6"/>
      <c r="K29" s="6"/>
      <c r="L29" s="6"/>
      <c r="M29" s="6"/>
      <c r="N29" s="6"/>
      <c r="O29" s="6"/>
      <c r="P29" s="6"/>
      <c r="Q29" s="8"/>
    </row>
    <row r="30">
      <c r="A30" s="8"/>
      <c r="B30" s="5"/>
      <c r="C30" s="6"/>
      <c r="D30" s="6"/>
      <c r="E30" s="5"/>
      <c r="F30" s="5"/>
      <c r="G30" s="6"/>
      <c r="H30" s="6"/>
      <c r="I30" s="6"/>
      <c r="J30" s="6"/>
      <c r="K30" s="6"/>
      <c r="L30" s="6"/>
      <c r="M30" s="6"/>
      <c r="N30" s="6"/>
      <c r="O30" s="6"/>
      <c r="P30" s="6"/>
      <c r="Q30" s="8"/>
    </row>
    <row r="31">
      <c r="A31" s="8"/>
      <c r="B31" s="5"/>
      <c r="C31" s="6"/>
      <c r="D31" s="6"/>
      <c r="E31" s="5"/>
      <c r="F31" s="5"/>
      <c r="G31" s="6"/>
      <c r="H31" s="6"/>
      <c r="I31" s="6"/>
      <c r="J31" s="6"/>
      <c r="K31" s="6"/>
      <c r="L31" s="6"/>
      <c r="M31" s="6"/>
      <c r="N31" s="6"/>
      <c r="O31" s="6"/>
      <c r="P31" s="6"/>
      <c r="Q31" s="8"/>
    </row>
    <row r="32">
      <c r="A32" s="8"/>
      <c r="B32" s="5"/>
      <c r="C32" s="6"/>
      <c r="D32" s="6"/>
      <c r="E32" s="5"/>
      <c r="F32" s="5"/>
      <c r="G32" s="6"/>
      <c r="H32" s="6"/>
      <c r="I32" s="6"/>
      <c r="J32" s="6"/>
      <c r="K32" s="6"/>
      <c r="L32" s="6"/>
      <c r="M32" s="6"/>
      <c r="N32" s="6"/>
      <c r="O32" s="6"/>
      <c r="P32" s="6"/>
      <c r="Q32" s="8"/>
    </row>
    <row r="33">
      <c r="A33" s="8"/>
      <c r="B33" s="5"/>
      <c r="C33" s="6"/>
      <c r="D33" s="6"/>
      <c r="E33" s="5"/>
      <c r="F33" s="5"/>
      <c r="G33" s="6"/>
      <c r="H33" s="6"/>
      <c r="I33" s="6"/>
      <c r="J33" s="6"/>
      <c r="K33" s="6"/>
      <c r="L33" s="6"/>
      <c r="M33" s="6"/>
      <c r="N33" s="6"/>
      <c r="O33" s="6"/>
      <c r="P33" s="6"/>
      <c r="Q33" s="8"/>
    </row>
    <row r="34">
      <c r="A34" s="8"/>
      <c r="B34" s="5"/>
      <c r="C34" s="6"/>
      <c r="D34" s="6"/>
      <c r="E34" s="5"/>
      <c r="F34" s="5"/>
      <c r="G34" s="6"/>
      <c r="H34" s="6"/>
      <c r="I34" s="6"/>
      <c r="J34" s="6"/>
      <c r="K34" s="6"/>
      <c r="L34" s="6"/>
      <c r="M34" s="6"/>
      <c r="N34" s="6"/>
      <c r="O34" s="6"/>
      <c r="P34" s="6"/>
      <c r="Q34" s="8"/>
    </row>
    <row r="35">
      <c r="A35" s="8"/>
      <c r="B35" s="5"/>
      <c r="C35" s="6"/>
      <c r="D35" s="6"/>
      <c r="E35" s="5"/>
      <c r="F35" s="5"/>
      <c r="G35" s="6"/>
      <c r="H35" s="6"/>
      <c r="I35" s="6"/>
      <c r="J35" s="6"/>
      <c r="K35" s="6"/>
      <c r="L35" s="6"/>
      <c r="M35" s="6"/>
      <c r="N35" s="6"/>
      <c r="O35" s="6"/>
      <c r="P35" s="6"/>
      <c r="Q35" s="8"/>
    </row>
    <row r="36">
      <c r="A36" s="8"/>
      <c r="B36" s="5"/>
      <c r="C36" s="6"/>
      <c r="D36" s="6"/>
      <c r="E36" s="5"/>
      <c r="F36" s="5"/>
      <c r="G36" s="6"/>
      <c r="H36" s="6"/>
      <c r="I36" s="6"/>
      <c r="J36" s="6"/>
      <c r="K36" s="6"/>
      <c r="L36" s="6"/>
      <c r="M36" s="6"/>
      <c r="N36" s="6"/>
      <c r="O36" s="6"/>
      <c r="P36" s="6"/>
      <c r="Q36" s="8"/>
    </row>
    <row r="37">
      <c r="A37" s="8"/>
      <c r="B37" s="5"/>
      <c r="C37" s="6"/>
      <c r="D37" s="6"/>
      <c r="E37" s="5"/>
      <c r="F37" s="5"/>
      <c r="G37" s="6"/>
      <c r="H37" s="6"/>
      <c r="I37" s="6"/>
      <c r="J37" s="6"/>
      <c r="K37" s="6"/>
      <c r="L37" s="6"/>
      <c r="M37" s="6"/>
      <c r="N37" s="6"/>
      <c r="O37" s="6"/>
      <c r="P37" s="6"/>
      <c r="Q37" s="8"/>
    </row>
    <row r="38">
      <c r="A38" s="8"/>
      <c r="B38" s="5"/>
      <c r="C38" s="6"/>
      <c r="D38" s="6"/>
      <c r="E38" s="5"/>
      <c r="F38" s="5"/>
      <c r="G38" s="6"/>
      <c r="H38" s="6"/>
      <c r="I38" s="6"/>
      <c r="J38" s="6"/>
      <c r="K38" s="6"/>
      <c r="L38" s="6"/>
      <c r="M38" s="6"/>
      <c r="N38" s="6"/>
      <c r="O38" s="6"/>
      <c r="P38" s="6"/>
      <c r="Q38" s="8"/>
    </row>
    <row r="39">
      <c r="A39" s="8"/>
      <c r="B39" s="5"/>
      <c r="C39" s="6"/>
      <c r="D39" s="6"/>
      <c r="E39" s="5"/>
      <c r="F39" s="5"/>
      <c r="G39" s="6"/>
      <c r="H39" s="6"/>
      <c r="I39" s="6"/>
      <c r="J39" s="6"/>
      <c r="K39" s="6"/>
      <c r="L39" s="6"/>
      <c r="M39" s="6"/>
      <c r="N39" s="6"/>
      <c r="O39" s="6"/>
      <c r="P39" s="6"/>
      <c r="Q39" s="8"/>
    </row>
    <row r="40">
      <c r="A40" s="8"/>
      <c r="B40" s="5"/>
      <c r="C40" s="6"/>
      <c r="D40" s="6"/>
      <c r="E40" s="5"/>
      <c r="F40" s="5"/>
      <c r="G40" s="6"/>
      <c r="H40" s="6"/>
      <c r="I40" s="6"/>
      <c r="J40" s="6"/>
      <c r="K40" s="6"/>
      <c r="L40" s="6"/>
      <c r="M40" s="6"/>
      <c r="N40" s="6"/>
      <c r="O40" s="6"/>
      <c r="P40" s="6"/>
      <c r="Q40" s="8"/>
    </row>
    <row r="41">
      <c r="A41" s="8"/>
      <c r="B41" s="5"/>
      <c r="C41" s="6"/>
      <c r="D41" s="6"/>
      <c r="E41" s="5"/>
      <c r="F41" s="5"/>
      <c r="G41" s="6"/>
      <c r="H41" s="6"/>
      <c r="I41" s="6"/>
      <c r="J41" s="6"/>
      <c r="K41" s="6"/>
      <c r="L41" s="6"/>
      <c r="M41" s="6"/>
      <c r="N41" s="6"/>
      <c r="O41" s="6"/>
      <c r="P41" s="6"/>
      <c r="Q41" s="8"/>
    </row>
    <row r="42">
      <c r="A42" s="8"/>
      <c r="B42" s="5"/>
      <c r="C42" s="6"/>
      <c r="D42" s="6"/>
      <c r="E42" s="5"/>
      <c r="F42" s="5"/>
      <c r="G42" s="6"/>
      <c r="H42" s="6"/>
      <c r="I42" s="6"/>
      <c r="J42" s="6"/>
      <c r="K42" s="6"/>
      <c r="L42" s="6"/>
      <c r="M42" s="6"/>
      <c r="N42" s="6"/>
      <c r="O42" s="6"/>
      <c r="P42" s="6"/>
      <c r="Q42" s="8"/>
    </row>
    <row r="43">
      <c r="A43" s="8"/>
      <c r="B43" s="5"/>
      <c r="C43" s="6"/>
      <c r="D43" s="6"/>
      <c r="E43" s="5"/>
      <c r="F43" s="5"/>
      <c r="G43" s="6"/>
      <c r="H43" s="6"/>
      <c r="I43" s="6"/>
      <c r="J43" s="6"/>
      <c r="K43" s="6"/>
      <c r="L43" s="6"/>
      <c r="M43" s="6"/>
      <c r="N43" s="6"/>
      <c r="O43" s="6"/>
      <c r="P43" s="6"/>
      <c r="Q43" s="8"/>
    </row>
    <row r="44">
      <c r="A44" s="8"/>
      <c r="B44" s="5"/>
      <c r="C44" s="6"/>
      <c r="D44" s="6"/>
      <c r="E44" s="5"/>
      <c r="F44" s="5"/>
      <c r="G44" s="6"/>
      <c r="H44" s="6"/>
      <c r="I44" s="6"/>
      <c r="J44" s="6"/>
      <c r="K44" s="6"/>
      <c r="L44" s="6"/>
      <c r="M44" s="6"/>
      <c r="N44" s="6"/>
      <c r="O44" s="6"/>
      <c r="P44" s="6"/>
      <c r="Q44" s="8"/>
    </row>
    <row r="45">
      <c r="A45" s="8"/>
      <c r="B45" s="5"/>
      <c r="C45" s="6"/>
      <c r="D45" s="6"/>
      <c r="E45" s="5"/>
      <c r="F45" s="5"/>
      <c r="G45" s="6"/>
      <c r="H45" s="6"/>
      <c r="I45" s="6"/>
      <c r="J45" s="6"/>
      <c r="K45" s="6"/>
      <c r="L45" s="6"/>
      <c r="M45" s="6"/>
      <c r="N45" s="6"/>
      <c r="O45" s="6"/>
      <c r="P45" s="6"/>
      <c r="Q45" s="8"/>
    </row>
    <row r="46">
      <c r="A46" s="8"/>
      <c r="B46" s="5"/>
      <c r="C46" s="6"/>
      <c r="D46" s="6"/>
      <c r="E46" s="5"/>
      <c r="F46" s="5"/>
      <c r="G46" s="6"/>
      <c r="H46" s="6"/>
      <c r="I46" s="6"/>
      <c r="J46" s="6"/>
      <c r="K46" s="6"/>
      <c r="L46" s="6"/>
      <c r="M46" s="6"/>
      <c r="N46" s="6"/>
      <c r="O46" s="6"/>
      <c r="P46" s="6"/>
      <c r="Q46" s="8"/>
    </row>
    <row r="47">
      <c r="A47" s="8"/>
      <c r="B47" s="5"/>
      <c r="C47" s="6"/>
      <c r="D47" s="6"/>
      <c r="E47" s="5"/>
      <c r="F47" s="5"/>
      <c r="G47" s="6"/>
      <c r="H47" s="6"/>
      <c r="I47" s="6"/>
      <c r="J47" s="6"/>
      <c r="K47" s="6"/>
      <c r="L47" s="6"/>
      <c r="M47" s="6"/>
      <c r="N47" s="6"/>
      <c r="O47" s="6"/>
      <c r="P47" s="6"/>
      <c r="Q47" s="8"/>
    </row>
    <row r="48">
      <c r="A48" s="8"/>
      <c r="B48" s="5"/>
      <c r="C48" s="6"/>
      <c r="D48" s="6"/>
      <c r="E48" s="5"/>
      <c r="F48" s="5"/>
      <c r="G48" s="6"/>
      <c r="H48" s="6"/>
      <c r="I48" s="6"/>
      <c r="J48" s="6"/>
      <c r="K48" s="6"/>
      <c r="L48" s="6"/>
      <c r="M48" s="6"/>
      <c r="N48" s="6"/>
      <c r="O48" s="6"/>
      <c r="P48" s="6"/>
      <c r="Q48" s="8"/>
    </row>
    <row r="49">
      <c r="A49" s="8"/>
      <c r="B49" s="5"/>
      <c r="C49" s="6"/>
      <c r="D49" s="6"/>
      <c r="E49" s="5"/>
      <c r="F49" s="5"/>
      <c r="G49" s="6"/>
      <c r="H49" s="6"/>
      <c r="I49" s="6"/>
      <c r="J49" s="6"/>
      <c r="K49" s="6"/>
      <c r="L49" s="6"/>
      <c r="M49" s="6"/>
      <c r="N49" s="6"/>
      <c r="O49" s="6"/>
      <c r="P49" s="6"/>
      <c r="Q49" s="8"/>
    </row>
    <row r="50">
      <c r="A50" s="8"/>
      <c r="B50" s="5"/>
      <c r="C50" s="6"/>
      <c r="D50" s="6"/>
      <c r="E50" s="5"/>
      <c r="F50" s="5"/>
      <c r="G50" s="6"/>
      <c r="H50" s="6"/>
      <c r="I50" s="6"/>
      <c r="J50" s="6"/>
      <c r="K50" s="6"/>
      <c r="L50" s="6"/>
      <c r="M50" s="6"/>
      <c r="N50" s="6"/>
      <c r="O50" s="6"/>
      <c r="P50" s="6"/>
      <c r="Q50" s="8"/>
    </row>
    <row r="51">
      <c r="A51" s="8"/>
      <c r="B51" s="5"/>
      <c r="C51" s="6"/>
      <c r="D51" s="6"/>
      <c r="E51" s="5"/>
      <c r="F51" s="5"/>
      <c r="G51" s="6"/>
      <c r="H51" s="6"/>
      <c r="I51" s="6"/>
      <c r="J51" s="6"/>
      <c r="K51" s="6"/>
      <c r="L51" s="6"/>
      <c r="M51" s="6"/>
      <c r="N51" s="6"/>
      <c r="O51" s="6"/>
      <c r="P51" s="6"/>
      <c r="Q51" s="8"/>
    </row>
    <row r="52">
      <c r="A52" s="8"/>
      <c r="B52" s="5"/>
      <c r="C52" s="6"/>
      <c r="D52" s="6"/>
      <c r="E52" s="5"/>
      <c r="F52" s="5"/>
      <c r="G52" s="6"/>
      <c r="H52" s="6"/>
      <c r="I52" s="6"/>
      <c r="J52" s="6"/>
      <c r="K52" s="6"/>
      <c r="L52" s="6"/>
      <c r="M52" s="6"/>
      <c r="N52" s="6"/>
      <c r="O52" s="6"/>
      <c r="P52" s="6"/>
      <c r="Q52" s="8"/>
    </row>
    <row r="53">
      <c r="A53" s="8"/>
      <c r="B53" s="5"/>
      <c r="C53" s="6"/>
      <c r="D53" s="6"/>
      <c r="E53" s="5"/>
      <c r="F53" s="5"/>
      <c r="G53" s="6"/>
      <c r="H53" s="6"/>
      <c r="I53" s="6"/>
      <c r="J53" s="6"/>
      <c r="K53" s="6"/>
      <c r="L53" s="6"/>
      <c r="M53" s="6"/>
      <c r="N53" s="6"/>
      <c r="O53" s="6"/>
      <c r="P53" s="6"/>
      <c r="Q53" s="8"/>
    </row>
    <row r="54">
      <c r="A54" s="8"/>
      <c r="B54" s="5"/>
      <c r="C54" s="6"/>
      <c r="D54" s="6"/>
      <c r="E54" s="5"/>
      <c r="F54" s="5"/>
      <c r="G54" s="6"/>
      <c r="H54" s="6"/>
      <c r="I54" s="6"/>
      <c r="J54" s="6"/>
      <c r="K54" s="6"/>
      <c r="L54" s="6"/>
      <c r="M54" s="6"/>
      <c r="N54" s="6"/>
      <c r="O54" s="6"/>
      <c r="P54" s="6"/>
      <c r="Q54" s="8"/>
    </row>
    <row r="55">
      <c r="A55" s="8"/>
      <c r="B55" s="5"/>
      <c r="C55" s="6"/>
      <c r="D55" s="6"/>
      <c r="E55" s="5"/>
      <c r="F55" s="5"/>
      <c r="G55" s="6"/>
      <c r="H55" s="6"/>
      <c r="I55" s="6"/>
      <c r="J55" s="6"/>
      <c r="K55" s="6"/>
      <c r="L55" s="6"/>
      <c r="M55" s="6"/>
      <c r="N55" s="6"/>
      <c r="O55" s="6"/>
      <c r="P55" s="6"/>
      <c r="Q55" s="8"/>
    </row>
    <row r="56">
      <c r="A56" s="8"/>
      <c r="B56" s="5"/>
      <c r="C56" s="6"/>
      <c r="D56" s="6"/>
      <c r="E56" s="5"/>
      <c r="F56" s="5"/>
      <c r="G56" s="6"/>
      <c r="H56" s="6"/>
      <c r="I56" s="6"/>
      <c r="J56" s="6"/>
      <c r="K56" s="6"/>
      <c r="L56" s="6"/>
      <c r="M56" s="6"/>
      <c r="N56" s="6"/>
      <c r="O56" s="6"/>
      <c r="P56" s="6"/>
      <c r="Q56" s="8"/>
    </row>
    <row r="57">
      <c r="A57" s="8"/>
      <c r="B57" s="5"/>
      <c r="C57" s="6"/>
      <c r="D57" s="6"/>
      <c r="E57" s="5"/>
      <c r="F57" s="5"/>
      <c r="G57" s="6"/>
      <c r="H57" s="6"/>
      <c r="I57" s="6"/>
      <c r="J57" s="6"/>
      <c r="K57" s="6"/>
      <c r="L57" s="6"/>
      <c r="M57" s="6"/>
      <c r="N57" s="6"/>
      <c r="O57" s="6"/>
      <c r="P57" s="6"/>
      <c r="Q57" s="8"/>
    </row>
    <row r="58">
      <c r="A58" s="8"/>
      <c r="B58" s="5"/>
      <c r="C58" s="6"/>
      <c r="D58" s="6"/>
      <c r="E58" s="5"/>
      <c r="F58" s="5"/>
      <c r="G58" s="6"/>
      <c r="H58" s="6"/>
      <c r="I58" s="6"/>
      <c r="J58" s="6"/>
      <c r="K58" s="6"/>
      <c r="L58" s="6"/>
      <c r="M58" s="6"/>
      <c r="N58" s="6"/>
      <c r="O58" s="6"/>
      <c r="P58" s="6"/>
      <c r="Q58" s="8"/>
    </row>
    <row r="59">
      <c r="A59" s="8"/>
      <c r="B59" s="5"/>
      <c r="C59" s="6"/>
      <c r="D59" s="6"/>
      <c r="E59" s="5"/>
      <c r="F59" s="5"/>
      <c r="G59" s="6"/>
      <c r="H59" s="6"/>
      <c r="I59" s="6"/>
      <c r="J59" s="6"/>
      <c r="K59" s="6"/>
      <c r="L59" s="6"/>
      <c r="M59" s="6"/>
      <c r="N59" s="6"/>
      <c r="O59" s="6"/>
      <c r="P59" s="6"/>
      <c r="Q59" s="8"/>
    </row>
    <row r="60">
      <c r="A60" s="8"/>
      <c r="B60" s="5"/>
      <c r="C60" s="6"/>
      <c r="D60" s="6"/>
      <c r="E60" s="5"/>
      <c r="F60" s="5"/>
      <c r="G60" s="6"/>
      <c r="H60" s="6"/>
      <c r="I60" s="6"/>
      <c r="J60" s="6"/>
      <c r="K60" s="6"/>
      <c r="L60" s="6"/>
      <c r="M60" s="6"/>
      <c r="N60" s="6"/>
      <c r="O60" s="6"/>
      <c r="P60" s="6"/>
      <c r="Q60" s="8"/>
    </row>
    <row r="61">
      <c r="A61" s="8"/>
      <c r="B61" s="5"/>
      <c r="C61" s="6"/>
      <c r="D61" s="6"/>
      <c r="E61" s="5"/>
      <c r="F61" s="5"/>
      <c r="G61" s="6"/>
      <c r="H61" s="6"/>
      <c r="I61" s="6"/>
      <c r="J61" s="6"/>
      <c r="K61" s="6"/>
      <c r="L61" s="6"/>
      <c r="M61" s="6"/>
      <c r="N61" s="6"/>
      <c r="O61" s="6"/>
      <c r="P61" s="6"/>
      <c r="Q61" s="8"/>
    </row>
    <row r="62">
      <c r="A62" s="8"/>
      <c r="B62" s="5"/>
      <c r="C62" s="6"/>
      <c r="D62" s="6"/>
      <c r="E62" s="5"/>
      <c r="F62" s="5"/>
      <c r="G62" s="6"/>
      <c r="H62" s="6"/>
      <c r="I62" s="6"/>
      <c r="J62" s="6"/>
      <c r="K62" s="6"/>
      <c r="L62" s="6"/>
      <c r="M62" s="6"/>
      <c r="N62" s="6"/>
      <c r="O62" s="6"/>
      <c r="P62" s="6"/>
      <c r="Q62" s="8"/>
    </row>
    <row r="63">
      <c r="A63" s="8"/>
      <c r="B63" s="5"/>
      <c r="C63" s="6"/>
      <c r="D63" s="6"/>
      <c r="E63" s="5"/>
      <c r="F63" s="5"/>
      <c r="G63" s="6"/>
      <c r="H63" s="6"/>
      <c r="I63" s="6"/>
      <c r="J63" s="6"/>
      <c r="K63" s="6"/>
      <c r="L63" s="6"/>
      <c r="M63" s="6"/>
      <c r="N63" s="6"/>
      <c r="O63" s="6"/>
      <c r="P63" s="6"/>
      <c r="Q63" s="8"/>
    </row>
    <row r="64">
      <c r="A64" s="8"/>
      <c r="B64" s="5"/>
      <c r="C64" s="6"/>
      <c r="D64" s="6"/>
      <c r="E64" s="5"/>
      <c r="F64" s="5"/>
      <c r="G64" s="6"/>
      <c r="H64" s="6"/>
      <c r="I64" s="6"/>
      <c r="J64" s="6"/>
      <c r="K64" s="6"/>
      <c r="L64" s="6"/>
      <c r="M64" s="6"/>
      <c r="N64" s="6"/>
      <c r="O64" s="6"/>
      <c r="P64" s="6"/>
      <c r="Q64" s="8"/>
    </row>
    <row r="65">
      <c r="A65" s="8"/>
      <c r="B65" s="5"/>
      <c r="C65" s="6"/>
      <c r="D65" s="6"/>
      <c r="E65" s="5"/>
      <c r="F65" s="5"/>
      <c r="G65" s="6"/>
      <c r="H65" s="6"/>
      <c r="I65" s="6"/>
      <c r="J65" s="6"/>
      <c r="K65" s="6"/>
      <c r="L65" s="6"/>
      <c r="M65" s="6"/>
      <c r="N65" s="6"/>
      <c r="O65" s="6"/>
      <c r="P65" s="6"/>
      <c r="Q65" s="8"/>
    </row>
    <row r="66">
      <c r="A66" s="8"/>
      <c r="B66" s="5"/>
      <c r="C66" s="6"/>
      <c r="D66" s="6"/>
      <c r="E66" s="5"/>
      <c r="F66" s="5"/>
      <c r="G66" s="6"/>
      <c r="H66" s="6"/>
      <c r="I66" s="6"/>
      <c r="J66" s="6"/>
      <c r="K66" s="6"/>
      <c r="L66" s="6"/>
      <c r="M66" s="6"/>
      <c r="N66" s="6"/>
      <c r="O66" s="6"/>
      <c r="P66" s="6"/>
      <c r="Q66" s="8"/>
    </row>
    <row r="67">
      <c r="A67" s="8"/>
      <c r="B67" s="5"/>
      <c r="C67" s="6"/>
      <c r="D67" s="6"/>
      <c r="E67" s="5"/>
      <c r="F67" s="5"/>
      <c r="G67" s="6"/>
      <c r="H67" s="6"/>
      <c r="I67" s="6"/>
      <c r="J67" s="6"/>
      <c r="K67" s="6"/>
      <c r="L67" s="6"/>
      <c r="M67" s="6"/>
      <c r="N67" s="6"/>
      <c r="O67" s="6"/>
      <c r="P67" s="6"/>
      <c r="Q67" s="8"/>
    </row>
    <row r="68">
      <c r="A68" s="8"/>
      <c r="B68" s="5"/>
      <c r="C68" s="6"/>
      <c r="D68" s="6"/>
      <c r="E68" s="5"/>
      <c r="F68" s="5"/>
      <c r="G68" s="6"/>
      <c r="H68" s="6"/>
      <c r="I68" s="6"/>
      <c r="J68" s="6"/>
      <c r="K68" s="6"/>
      <c r="L68" s="6"/>
      <c r="M68" s="6"/>
      <c r="N68" s="6"/>
      <c r="O68" s="6"/>
      <c r="P68" s="6"/>
      <c r="Q68" s="8"/>
    </row>
    <row r="69">
      <c r="A69" s="8"/>
      <c r="B69" s="5"/>
      <c r="C69" s="6"/>
      <c r="D69" s="6"/>
      <c r="E69" s="5"/>
      <c r="F69" s="5"/>
      <c r="G69" s="6"/>
      <c r="H69" s="6"/>
      <c r="I69" s="6"/>
      <c r="J69" s="6"/>
      <c r="K69" s="6"/>
      <c r="L69" s="6"/>
      <c r="M69" s="6"/>
      <c r="N69" s="6"/>
      <c r="O69" s="6"/>
      <c r="P69" s="6"/>
      <c r="Q69" s="8"/>
    </row>
    <row r="70">
      <c r="A70" s="8"/>
      <c r="B70" s="5"/>
      <c r="C70" s="6"/>
      <c r="D70" s="6"/>
      <c r="E70" s="5"/>
      <c r="F70" s="5"/>
      <c r="G70" s="6"/>
      <c r="H70" s="6"/>
      <c r="I70" s="6"/>
      <c r="J70" s="6"/>
      <c r="K70" s="6"/>
      <c r="L70" s="6"/>
      <c r="M70" s="6"/>
      <c r="N70" s="6"/>
      <c r="O70" s="6"/>
      <c r="P70" s="6"/>
      <c r="Q70" s="8"/>
    </row>
    <row r="71">
      <c r="A71" s="8"/>
      <c r="B71" s="5"/>
      <c r="C71" s="6"/>
      <c r="D71" s="6"/>
      <c r="E71" s="5"/>
      <c r="F71" s="5"/>
      <c r="G71" s="6"/>
      <c r="H71" s="6"/>
      <c r="I71" s="6"/>
      <c r="J71" s="6"/>
      <c r="K71" s="6"/>
      <c r="L71" s="6"/>
      <c r="M71" s="6"/>
      <c r="N71" s="6"/>
      <c r="O71" s="6"/>
      <c r="P71" s="6"/>
      <c r="Q71" s="8"/>
    </row>
    <row r="72">
      <c r="A72" s="8"/>
      <c r="B72" s="5"/>
      <c r="C72" s="6"/>
      <c r="D72" s="6"/>
      <c r="E72" s="5"/>
      <c r="F72" s="5"/>
      <c r="G72" s="6"/>
      <c r="H72" s="6"/>
      <c r="I72" s="6"/>
      <c r="J72" s="6"/>
      <c r="K72" s="6"/>
      <c r="L72" s="6"/>
      <c r="M72" s="6"/>
      <c r="N72" s="6"/>
      <c r="O72" s="6"/>
      <c r="P72" s="6"/>
      <c r="Q72" s="8"/>
    </row>
    <row r="73">
      <c r="A73" s="8"/>
      <c r="B73" s="5"/>
      <c r="C73" s="6"/>
      <c r="D73" s="6"/>
      <c r="E73" s="5"/>
      <c r="F73" s="5"/>
      <c r="G73" s="6"/>
      <c r="H73" s="6"/>
      <c r="I73" s="6"/>
      <c r="J73" s="6"/>
      <c r="K73" s="6"/>
      <c r="L73" s="6"/>
      <c r="M73" s="6"/>
      <c r="N73" s="6"/>
      <c r="O73" s="6"/>
      <c r="P73" s="6"/>
      <c r="Q73" s="8"/>
    </row>
    <row r="74">
      <c r="A74" s="8"/>
      <c r="B74" s="5"/>
      <c r="C74" s="6"/>
      <c r="D74" s="6"/>
      <c r="E74" s="5"/>
      <c r="F74" s="5"/>
      <c r="G74" s="6"/>
      <c r="H74" s="6"/>
      <c r="I74" s="6"/>
      <c r="J74" s="6"/>
      <c r="K74" s="6"/>
      <c r="L74" s="6"/>
      <c r="M74" s="6"/>
      <c r="N74" s="6"/>
      <c r="O74" s="6"/>
      <c r="P74" s="6"/>
      <c r="Q74" s="8"/>
    </row>
    <row r="75">
      <c r="A75" s="8"/>
      <c r="B75" s="5"/>
      <c r="C75" s="6"/>
      <c r="D75" s="6"/>
      <c r="E75" s="5"/>
      <c r="F75" s="5"/>
      <c r="G75" s="6"/>
      <c r="H75" s="6"/>
      <c r="I75" s="6"/>
      <c r="J75" s="6"/>
      <c r="K75" s="6"/>
      <c r="L75" s="6"/>
      <c r="M75" s="6"/>
      <c r="N75" s="6"/>
      <c r="O75" s="6"/>
      <c r="P75" s="6"/>
      <c r="Q75" s="8"/>
    </row>
    <row r="76">
      <c r="A76" s="8"/>
      <c r="B76" s="5"/>
      <c r="C76" s="6"/>
      <c r="D76" s="6"/>
      <c r="E76" s="5"/>
      <c r="F76" s="5"/>
      <c r="G76" s="6"/>
      <c r="H76" s="6"/>
      <c r="I76" s="6"/>
      <c r="J76" s="6"/>
      <c r="K76" s="6"/>
      <c r="L76" s="6"/>
      <c r="M76" s="6"/>
      <c r="N76" s="6"/>
      <c r="O76" s="6"/>
      <c r="P76" s="6"/>
      <c r="Q76" s="8"/>
    </row>
    <row r="77">
      <c r="A77" s="8"/>
      <c r="B77" s="5"/>
      <c r="C77" s="6"/>
      <c r="D77" s="6"/>
      <c r="E77" s="5"/>
      <c r="F77" s="5"/>
      <c r="G77" s="6"/>
      <c r="H77" s="6"/>
      <c r="I77" s="6"/>
      <c r="J77" s="6"/>
      <c r="K77" s="6"/>
      <c r="L77" s="6"/>
      <c r="M77" s="6"/>
      <c r="N77" s="6"/>
      <c r="O77" s="6"/>
      <c r="P77" s="6"/>
      <c r="Q77" s="8"/>
    </row>
    <row r="78">
      <c r="A78" s="8"/>
      <c r="B78" s="5"/>
      <c r="C78" s="6"/>
      <c r="D78" s="6"/>
      <c r="E78" s="5"/>
      <c r="F78" s="5"/>
      <c r="G78" s="6"/>
      <c r="H78" s="6"/>
      <c r="I78" s="6"/>
      <c r="J78" s="6"/>
      <c r="K78" s="6"/>
      <c r="L78" s="6"/>
      <c r="M78" s="6"/>
      <c r="N78" s="6"/>
      <c r="O78" s="6"/>
      <c r="P78" s="6"/>
      <c r="Q78" s="8"/>
    </row>
    <row r="79">
      <c r="A79" s="8"/>
      <c r="B79" s="5"/>
      <c r="C79" s="6"/>
      <c r="D79" s="6"/>
      <c r="E79" s="5"/>
      <c r="F79" s="5"/>
      <c r="G79" s="6"/>
      <c r="H79" s="6"/>
      <c r="I79" s="6"/>
      <c r="J79" s="6"/>
      <c r="K79" s="6"/>
      <c r="L79" s="6"/>
      <c r="M79" s="6"/>
      <c r="N79" s="6"/>
      <c r="O79" s="6"/>
      <c r="P79" s="6"/>
      <c r="Q79" s="8"/>
    </row>
    <row r="80">
      <c r="A80" s="8"/>
      <c r="B80" s="5"/>
      <c r="C80" s="6"/>
      <c r="D80" s="6"/>
      <c r="E80" s="5"/>
      <c r="F80" s="5"/>
      <c r="G80" s="6"/>
      <c r="H80" s="6"/>
      <c r="I80" s="6"/>
      <c r="J80" s="6"/>
      <c r="K80" s="6"/>
      <c r="L80" s="6"/>
      <c r="M80" s="6"/>
      <c r="N80" s="6"/>
      <c r="O80" s="6"/>
      <c r="P80" s="6"/>
      <c r="Q80" s="8"/>
    </row>
    <row r="81">
      <c r="A81" s="8"/>
      <c r="B81" s="5"/>
      <c r="C81" s="6"/>
      <c r="D81" s="6"/>
      <c r="E81" s="5"/>
      <c r="F81" s="5"/>
      <c r="G81" s="6"/>
      <c r="H81" s="6"/>
      <c r="I81" s="6"/>
      <c r="J81" s="6"/>
      <c r="K81" s="6"/>
      <c r="L81" s="6"/>
      <c r="M81" s="6"/>
      <c r="N81" s="6"/>
      <c r="O81" s="6"/>
      <c r="P81" s="6"/>
      <c r="Q81" s="8"/>
    </row>
    <row r="82">
      <c r="A82" s="8"/>
      <c r="B82" s="5"/>
      <c r="C82" s="6"/>
      <c r="D82" s="6"/>
      <c r="E82" s="5"/>
      <c r="F82" s="5"/>
      <c r="G82" s="6"/>
      <c r="H82" s="6"/>
      <c r="I82" s="6"/>
      <c r="J82" s="6"/>
      <c r="K82" s="6"/>
      <c r="L82" s="6"/>
      <c r="M82" s="6"/>
      <c r="N82" s="6"/>
      <c r="O82" s="6"/>
      <c r="P82" s="6"/>
      <c r="Q82" s="8"/>
    </row>
    <row r="83">
      <c r="A83" s="8"/>
      <c r="B83" s="5"/>
      <c r="C83" s="6"/>
      <c r="D83" s="6"/>
      <c r="E83" s="5"/>
      <c r="F83" s="5"/>
      <c r="G83" s="6"/>
      <c r="H83" s="6"/>
      <c r="I83" s="6"/>
      <c r="J83" s="6"/>
      <c r="K83" s="6"/>
      <c r="L83" s="6"/>
      <c r="M83" s="6"/>
      <c r="N83" s="6"/>
      <c r="O83" s="6"/>
      <c r="P83" s="6"/>
      <c r="Q83" s="8"/>
    </row>
    <row r="84">
      <c r="A84" s="8"/>
      <c r="B84" s="5"/>
      <c r="C84" s="6"/>
      <c r="D84" s="6"/>
      <c r="E84" s="5"/>
      <c r="F84" s="5"/>
      <c r="G84" s="6"/>
      <c r="H84" s="6"/>
      <c r="I84" s="6"/>
      <c r="J84" s="6"/>
      <c r="K84" s="6"/>
      <c r="L84" s="6"/>
      <c r="M84" s="6"/>
      <c r="N84" s="6"/>
      <c r="O84" s="6"/>
      <c r="P84" s="6"/>
      <c r="Q84" s="8"/>
    </row>
    <row r="85">
      <c r="A85" s="8"/>
      <c r="B85" s="5"/>
      <c r="C85" s="6"/>
      <c r="D85" s="6"/>
      <c r="E85" s="5"/>
      <c r="F85" s="5"/>
      <c r="G85" s="6"/>
      <c r="H85" s="6"/>
      <c r="I85" s="6"/>
      <c r="J85" s="6"/>
      <c r="K85" s="6"/>
      <c r="L85" s="6"/>
      <c r="M85" s="6"/>
      <c r="N85" s="6"/>
      <c r="O85" s="6"/>
      <c r="P85" s="6"/>
      <c r="Q85" s="8"/>
    </row>
    <row r="86">
      <c r="A86" s="8"/>
      <c r="B86" s="5"/>
      <c r="C86" s="6"/>
      <c r="D86" s="6"/>
      <c r="E86" s="5"/>
      <c r="F86" s="5"/>
      <c r="G86" s="6"/>
      <c r="H86" s="6"/>
      <c r="I86" s="6"/>
      <c r="J86" s="6"/>
      <c r="K86" s="6"/>
      <c r="L86" s="6"/>
      <c r="M86" s="6"/>
      <c r="N86" s="6"/>
      <c r="O86" s="6"/>
      <c r="P86" s="6"/>
      <c r="Q86" s="8"/>
    </row>
    <row r="87">
      <c r="A87" s="8"/>
      <c r="B87" s="5"/>
      <c r="C87" s="6"/>
      <c r="D87" s="6"/>
      <c r="E87" s="5"/>
      <c r="F87" s="5"/>
      <c r="G87" s="6"/>
      <c r="H87" s="6"/>
      <c r="I87" s="6"/>
      <c r="J87" s="6"/>
      <c r="K87" s="6"/>
      <c r="L87" s="6"/>
      <c r="M87" s="6"/>
      <c r="N87" s="6"/>
      <c r="O87" s="6"/>
      <c r="P87" s="6"/>
      <c r="Q87" s="8"/>
    </row>
    <row r="88">
      <c r="A88" s="8"/>
      <c r="B88" s="5"/>
      <c r="C88" s="6"/>
      <c r="D88" s="6"/>
      <c r="E88" s="5"/>
      <c r="F88" s="5"/>
      <c r="G88" s="6"/>
      <c r="H88" s="6"/>
      <c r="I88" s="6"/>
      <c r="J88" s="6"/>
      <c r="K88" s="6"/>
      <c r="L88" s="6"/>
      <c r="M88" s="6"/>
      <c r="N88" s="6"/>
      <c r="O88" s="6"/>
      <c r="P88" s="6"/>
      <c r="Q88" s="8"/>
    </row>
    <row r="89">
      <c r="A89" s="8"/>
      <c r="B89" s="5"/>
      <c r="C89" s="6"/>
      <c r="D89" s="6"/>
      <c r="E89" s="5"/>
      <c r="F89" s="5"/>
      <c r="G89" s="6"/>
      <c r="H89" s="6"/>
      <c r="I89" s="6"/>
      <c r="J89" s="6"/>
      <c r="K89" s="6"/>
      <c r="L89" s="6"/>
      <c r="M89" s="6"/>
      <c r="N89" s="6"/>
      <c r="O89" s="6"/>
      <c r="P89" s="6"/>
      <c r="Q89" s="8"/>
    </row>
    <row r="90">
      <c r="A90" s="8"/>
      <c r="B90" s="5"/>
      <c r="C90" s="6"/>
      <c r="D90" s="6"/>
      <c r="E90" s="5"/>
      <c r="F90" s="5"/>
      <c r="G90" s="6"/>
      <c r="H90" s="6"/>
      <c r="I90" s="6"/>
      <c r="J90" s="6"/>
      <c r="K90" s="6"/>
      <c r="L90" s="6"/>
      <c r="M90" s="6"/>
      <c r="N90" s="6"/>
      <c r="O90" s="6"/>
      <c r="P90" s="6"/>
      <c r="Q90" s="8"/>
    </row>
    <row r="91">
      <c r="A91" s="8"/>
      <c r="B91" s="5"/>
      <c r="C91" s="6"/>
      <c r="D91" s="6"/>
      <c r="E91" s="5"/>
      <c r="F91" s="5"/>
      <c r="G91" s="6"/>
      <c r="H91" s="6"/>
      <c r="I91" s="6"/>
      <c r="J91" s="6"/>
      <c r="K91" s="6"/>
      <c r="L91" s="6"/>
      <c r="M91" s="6"/>
      <c r="N91" s="6"/>
      <c r="O91" s="6"/>
      <c r="P91" s="6"/>
      <c r="Q91" s="8"/>
    </row>
    <row r="92">
      <c r="A92" s="8"/>
      <c r="B92" s="5"/>
      <c r="C92" s="6"/>
      <c r="D92" s="6"/>
      <c r="E92" s="5"/>
      <c r="F92" s="5"/>
      <c r="G92" s="6"/>
      <c r="H92" s="6"/>
      <c r="I92" s="6"/>
      <c r="J92" s="6"/>
      <c r="K92" s="6"/>
      <c r="L92" s="6"/>
      <c r="M92" s="6"/>
      <c r="N92" s="6"/>
      <c r="O92" s="6"/>
      <c r="P92" s="6"/>
      <c r="Q92" s="8"/>
    </row>
    <row r="93">
      <c r="A93" s="8"/>
      <c r="B93" s="5"/>
      <c r="C93" s="6"/>
      <c r="D93" s="6"/>
      <c r="E93" s="5"/>
      <c r="F93" s="5"/>
      <c r="G93" s="6"/>
      <c r="H93" s="6"/>
      <c r="I93" s="6"/>
      <c r="J93" s="6"/>
      <c r="K93" s="6"/>
      <c r="L93" s="6"/>
      <c r="M93" s="6"/>
      <c r="N93" s="6"/>
      <c r="O93" s="6"/>
      <c r="P93" s="6"/>
      <c r="Q93" s="8"/>
    </row>
    <row r="94">
      <c r="A94" s="8"/>
      <c r="B94" s="5"/>
      <c r="C94" s="6"/>
      <c r="D94" s="6"/>
      <c r="E94" s="5"/>
      <c r="F94" s="5"/>
      <c r="G94" s="6"/>
      <c r="H94" s="6"/>
      <c r="I94" s="6"/>
      <c r="J94" s="6"/>
      <c r="K94" s="6"/>
      <c r="L94" s="6"/>
      <c r="M94" s="6"/>
      <c r="N94" s="6"/>
      <c r="O94" s="6"/>
      <c r="P94" s="6"/>
      <c r="Q94" s="8"/>
    </row>
    <row r="95">
      <c r="A95" s="8"/>
      <c r="B95" s="5"/>
      <c r="C95" s="6"/>
      <c r="D95" s="6"/>
      <c r="E95" s="5"/>
      <c r="F95" s="5"/>
      <c r="G95" s="6"/>
      <c r="H95" s="6"/>
      <c r="I95" s="6"/>
      <c r="J95" s="6"/>
      <c r="K95" s="6"/>
      <c r="L95" s="6"/>
      <c r="M95" s="6"/>
      <c r="N95" s="6"/>
      <c r="O95" s="6"/>
      <c r="P95" s="6"/>
      <c r="Q95" s="8"/>
    </row>
    <row r="96">
      <c r="A96" s="8"/>
      <c r="B96" s="5"/>
      <c r="C96" s="6"/>
      <c r="D96" s="6"/>
      <c r="E96" s="5"/>
      <c r="F96" s="5"/>
      <c r="G96" s="6"/>
      <c r="H96" s="6"/>
      <c r="I96" s="6"/>
      <c r="J96" s="6"/>
      <c r="K96" s="6"/>
      <c r="L96" s="6"/>
      <c r="M96" s="6"/>
      <c r="N96" s="6"/>
      <c r="O96" s="6"/>
      <c r="P96" s="6"/>
      <c r="Q96" s="8"/>
    </row>
    <row r="97">
      <c r="A97" s="8"/>
      <c r="B97" s="5"/>
      <c r="C97" s="6"/>
      <c r="D97" s="6"/>
      <c r="E97" s="5"/>
      <c r="F97" s="5"/>
      <c r="G97" s="6"/>
      <c r="H97" s="6"/>
      <c r="I97" s="6"/>
      <c r="J97" s="6"/>
      <c r="K97" s="6"/>
      <c r="L97" s="6"/>
      <c r="M97" s="6"/>
      <c r="N97" s="6"/>
      <c r="O97" s="6"/>
      <c r="P97" s="6"/>
      <c r="Q97" s="8"/>
    </row>
    <row r="98">
      <c r="A98" s="8"/>
      <c r="B98" s="5"/>
      <c r="C98" s="6"/>
      <c r="D98" s="6"/>
      <c r="E98" s="5"/>
      <c r="F98" s="5"/>
      <c r="G98" s="6"/>
      <c r="H98" s="6"/>
      <c r="I98" s="6"/>
      <c r="J98" s="6"/>
      <c r="K98" s="6"/>
      <c r="L98" s="6"/>
      <c r="M98" s="6"/>
      <c r="N98" s="6"/>
      <c r="O98" s="6"/>
      <c r="P98" s="6"/>
      <c r="Q98" s="8"/>
    </row>
    <row r="99">
      <c r="A99" s="8"/>
      <c r="B99" s="5"/>
      <c r="C99" s="6"/>
      <c r="D99" s="6"/>
      <c r="E99" s="5"/>
      <c r="F99" s="5"/>
      <c r="G99" s="6"/>
      <c r="H99" s="6"/>
      <c r="I99" s="6"/>
      <c r="J99" s="6"/>
      <c r="K99" s="6"/>
      <c r="L99" s="6"/>
      <c r="M99" s="6"/>
      <c r="N99" s="6"/>
      <c r="O99" s="6"/>
      <c r="P99" s="6"/>
      <c r="Q99" s="8"/>
    </row>
  </sheetData>
  <conditionalFormatting sqref="C2:D99">
    <cfRule type="containsText" dxfId="0" priority="1" operator="containsText" text="Présent">
      <formula>NOT(ISERROR(SEARCH(("Présent"),(C2))))</formula>
    </cfRule>
  </conditionalFormatting>
  <hyperlinks>
    <hyperlink r:id="rId1" ref="Q5"/>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6.5"/>
    <col customWidth="1" min="2" max="2" width="94.25"/>
  </cols>
  <sheetData>
    <row r="1">
      <c r="A1" s="11" t="s">
        <v>0</v>
      </c>
      <c r="B1" s="11"/>
    </row>
    <row r="2">
      <c r="A2" s="12" t="s">
        <v>1</v>
      </c>
      <c r="B2" s="12" t="s">
        <v>2</v>
      </c>
    </row>
    <row r="3">
      <c r="A3" s="13" t="s">
        <v>3</v>
      </c>
      <c r="B3" s="14"/>
    </row>
    <row r="4">
      <c r="A4" s="13"/>
      <c r="B4" s="13" t="s">
        <v>4</v>
      </c>
    </row>
    <row r="5">
      <c r="A5" s="13"/>
      <c r="B5" s="11" t="s">
        <v>5</v>
      </c>
    </row>
    <row r="6">
      <c r="A6" s="13"/>
      <c r="B6" s="13" t="s">
        <v>6</v>
      </c>
    </row>
    <row r="7">
      <c r="A7" s="13" t="s">
        <v>7</v>
      </c>
      <c r="B7" s="14"/>
    </row>
    <row r="8">
      <c r="A8" s="13"/>
      <c r="B8" s="13" t="s">
        <v>8</v>
      </c>
    </row>
    <row r="9">
      <c r="A9" s="13"/>
      <c r="B9" s="14"/>
    </row>
    <row r="10">
      <c r="A10" s="13"/>
      <c r="B10" s="14"/>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45.63"/>
  </cols>
  <sheetData>
    <row r="1">
      <c r="A1" s="15" t="s">
        <v>9</v>
      </c>
      <c r="B1" s="16" t="s">
        <v>10</v>
      </c>
    </row>
    <row r="2">
      <c r="A2" s="17">
        <v>44932.0</v>
      </c>
      <c r="B2" s="18" t="s">
        <v>11</v>
      </c>
    </row>
    <row r="3">
      <c r="A3" s="17">
        <v>44915.0</v>
      </c>
      <c r="B3" s="18" t="s">
        <v>12</v>
      </c>
    </row>
    <row r="4">
      <c r="A4" s="17">
        <v>44915.0</v>
      </c>
      <c r="B4" s="18" t="s">
        <v>13</v>
      </c>
    </row>
  </sheetData>
  <drawing r:id="rId1"/>
  <tableParts count="1">
    <tablePart r:id="rId3"/>
  </tableParts>
</worksheet>
</file>