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 Rotation" sheetId="1" r:id="rId3"/>
    <sheet state="visible" name="Upcoming Next" sheetId="2" r:id="rId4"/>
    <sheet state="visible" name="Upcoming Sooner" sheetId="3" r:id="rId5"/>
    <sheet state="visible" name="Upcoming Later" sheetId="4" r:id="rId6"/>
    <sheet state="visible" name="Upcoming Later still" sheetId="5" r:id="rId7"/>
    <sheet state="visible" name="41-51F" sheetId="6" r:id="rId8"/>
    <sheet state="visible" name="TENGOKU (52F+)" sheetId="7" r:id="rId9"/>
    <sheet state="visible" name="Scaling " sheetId="8" r:id="rId10"/>
    <sheet state="visible" name="Express Login" sheetId="9" r:id="rId11"/>
    <sheet state="visible" name="Floor_data" sheetId="10" r:id="rId12"/>
    <sheet state="visible" name="Sources &amp; Help" sheetId="11" r:id="rId13"/>
  </sheets>
  <definedNames>
    <definedName hidden="1" localSheetId="0" name="Z_E14388D8_62FF_4A1F_A3D9_15D54481802D_.wvu.FilterData">#REF!</definedName>
  </definedNames>
  <calcPr/>
  <customWorkbookViews>
    <customWorkbookView activeSheetId="0" maximized="1" windowHeight="0" windowWidth="0" guid="{E14388D8-62FF-4A1F-A3D9-15D54481802D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">
      <text>
        <t xml:space="preserve">Purple = Main Elevator floor
Black = Non-rotating floor
Colored = Rotation exclusive floor
Gold = Forcemen floor</t>
      </text>
    </comment>
    <comment authorId="0" ref="D3">
      <text>
        <t xml:space="preserve">M = Main Elevator
44CE = Forcemen Floor
Mainly labeled for formatting purposes.</t>
      </text>
    </comment>
    <comment authorId="0" ref="H3">
      <text>
        <t xml:space="preserve">Type of material in this area.
An × mark means there are none.</t>
      </text>
    </comment>
    <comment authorId="0" ref="I3">
      <text>
        <t xml:space="preserve">Possible Gyakufunsha shop location.
The shop will not move or restock the inventory for one hour after you first find it.</t>
      </text>
    </comment>
    <comment authorId="0" ref="J3">
      <text>
        <t xml:space="preserve">Metal drop not guaranteed. Must return to the Waiting Room to reset bosses.</t>
      </text>
    </comment>
    <comment authorId="0" ref="E4">
      <text>
        <t xml:space="preserve">Yotsuyama Bionics Catalogue.
1 and 2 are obtained from the start, 6 is Monday exclusive.</t>
      </text>
    </comment>
    <comment authorId="0" ref="F4">
      <text>
        <t xml:space="preserve">"Tales from the Barbs" pages.
It lists the volume and the page.</t>
      </text>
    </comment>
    <comment authorId="0" ref="G4">
      <text>
        <t xml:space="preserve">Stamps for the Stamp Rally.
The number of the stamp is the same as the number of the floor. The location is randomized within the area.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">
      <text>
        <t xml:space="preserve">Purple = Main Elevator floor
Black = Non-rotating floor
Colored = Rotation exclusive floor
Gold = Forcemen floor</t>
      </text>
    </comment>
    <comment authorId="0" ref="D3">
      <text>
        <t xml:space="preserve">M = Main Elevator
44CE = Forcemen Floor
Mainly labeled for formatting purposes.</t>
      </text>
    </comment>
    <comment authorId="0" ref="H3">
      <text>
        <t xml:space="preserve">Type of material in this area.
An × mark means there are none.</t>
      </text>
    </comment>
    <comment authorId="0" ref="I3">
      <text>
        <t xml:space="preserve">Possible Gyakufunsha shop location.
The shop will not move or restock the inventory for one hour after you first find it.</t>
      </text>
    </comment>
    <comment authorId="0" ref="J3">
      <text>
        <t xml:space="preserve">Metal drop not guaranteed. Must return to the Waiting Room to reset bosses.</t>
      </text>
    </comment>
    <comment authorId="0" ref="E4">
      <text>
        <t xml:space="preserve">Yotsuyama Bionics Catalogue.
1 and 2 are obtained from the start, 6 is Monday exclusive.</t>
      </text>
    </comment>
    <comment authorId="0" ref="F4">
      <text>
        <t xml:space="preserve">"Tales from the Barbs" pages.
It lists the volume and the page.</t>
      </text>
    </comment>
    <comment authorId="0" ref="G4">
      <text>
        <t xml:space="preserve">Stamps for the Stamp Rally.
The number of the stamp is the same as the number of the floor. The location is randomized within the area.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">
      <text>
        <t xml:space="preserve">Purple = Main Elevator floor
Black = Non-rotating floor
Colored = Rotation exclusive floor
Gold = Forcemen floor</t>
      </text>
    </comment>
    <comment authorId="0" ref="D3">
      <text>
        <t xml:space="preserve">M = Main Elevator
44CE = Forcemen Floor
Mainly labeled for formatting purposes.</t>
      </text>
    </comment>
    <comment authorId="0" ref="H3">
      <text>
        <t xml:space="preserve">Type of material in this area.
An × mark means there are none.</t>
      </text>
    </comment>
    <comment authorId="0" ref="I3">
      <text>
        <t xml:space="preserve">Possible Gyakufunsha shop location.
The shop will not move or restock the inventory for one hour after you first find it.</t>
      </text>
    </comment>
    <comment authorId="0" ref="J3">
      <text>
        <t xml:space="preserve">Metal drop not guaranteed. Must return to the Waiting Room to reset bosses.</t>
      </text>
    </comment>
    <comment authorId="0" ref="E4">
      <text>
        <t xml:space="preserve">Yotsuyama Bionics Catalogue.
1 and 2 are obtained from the start, 6 is Monday exclusive.</t>
      </text>
    </comment>
    <comment authorId="0" ref="F4">
      <text>
        <t xml:space="preserve">"Tales from the Barbs" pages.
It lists the volume and the page.</t>
      </text>
    </comment>
    <comment authorId="0" ref="G4">
      <text>
        <t xml:space="preserve">Stamps for the Stamp Rally.
The number of the stamp is the same as the number of the floor. The location is randomized within the area.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">
      <text>
        <t xml:space="preserve">Purple = Main Elevator floor
Black = Non-rotating floor
Colored = Rotation exclusive floor
Gold = Forcemen floor</t>
      </text>
    </comment>
    <comment authorId="0" ref="D3">
      <text>
        <t xml:space="preserve">M = Main Elevator
44CE = Forcemen Floor
Mainly labeled for formatting purposes.</t>
      </text>
    </comment>
    <comment authorId="0" ref="H3">
      <text>
        <t xml:space="preserve">Type of material in this area.
An × mark means there are none.</t>
      </text>
    </comment>
    <comment authorId="0" ref="I3">
      <text>
        <t xml:space="preserve">Possible Gyakufunsha shop location.
The shop will not move or restock the inventory for one hour after you first find it.</t>
      </text>
    </comment>
    <comment authorId="0" ref="J3">
      <text>
        <t xml:space="preserve">Metal drop not guaranteed. Must return to the Waiting Room to reset bosses.</t>
      </text>
    </comment>
    <comment authorId="0" ref="E4">
      <text>
        <t xml:space="preserve">Yotsuyama Bionics Catalogue.
1 and 2 are obtained from the start, 6 is Monday exclusive.</t>
      </text>
    </comment>
    <comment authorId="0" ref="F4">
      <text>
        <t xml:space="preserve">"Tales from the Barbs" pages.
It lists the volume and the page.</t>
      </text>
    </comment>
    <comment authorId="0" ref="G4">
      <text>
        <t xml:space="preserve">Stamps for the Stamp Rally.
The number of the stamp is the same as the number of the floor. The location is randomized within the area.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">
      <text>
        <t xml:space="preserve">Purple = Main Elevator floor
Black = Non-rotating floor
Colored = Rotation exclusive floor
Gold = Forcemen floor</t>
      </text>
    </comment>
    <comment authorId="0" ref="D3">
      <text>
        <t xml:space="preserve">M = Main Elevator
44CE = Forcemen Floor
Mainly labeled for formatting purposes.</t>
      </text>
    </comment>
    <comment authorId="0" ref="H3">
      <text>
        <t xml:space="preserve">Type of material in this area.
An × mark means there are none.</t>
      </text>
    </comment>
    <comment authorId="0" ref="I3">
      <text>
        <t xml:space="preserve">Possible Gyakufunsha shop location.
The shop will not move or restock the inventory for one hour after you first find it.</t>
      </text>
    </comment>
    <comment authorId="0" ref="J3">
      <text>
        <t xml:space="preserve">Metal drop not guaranteed. Must return to the Waiting Room to reset bosses.</t>
      </text>
    </comment>
    <comment authorId="0" ref="E4">
      <text>
        <t xml:space="preserve">Yotsuyama Bionics Catalogue.
1 and 2 are obtained from the start, 6 is Monday exclusive.</t>
      </text>
    </comment>
    <comment authorId="0" ref="F4">
      <text>
        <t xml:space="preserve">"Tales from the Barbs" pages.
It lists the volume and the page.</t>
      </text>
    </comment>
    <comment authorId="0" ref="G4">
      <text>
        <t xml:space="preserve">Stamps for the Stamp Rally.
The number of the stamp is the same as the number of the floor. The location is randomized within the area.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">
      <text>
        <t xml:space="preserve">Purple = Main Elevator floor
Black = Non-rotating floor
Colored = Rotation exclusive floor
Gold = Forcemen floor</t>
      </text>
    </comment>
    <comment authorId="0" ref="E3">
      <text>
        <t xml:space="preserve">Stamps for the Stamp Rally.
The number of the stamp is the same as the number of the floor. The location is randomized within the area.</t>
      </text>
    </comment>
    <comment authorId="0" ref="F3">
      <text>
        <t xml:space="preserve">Type of material in this area.
An × mark means there are none.</t>
      </text>
    </comment>
    <comment authorId="0" ref="G3">
      <text>
        <t xml:space="preserve">Possible Chokufunsha shop location.
You can only buy 3 items at a time, and restock timers still apply.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">
      <text>
        <t xml:space="preserve">Type of material in this area.</t>
      </text>
    </comment>
    <comment authorId="0" ref="D3">
      <text>
        <t xml:space="preserve">You can buy from Chokufunsha after each boss, though you are limited to 3 purchases.</t>
      </text>
    </comment>
  </commentList>
</comments>
</file>

<file path=xl/sharedStrings.xml><?xml version="1.0" encoding="utf-8"?>
<sst xmlns="http://schemas.openxmlformats.org/spreadsheetml/2006/main" count="2176" uniqueCount="679">
  <si>
    <t>Current Rotation</t>
  </si>
  <si>
    <t>Next rotation &amp; login bonus:</t>
  </si>
  <si>
    <t>Tips:</t>
  </si>
  <si>
    <t>Map Link:</t>
  </si>
  <si>
    <t>F</t>
  </si>
  <si>
    <t>R</t>
  </si>
  <si>
    <t>Area</t>
  </si>
  <si>
    <t>info</t>
  </si>
  <si>
    <t>Collectibles</t>
  </si>
  <si>
    <t>Material</t>
  </si>
  <si>
    <t>Shop</t>
  </si>
  <si>
    <t>BOSS
DROP</t>
  </si>
  <si>
    <t>TRAP ROOM</t>
  </si>
  <si>
    <t xml:space="preserve">   Notes</t>
  </si>
  <si>
    <t>YB</t>
  </si>
  <si>
    <t>TB</t>
  </si>
  <si>
    <t>S</t>
  </si>
  <si>
    <t>Next Rotation</t>
  </si>
  <si>
    <t>Beginning in:</t>
  </si>
  <si>
    <t>Upcoming Rotation</t>
  </si>
  <si>
    <t>The closer one.</t>
  </si>
  <si>
    <t>The farther one.</t>
  </si>
  <si>
    <t>The farthest one.</t>
  </si>
  <si>
    <t>Battle To The Top (41F-51F)</t>
  </si>
  <si>
    <t>Every enemy is a Hater, there are no elevators, and you can no longer go down.
However, you can return to the Waiting Room through dead-end floors here.</t>
  </si>
  <si>
    <t>https://i.imgur.com/ejAmyRP.png</t>
  </si>
  <si>
    <t>Rotation unchanging.</t>
  </si>
  <si>
    <t>Treas. Room</t>
  </si>
  <si>
    <t>TENGOKU (52F-351F)</t>
  </si>
  <si>
    <t>Every enemy is a Hater, there are no elevators, and you can no longer go down.
However, you can return to the Waiting Room at every 5th floor (55, 60, 65 etc.)</t>
  </si>
  <si>
    <t>https://i.imgur.com/Nw4xRWF.png</t>
  </si>
  <si>
    <t>Legendary Chest</t>
  </si>
  <si>
    <t xml:space="preserve">       Notes</t>
  </si>
  <si>
    <t>T</t>
  </si>
  <si>
    <t>Fiber</t>
  </si>
  <si>
    <r>
      <rPr>
        <b/>
        <color rgb="FFF3F3F3"/>
      </rPr>
      <t>52F-69F:</t>
    </r>
    <r>
      <rPr>
        <color rgb="FFF3F3F3"/>
      </rPr>
      <t xml:space="preserve">
Death 'Roids (Blue)
</t>
    </r>
    <r>
      <rPr>
        <b/>
        <color rgb="FFFF9900"/>
      </rPr>
      <t>Death 'Roids (Green)</t>
    </r>
    <r>
      <rPr>
        <b/>
        <color rgb="FFF3F3F3"/>
      </rPr>
      <t xml:space="preserve">
</t>
    </r>
    <r>
      <rPr>
        <color rgb="FFF3F3F3"/>
      </rPr>
      <t xml:space="preserve">Purple Faction Metals
</t>
    </r>
    <r>
      <rPr>
        <b/>
        <color rgb="FFFF9900"/>
      </rPr>
      <t xml:space="preserve">Orange Faction Metals
</t>
    </r>
    <r>
      <rPr>
        <color rgb="FFF3F3F3"/>
      </rPr>
      <t>Orange items are
simply considered "Rare"
for that floor by the game.
It is not an indicator of
anything else.</t>
    </r>
  </si>
  <si>
    <t>You will initially find 4 / 5★ materials, and rarely 6 / 7★.
6 / 7★ become more common past 100F.
Awakened Jackals (V3) spawn between 52-99F, excluding BOSS floors.</t>
  </si>
  <si>
    <t>Wood</t>
  </si>
  <si>
    <t>Iron</t>
  </si>
  <si>
    <t>B</t>
  </si>
  <si>
    <t>BOSS</t>
  </si>
  <si>
    <t>C</t>
  </si>
  <si>
    <t>55F-99F:</t>
  </si>
  <si>
    <t>Aluminum</t>
  </si>
  <si>
    <r>
      <rPr>
        <color rgb="FFF3F3F3"/>
        <sz val="9.0"/>
      </rPr>
      <t xml:space="preserve">Encounters on BOSS floors can sometimes be determined by the Chest reward.
A </t>
    </r>
    <r>
      <rPr>
        <b/>
        <color rgb="FF9900FF"/>
        <sz val="9.0"/>
      </rPr>
      <t>Faction Metal</t>
    </r>
    <r>
      <rPr>
        <color rgb="FFF3F3F3"/>
        <sz val="9.0"/>
      </rPr>
      <t xml:space="preserve"> reward means a Boss / Pit of that faction, or the Mixed pit.
A </t>
    </r>
    <r>
      <rPr>
        <b/>
        <color rgb="FF4A86E8"/>
        <sz val="9.0"/>
      </rPr>
      <t>Death 'Roids</t>
    </r>
    <r>
      <rPr>
        <color rgb="FFF3F3F3"/>
        <sz val="9.0"/>
      </rPr>
      <t xml:space="preserve"> reward is not an indicator of anything.</t>
    </r>
  </si>
  <si>
    <t>Oil</t>
  </si>
  <si>
    <t>Copper</t>
  </si>
  <si>
    <t>MID-BOSS:</t>
  </si>
  <si>
    <r>
      <rPr>
        <b/>
        <color rgb="FFFFD966"/>
        <sz val="9.0"/>
      </rPr>
      <t>3 Chests</t>
    </r>
    <r>
      <rPr>
        <color rgb="FFF3F3F3"/>
        <sz val="9.0"/>
      </rPr>
      <t xml:space="preserve">. Drop </t>
    </r>
    <r>
      <rPr>
        <b/>
        <color rgb="FFDA2121"/>
        <sz val="9.0"/>
      </rPr>
      <t>+50 Bloodnium</t>
    </r>
    <r>
      <rPr>
        <color rgb="FFF3F3F3"/>
        <sz val="9.0"/>
      </rPr>
      <t xml:space="preserve">, chance to drop </t>
    </r>
    <r>
      <rPr>
        <b/>
        <color rgb="FF9900FF"/>
        <sz val="9.0"/>
      </rPr>
      <t>Metal</t>
    </r>
    <r>
      <rPr>
        <color rgb="FFF3F3F3"/>
        <sz val="9.0"/>
      </rPr>
      <t xml:space="preserve"> / </t>
    </r>
    <r>
      <rPr>
        <b/>
        <color rgb="FF4A86E8"/>
        <sz val="9.0"/>
      </rPr>
      <t>Roid</t>
    </r>
    <r>
      <rPr>
        <color rgb="FFF3F3F3"/>
        <sz val="9.0"/>
      </rPr>
      <t>.</t>
    </r>
  </si>
  <si>
    <t>COEN Mk-2</t>
  </si>
  <si>
    <t>Sonar hurts now. Block it with your arms or a weapon technique.</t>
  </si>
  <si>
    <t>JIN-DIE Mk-2</t>
  </si>
  <si>
    <t>Look for pillars before entering the room. Play it safe.</t>
  </si>
  <si>
    <t>GOTO-9 Mk-2</t>
  </si>
  <si>
    <t>Remember to jump. Very tanky skeletons up high.</t>
  </si>
  <si>
    <t>U-10 Mk-2</t>
  </si>
  <si>
    <t>Jump and keep moving. Laser tracking is very tight. Good luck.</t>
  </si>
  <si>
    <t>SCREAMER PIT:</t>
  </si>
  <si>
    <r>
      <rPr>
        <b/>
        <color rgb="FFFFE599"/>
        <sz val="9.0"/>
      </rPr>
      <t>1 Chest</t>
    </r>
    <r>
      <rPr>
        <color rgb="FFF3F3F3"/>
        <sz val="9.0"/>
      </rPr>
      <t xml:space="preserve">, but </t>
    </r>
    <r>
      <rPr>
        <b/>
        <color rgb="FFFFE599"/>
        <sz val="9.0"/>
      </rPr>
      <t>3 Treasure Tubers</t>
    </r>
    <r>
      <rPr>
        <color rgb="FFF3F3F3"/>
        <sz val="9.0"/>
      </rPr>
      <t xml:space="preserve"> spawn during the fight.</t>
    </r>
  </si>
  <si>
    <t>D.O.D. ARMS</t>
  </si>
  <si>
    <t>24 Screamers. Smallest cage, so one can spawn on top of you.</t>
  </si>
  <si>
    <t>War Ensemble</t>
  </si>
  <si>
    <t>18 Screamers. Look for pillars. Learn the spawn pattern.</t>
  </si>
  <si>
    <t>Candle Wolf</t>
  </si>
  <si>
    <t>21 Screamers.</t>
  </si>
  <si>
    <t>M.I.L.K.</t>
  </si>
  <si>
    <r>
      <rPr>
        <b/>
        <color rgb="FFF3F3F3"/>
      </rPr>
      <t>70F-79F:</t>
    </r>
    <r>
      <rPr>
        <color rgb="FFF3F3F3"/>
      </rPr>
      <t xml:space="preserve">
Death 'Roids (Blue)</t>
    </r>
    <r>
      <rPr/>
      <t xml:space="preserve">
</t>
    </r>
    <r>
      <rPr>
        <b/>
        <color rgb="FFFF9900"/>
      </rPr>
      <t>Death 'Roids (Green)
Death 'Roids (Black)</t>
    </r>
    <r>
      <rPr/>
      <t xml:space="preserve">
</t>
    </r>
    <r>
      <rPr>
        <color rgb="FFF3F3F3"/>
      </rPr>
      <t>Purple Faction Metals</t>
    </r>
    <r>
      <rPr/>
      <t xml:space="preserve">
</t>
    </r>
    <r>
      <rPr>
        <b/>
        <color rgb="FFFF9900"/>
      </rPr>
      <t>Orange Faction Metals</t>
    </r>
  </si>
  <si>
    <t>Mixed Faction</t>
  </si>
  <si>
    <t>21 Screamers. Cage area, first screamer always has a Shotgun.</t>
  </si>
  <si>
    <r>
      <rPr>
        <color rgb="FFF3F3F3"/>
        <sz val="9.0"/>
      </rPr>
      <t xml:space="preserve">Will spawn faster if you take too long to kill them or the Tubers. </t>
    </r>
    <r>
      <rPr>
        <b/>
        <color rgb="FFDA2121"/>
        <sz val="9.0"/>
      </rPr>
      <t>+1 Blood</t>
    </r>
    <r>
      <rPr>
        <color rgb="FFF3F3F3"/>
        <sz val="9.0"/>
      </rPr>
      <t xml:space="preserve"> each.
Treasure Tubers (</t>
    </r>
    <r>
      <rPr>
        <b/>
        <color rgb="FFDA2121"/>
        <sz val="9.0"/>
      </rPr>
      <t>+10 Blood</t>
    </r>
    <r>
      <rPr>
        <color rgb="FFF3F3F3"/>
        <sz val="9.0"/>
      </rPr>
      <t xml:space="preserve">) always appear after the 7th, 13th, and 18th Screamer.
Tubers can drop </t>
    </r>
    <r>
      <rPr>
        <b/>
        <color rgb="FF9900FF"/>
        <sz val="9.0"/>
      </rPr>
      <t>Faction Metals</t>
    </r>
    <r>
      <rPr>
        <color rgb="FFF3F3F3"/>
        <sz val="9.0"/>
      </rPr>
      <t xml:space="preserve">, </t>
    </r>
    <r>
      <rPr>
        <b/>
        <color rgb="FF4A86E8"/>
        <sz val="9.0"/>
      </rPr>
      <t>Death 'Roids</t>
    </r>
    <r>
      <rPr>
        <color rgb="FFF3F3F3"/>
        <sz val="9.0"/>
      </rPr>
      <t xml:space="preserve">, any </t>
    </r>
    <r>
      <rPr>
        <b/>
        <color rgb="FFFFFF00"/>
        <sz val="9.0"/>
      </rPr>
      <t>Tuber Metal</t>
    </r>
    <r>
      <rPr>
        <color rgb="FFF3F3F3"/>
        <sz val="9.0"/>
      </rPr>
      <t xml:space="preserve">, or a </t>
    </r>
    <r>
      <rPr>
        <b/>
        <color rgb="FFF1C232"/>
        <sz val="9.0"/>
      </rPr>
      <t>Gold Chest</t>
    </r>
    <r>
      <rPr>
        <color rgb="FFF3F3F3"/>
        <sz val="9.0"/>
      </rPr>
      <t>.
Gold Chest can only be KC or a Tengoku BP. If Tuber explodes, any reward is lost.
May need to crouch / roll to collect Blood from Tubers.</t>
    </r>
  </si>
  <si>
    <r>
      <rPr>
        <b/>
        <color rgb="FFF3F3F3"/>
      </rPr>
      <t>80F-84F:</t>
    </r>
    <r>
      <rPr/>
      <t xml:space="preserve">
</t>
    </r>
    <r>
      <rPr>
        <b/>
        <color rgb="FFFF9900"/>
      </rPr>
      <t>Death 'Roids (Green)
Death 'Roids (Black)</t>
    </r>
    <r>
      <rPr/>
      <t xml:space="preserve">
</t>
    </r>
    <r>
      <rPr>
        <color rgb="FFF3F3F3"/>
      </rPr>
      <t>Purple Faction Metals</t>
    </r>
    <r>
      <rPr/>
      <t xml:space="preserve">
</t>
    </r>
    <r>
      <rPr>
        <b/>
        <color rgb="FFFF9900"/>
      </rPr>
      <t>Orange Faction Metals</t>
    </r>
  </si>
  <si>
    <r>
      <rPr>
        <color rgb="FFF3F3F3"/>
        <sz val="9.0"/>
      </rPr>
      <t>8★ Materials can now be found.
Mega Splattershrooms (</t>
    </r>
    <r>
      <rPr>
        <b/>
        <color rgb="FFDA2121"/>
        <sz val="9.0"/>
      </rPr>
      <t>+1000 Bloodnium</t>
    </r>
    <r>
      <rPr>
        <color rgb="FFF3F3F3"/>
        <sz val="9.0"/>
      </rPr>
      <t>) can now spawn, on BOSS floors only.</t>
    </r>
  </si>
  <si>
    <t>Special Bloodnium Modifiers</t>
  </si>
  <si>
    <t>Exploration Bonus:</t>
  </si>
  <si>
    <t>+10% for every 5 floors climbed.</t>
  </si>
  <si>
    <r>
      <rPr>
        <b/>
        <color rgb="FFF3F3F3"/>
      </rPr>
      <t>85F-104F:</t>
    </r>
    <r>
      <rPr>
        <color rgb="FFF3F3F3"/>
      </rPr>
      <t xml:space="preserve">
Death 'Roids (Green)</t>
    </r>
    <r>
      <rPr>
        <b/>
        <color rgb="FFFF9900"/>
      </rPr>
      <t xml:space="preserve">
Death 'Roids (Black)
Death 'Roids (Red)</t>
    </r>
    <r>
      <rPr/>
      <t xml:space="preserve">
</t>
    </r>
    <r>
      <rPr>
        <color rgb="FFF3F3F3"/>
      </rPr>
      <t>Purple Faction Metals</t>
    </r>
    <r>
      <rPr/>
      <t xml:space="preserve">
</t>
    </r>
    <r>
      <rPr>
        <b/>
        <color rgb="FFFF9900"/>
      </rPr>
      <t>Orange Faction Metals
Platinum Faction Metals</t>
    </r>
  </si>
  <si>
    <t>Kill Bonus:</t>
  </si>
  <si>
    <t>+10% for every 10 kills, caps at +100%.</t>
  </si>
  <si>
    <t>Express Member Bonus:</t>
  </si>
  <si>
    <t>+50% if Express Pass is active when you finish.</t>
  </si>
  <si>
    <t>Termination:</t>
  </si>
  <si>
    <t>Happens if you forcefully disconnect from the game.</t>
  </si>
  <si>
    <t>-10% Bloodinum.</t>
  </si>
  <si>
    <t>Total:</t>
  </si>
  <si>
    <t>Collected Bloodnium (+Collected*Total Bonus)</t>
  </si>
  <si>
    <r>
      <rPr>
        <color rgb="FFF3F3F3"/>
        <sz val="9.0"/>
      </rPr>
      <t xml:space="preserve">Splattershrooms eaten in Tengoku </t>
    </r>
    <r>
      <rPr>
        <b/>
        <color rgb="FFDA2121"/>
        <sz val="9.0"/>
      </rPr>
      <t>DO NOT COUNT</t>
    </r>
    <r>
      <rPr>
        <color rgb="FFF3F3F3"/>
        <sz val="9.0"/>
      </rPr>
      <t xml:space="preserve"> towards Collected Bloodnium.</t>
    </r>
  </si>
  <si>
    <t>100F+:</t>
  </si>
  <si>
    <t>Awakened Jackals (V4) can now spawn.</t>
  </si>
  <si>
    <t>DONS:</t>
  </si>
  <si>
    <r>
      <rPr>
        <b/>
        <color rgb="FFFFD966"/>
        <sz val="9.0"/>
      </rPr>
      <t>4 Chests</t>
    </r>
    <r>
      <rPr>
        <color rgb="FFF3F3F3"/>
        <sz val="9.0"/>
      </rPr>
      <t xml:space="preserve">. Drop </t>
    </r>
    <r>
      <rPr>
        <b/>
        <color rgb="FFDA2121"/>
        <sz val="9.0"/>
      </rPr>
      <t>+50 Bloodnium</t>
    </r>
    <r>
      <rPr>
        <color rgb="FFF3F3F3"/>
        <sz val="9.0"/>
      </rPr>
      <t>.</t>
    </r>
  </si>
  <si>
    <t>Max</t>
  </si>
  <si>
    <t>Very tanky. Can be Headshot if possible. Prepare for a long fight.</t>
  </si>
  <si>
    <t>Jackson</t>
  </si>
  <si>
    <t>Lasers will go through the pillars. Shrooms heavily advised.</t>
  </si>
  <si>
    <r>
      <rPr>
        <b/>
        <color rgb="FFF3F3F3"/>
      </rPr>
      <t xml:space="preserve">105F-139F:
</t>
    </r>
    <r>
      <rPr>
        <b val="0"/>
        <color rgb="FFF3F3F3"/>
      </rPr>
      <t>Death 'Roids (Black)</t>
    </r>
    <r>
      <rPr>
        <b val="0"/>
      </rPr>
      <t xml:space="preserve">
</t>
    </r>
    <r>
      <rPr>
        <b/>
        <color rgb="FFFF9900"/>
      </rPr>
      <t xml:space="preserve">Death 'Roids (Red)
Death 'Roids (Purple)
</t>
    </r>
    <r>
      <rPr>
        <b val="0"/>
        <color rgb="FFF3F3F3"/>
      </rPr>
      <t>Orange Faction Metals</t>
    </r>
    <r>
      <rPr>
        <b val="0"/>
      </rPr>
      <t xml:space="preserve">
</t>
    </r>
    <r>
      <rPr>
        <b/>
        <color rgb="FFFF9900"/>
      </rPr>
      <t>Platinum Faction Metals</t>
    </r>
  </si>
  <si>
    <t>Crowley</t>
  </si>
  <si>
    <t>Nearly immune to Piercing damage. Blunt/Snailshrooms recommened.</t>
  </si>
  <si>
    <t>Gunkanyama</t>
  </si>
  <si>
    <t>Stays still for the first few seconds. Go for Headshots. Huge HP.</t>
  </si>
  <si>
    <r>
      <rPr>
        <b/>
        <color rgb="FFFFD966"/>
        <sz val="9.0"/>
      </rPr>
      <t>3 Chests</t>
    </r>
    <r>
      <rPr>
        <color rgb="FFF3F3F3"/>
        <sz val="9.0"/>
      </rPr>
      <t xml:space="preserve">. Drop </t>
    </r>
    <r>
      <rPr>
        <b/>
        <color rgb="FFDA2121"/>
        <sz val="9.0"/>
      </rPr>
      <t>+50 Bloodnium</t>
    </r>
    <r>
      <rPr>
        <color rgb="FFF3F3F3"/>
        <sz val="9.0"/>
      </rPr>
      <t xml:space="preserve">, chance to drop </t>
    </r>
    <r>
      <rPr>
        <b/>
        <color rgb="FF9900FF"/>
        <sz val="9.0"/>
      </rPr>
      <t>Metal</t>
    </r>
    <r>
      <rPr>
        <color rgb="FFF3F3F3"/>
        <sz val="9.0"/>
      </rPr>
      <t xml:space="preserve"> / </t>
    </r>
    <r>
      <rPr>
        <b/>
        <color rgb="FF4A86E8"/>
        <sz val="9.0"/>
      </rPr>
      <t>Roid</t>
    </r>
    <r>
      <rPr>
        <color rgb="FFF3F3F3"/>
        <sz val="9.0"/>
      </rPr>
      <t>.</t>
    </r>
  </si>
  <si>
    <r>
      <rPr>
        <b/>
        <color rgb="FFFFE599"/>
        <sz val="9.0"/>
      </rPr>
      <t>1 Chest</t>
    </r>
    <r>
      <rPr>
        <color rgb="FFF3F3F3"/>
        <sz val="9.0"/>
      </rPr>
      <t xml:space="preserve">, but </t>
    </r>
    <r>
      <rPr>
        <b/>
        <color rgb="FFFFE599"/>
        <sz val="9.0"/>
      </rPr>
      <t>3 Treasure Tubers</t>
    </r>
    <r>
      <rPr>
        <color rgb="FFF3F3F3"/>
        <sz val="9.0"/>
      </rPr>
      <t xml:space="preserve"> spawn during the fight.</t>
    </r>
  </si>
  <si>
    <t>The Screamers are now stronger, using better weapons &amp; armor.</t>
  </si>
  <si>
    <t>D.O.D. ARMS+</t>
  </si>
  <si>
    <t>24 Screamers.</t>
  </si>
  <si>
    <t>War Ensemble+</t>
  </si>
  <si>
    <t>Candle Wolf+</t>
  </si>
  <si>
    <t>M.I.L.K.+</t>
  </si>
  <si>
    <t>Charger</t>
  </si>
  <si>
    <t>18 Screamers. Has pillars. Maxed out versions of the Chargers.</t>
  </si>
  <si>
    <t>Chest Vision:</t>
  </si>
  <si>
    <t>With Treasure Hunter or Spy, you can see if there are 1, 3, or 4 Chests in the room.</t>
  </si>
  <si>
    <t>3 and 4 Chests look very similar; the 4th chest is a tiny sliver on the left side.</t>
  </si>
  <si>
    <t>Sound Advice:</t>
  </si>
  <si>
    <t>Before entering the pit, you can spot pillars and hear certain sounds.</t>
  </si>
  <si>
    <t>Combine this with TH / Spy &amp; the Legendary Chest reward to identify what the fight is.</t>
  </si>
  <si>
    <t>The map screen will always show pillars, even if none are really there. Look through the gate.</t>
  </si>
  <si>
    <t>Sound</t>
  </si>
  <si>
    <t>Has Pillars</t>
  </si>
  <si>
    <t>Fight</t>
  </si>
  <si>
    <t>Silence</t>
  </si>
  <si>
    <t>Pillars</t>
  </si>
  <si>
    <t>WE Pit, JIN-DIE, or Jackson</t>
  </si>
  <si>
    <t>Fire/Electricity</t>
  </si>
  <si>
    <t>Charger Pit</t>
  </si>
  <si>
    <t>No Pillars</t>
  </si>
  <si>
    <t>COEN, Max, U-10, or Gunkanyama</t>
  </si>
  <si>
    <t>Fire</t>
  </si>
  <si>
    <t>DOD Pit, CW Pit, GOTO-9, or Crowley</t>
  </si>
  <si>
    <t>Electricity</t>
  </si>
  <si>
    <t>MILK Pit, GOTO-9, or Crowley</t>
  </si>
  <si>
    <r>
      <rPr>
        <b/>
        <color rgb="FFF3F3F3"/>
      </rPr>
      <t xml:space="preserve">140F+:
</t>
    </r>
    <r>
      <rPr>
        <b val="0"/>
        <color rgb="FFF3F3F3"/>
      </rPr>
      <t>Death 'Roids (Black)
Death 'Roids (Red)</t>
    </r>
    <r>
      <rPr>
        <b val="0"/>
      </rPr>
      <t xml:space="preserve">
</t>
    </r>
    <r>
      <rPr>
        <b/>
        <color rgb="FFFF9900"/>
      </rPr>
      <t xml:space="preserve">Death 'Roids (Purple)
</t>
    </r>
    <r>
      <rPr>
        <b val="0"/>
        <color rgb="FFF3F3F3"/>
      </rPr>
      <t>Orange Faction Metals</t>
    </r>
    <r>
      <rPr>
        <b val="0"/>
      </rPr>
      <t xml:space="preserve">
</t>
    </r>
    <r>
      <rPr>
        <b/>
        <color rgb="FFFF9900"/>
      </rPr>
      <t>Platinum Faction Metals</t>
    </r>
  </si>
  <si>
    <t>First letter from Uncle Death.
Tengoku originally ended here, the limit was uncapped G6 Fighters and +9 gear.</t>
  </si>
  <si>
    <t>Second letter from Uncle Death.
Tengoku was expanded after G7 Fighters and +14 gear was added.</t>
  </si>
  <si>
    <t>Third letter from Uncle Death.
Tengoku expanded further after G8 Fighters and +19 gear was added.</t>
  </si>
  <si>
    <t>Fourth letter from Uncle Death. Added without a new Fighter Grade or Uncaps.</t>
  </si>
  <si>
    <t>Weapon</t>
  </si>
  <si>
    <t>STR</t>
  </si>
  <si>
    <t>DEX</t>
  </si>
  <si>
    <t>Fists</t>
  </si>
  <si>
    <t>Crit Chance from LUK</t>
  </si>
  <si>
    <t>Beam Katana</t>
  </si>
  <si>
    <t>f(x)=0.172*ln(x)-0.328</t>
  </si>
  <si>
    <t>Buzzsaw</t>
  </si>
  <si>
    <t>Hammer</t>
  </si>
  <si>
    <t>Pickaxe</t>
  </si>
  <si>
    <t>Nail Gun</t>
  </si>
  <si>
    <t>Welding Gun</t>
  </si>
  <si>
    <t>Drill</t>
  </si>
  <si>
    <t>Chopper</t>
  </si>
  <si>
    <t>Fireworks</t>
  </si>
  <si>
    <t>Chainsaw</t>
  </si>
  <si>
    <t>Spike Crusher</t>
  </si>
  <si>
    <t>Static Massager</t>
  </si>
  <si>
    <t>Timber</t>
  </si>
  <si>
    <t>Machete</t>
  </si>
  <si>
    <t>Knife</t>
  </si>
  <si>
    <t>Flamethrower</t>
  </si>
  <si>
    <t>Magnum</t>
  </si>
  <si>
    <t>Demon Gun</t>
  </si>
  <si>
    <t>Stun Rod</t>
  </si>
  <si>
    <t>Shotgun</t>
  </si>
  <si>
    <t>Sniper Rifle</t>
  </si>
  <si>
    <t>GLIDER</t>
  </si>
  <si>
    <t>Assault Rifle</t>
  </si>
  <si>
    <t>Assault Rifle WoT</t>
  </si>
  <si>
    <t>Assault Rifle RE</t>
  </si>
  <si>
    <t>Shovel</t>
  </si>
  <si>
    <t>Rocket Launcher</t>
  </si>
  <si>
    <t>M2G-87</t>
  </si>
  <si>
    <t>Stun Gun</t>
  </si>
  <si>
    <t>Axe</t>
  </si>
  <si>
    <t>Crossbow</t>
  </si>
  <si>
    <t>Spear</t>
  </si>
  <si>
    <t>Katana</t>
  </si>
  <si>
    <t>Sword</t>
  </si>
  <si>
    <t>Sword RE</t>
  </si>
  <si>
    <t>Claws</t>
  </si>
  <si>
    <t>Flail</t>
  </si>
  <si>
    <t>Fire Rod</t>
  </si>
  <si>
    <t>Shuriken</t>
  </si>
  <si>
    <t>Death's Scythe</t>
  </si>
  <si>
    <t>Death's Scythe (Red)</t>
  </si>
  <si>
    <t>Thunder Rod</t>
  </si>
  <si>
    <t>Vajra of Light</t>
  </si>
  <si>
    <t>Head of Medusa</t>
  </si>
  <si>
    <t>Lion Dance Knuckles</t>
  </si>
  <si>
    <t>Bat</t>
  </si>
  <si>
    <t>Saber</t>
  </si>
  <si>
    <t>Pitching Machine</t>
  </si>
  <si>
    <t>Boxing Gloves</t>
  </si>
  <si>
    <t>Yo-yo</t>
  </si>
  <si>
    <t>Bowling Ball</t>
  </si>
  <si>
    <t>Fire Baton</t>
  </si>
  <si>
    <t>Motorcycle</t>
  </si>
  <si>
    <t>Motorcycle ZX</t>
  </si>
  <si>
    <t>Hockey Stick</t>
  </si>
  <si>
    <t>Archer's Bow</t>
  </si>
  <si>
    <t>Mortal Bobslayer</t>
  </si>
  <si>
    <t>Jackal Sword</t>
  </si>
  <si>
    <t>Jackal Sword D</t>
  </si>
  <si>
    <t>Jackal Blaster</t>
  </si>
  <si>
    <t>Jackal Blaster D</t>
  </si>
  <si>
    <t>Jackal Yo-Yo</t>
  </si>
  <si>
    <t>Jackal Yo-Yo D</t>
  </si>
  <si>
    <t>With an Express Pass active, you'll get an Express Login Bonus every day.</t>
  </si>
  <si>
    <t>Express Pass
Bonuses:</t>
  </si>
  <si>
    <t>All Decals are non-Premium, meaning they'll be lost upon removal.</t>
  </si>
  <si>
    <t>Yesterday</t>
  </si>
  <si>
    <t>Today</t>
  </si>
  <si>
    <t>Tomorrow:</t>
  </si>
  <si>
    <r>
      <rPr>
        <b/>
        <sz val="10.0"/>
      </rPr>
      <t xml:space="preserve">Express Login
Free VIP Elevator
(+Rage after 3 Days)
TDM Insurance
Lose 0 KC / SPL
from Raiders
Express Train
</t>
    </r>
    <r>
      <rPr>
        <b/>
        <sz val="9.0"/>
      </rPr>
      <t>Leave Raids before 1:30</t>
    </r>
    <r>
      <rPr>
        <b/>
        <sz val="10.0"/>
      </rPr>
      <t xml:space="preserve">
+10 Death Bag Slots
for all Fighters
80% KC Revive
Discount
7 Items @ 41/51F Gate
instead of 5
6 Items @ Pale Wind
instead of 5
+50% Tengoku
Bloodnium Bonus
when leaving
</t>
    </r>
  </si>
  <si>
    <t>Floor</t>
  </si>
  <si>
    <t>Rot</t>
  </si>
  <si>
    <t>Area Name</t>
  </si>
  <si>
    <t>Tales</t>
  </si>
  <si>
    <t>Stamp</t>
  </si>
  <si>
    <t>Trap</t>
  </si>
  <si>
    <t>Notes</t>
  </si>
  <si>
    <t>Tengokumon</t>
  </si>
  <si>
    <t>M</t>
  </si>
  <si>
    <t>×</t>
  </si>
  <si>
    <t>Final Elevator. Gate to TENGOKU is locked until your inventory is 5 items or less (7 with Express).</t>
  </si>
  <si>
    <t>Naka-Wara</t>
  </si>
  <si>
    <t>●</t>
  </si>
  <si>
    <t>Purple</t>
  </si>
  <si>
    <t>Treasure Room. Chest has a Purple, Red or Black Metal. Leads to 51F Tengokumon.</t>
  </si>
  <si>
    <t>Neri</t>
  </si>
  <si>
    <t>Treasure Room. Returns you to the Waiting Room. Chest has a Purple, Red or Black Metal.</t>
  </si>
  <si>
    <t>&lt;==== Function changes rotation number at 06:00 AM EST.</t>
  </si>
  <si>
    <t>Nerikou</t>
  </si>
  <si>
    <t>&lt;==== Converts function result into a weekday format.</t>
  </si>
  <si>
    <t>Fuwa</t>
  </si>
  <si>
    <t>Rotation pages pull from the tables below by checking these.</t>
  </si>
  <si>
    <t>Jusenju</t>
  </si>
  <si>
    <t>Touching either of these will make the rotation pages flip out.</t>
  </si>
  <si>
    <t>Hibaki</t>
  </si>
  <si>
    <t>All</t>
  </si>
  <si>
    <t>Chokufunsha, or the rare Tree floor, can appear.</t>
  </si>
  <si>
    <t>Tatsumanu</t>
  </si>
  <si>
    <t>Chiko-Matsu</t>
  </si>
  <si>
    <t>#</t>
  </si>
  <si>
    <t>Weekday</t>
  </si>
  <si>
    <t>Tips</t>
  </si>
  <si>
    <t>Map Image</t>
  </si>
  <si>
    <t>Kibarase</t>
  </si>
  <si>
    <t>Sunday</t>
  </si>
  <si>
    <t>3F Omoki and 27F Yukiyoshi: Gyakufunsha
The Four Forcemen unleashed!</t>
  </si>
  <si>
    <t>https://i.imgur.com/T0arBPo.png</t>
  </si>
  <si>
    <t>Koumin</t>
  </si>
  <si>
    <t>Monday</t>
  </si>
  <si>
    <t xml:space="preserve">4F Kankamata: Kill Coins
</t>
  </si>
  <si>
    <t>https://i.imgur.com/fkpDuQE.png</t>
  </si>
  <si>
    <t>Arataden</t>
  </si>
  <si>
    <t>Tuesday</t>
  </si>
  <si>
    <t>4F Kyowa-Jima and 13F Okusa: Golden Beasts
6F Heimo-Jima: Scratch Tubers</t>
  </si>
  <si>
    <t>https://i.imgur.com/BZ9Uubj.png</t>
  </si>
  <si>
    <t>Samino</t>
  </si>
  <si>
    <t>Wednesday</t>
  </si>
  <si>
    <t>Hama-Nushika</t>
  </si>
  <si>
    <t>Thursday</t>
  </si>
  <si>
    <t xml:space="preserve">3F Metakojiya: Skillshrooms
</t>
  </si>
  <si>
    <t>https://i.imgur.com/j28Zeu9.png</t>
  </si>
  <si>
    <t>Sara-Mannu</t>
  </si>
  <si>
    <t>Friday</t>
  </si>
  <si>
    <t xml:space="preserve">3F Omoki and 27F Yukiyoshi: Gyakufunsha
</t>
  </si>
  <si>
    <t>https://i.imgur.com/ryNIgix.png</t>
  </si>
  <si>
    <t>Furujiya</t>
  </si>
  <si>
    <t>Saturday</t>
  </si>
  <si>
    <t>Mohokou</t>
  </si>
  <si>
    <t>Koutou</t>
  </si>
  <si>
    <t>Kurihari</t>
  </si>
  <si>
    <t>Legacy Rotations:</t>
  </si>
  <si>
    <t>Takaihe</t>
  </si>
  <si>
    <t>1 - Thursday</t>
  </si>
  <si>
    <t>Tahei</t>
  </si>
  <si>
    <t>2 - Tuesday / Saturday</t>
  </si>
  <si>
    <t>Otatai</t>
  </si>
  <si>
    <t>3 - Monday</t>
  </si>
  <si>
    <t>Giou</t>
  </si>
  <si>
    <t>4a - Friday</t>
  </si>
  <si>
    <t>Kino</t>
  </si>
  <si>
    <t>4b - Wednesday / Sunday</t>
  </si>
  <si>
    <t>Doame</t>
  </si>
  <si>
    <t>Otaya</t>
  </si>
  <si>
    <t>Shujima</t>
  </si>
  <si>
    <t>Decal</t>
  </si>
  <si>
    <t>Effect</t>
  </si>
  <si>
    <t>Decal Image</t>
  </si>
  <si>
    <t>Item</t>
  </si>
  <si>
    <t>Item Image</t>
  </si>
  <si>
    <t>Mayari</t>
  </si>
  <si>
    <t>King Mantis</t>
  </si>
  <si>
    <t>Increases SPLithium earned by 20%.</t>
  </si>
  <si>
    <t>https://static.wikia.nocookie.net/letitdie_gamepedia/images/4/47/Decal-King_Mantis.png</t>
  </si>
  <si>
    <t>20,000 SPLithium</t>
  </si>
  <si>
    <t>https://static.wikia.nocookie.net/letitdie_gamepedia/images/4/49/SPLithium_I.png</t>
  </si>
  <si>
    <t>Iroka</t>
  </si>
  <si>
    <t>Nitro Boost</t>
  </si>
  <si>
    <t>Increases EXP gained by 40%.</t>
  </si>
  <si>
    <t>https://static.wikia.nocookie.net/letitdie_gamepedia/images/9/9a/Decal-Nitro_Boost.png</t>
  </si>
  <si>
    <t>Golden Bird</t>
  </si>
  <si>
    <t>https://static.wikia.nocookie.net/letitdie_gamepedia/images/0/07/Golden_Bird_2.png</t>
  </si>
  <si>
    <t>Soku</t>
  </si>
  <si>
    <t>Super Squeezer</t>
  </si>
  <si>
    <t>Increases ABP gained by 40%.</t>
  </si>
  <si>
    <t>https://static.wikia.nocookie.net/letitdie_gamepedia/images/a/ae/Decal-Squeezer.png</t>
  </si>
  <si>
    <t>1 Death Metal</t>
  </si>
  <si>
    <t>https://static.wikia.nocookie.net/letitdie_gamepedia/images/7/72/Death_Metal_Render.png</t>
  </si>
  <si>
    <t>Seya</t>
  </si>
  <si>
    <t>Vitamin XXX</t>
  </si>
  <si>
    <t>Increases HP Recovery by 20%.</t>
  </si>
  <si>
    <t>https://static.wikia.nocookie.net/letitdie_gamepedia/images/2/2c/Decal-Vitamin_XXX.png</t>
  </si>
  <si>
    <t>Splattershroom</t>
  </si>
  <si>
    <t>https://static.wikia.nocookie.net/letitdie_gamepedia/images/0/00/61_Splattershroom_2.png</t>
  </si>
  <si>
    <t>Wadachi</t>
  </si>
  <si>
    <t>Super Long Tail</t>
  </si>
  <si>
    <t>Reduces the durability loss of equipment
and weapons by 20%.</t>
  </si>
  <si>
    <t>https://static.wikia.nocookie.net/letitdie_gamepedia/images/4/41/Decal-Super_Long_Tail.png</t>
  </si>
  <si>
    <t>Fun Fungus</t>
  </si>
  <si>
    <t>https://static.wikia.nocookie.net/letitdie_gamepedia/images/b/b5/Fun_Fungus_2.png</t>
  </si>
  <si>
    <t>Su-Oi</t>
  </si>
  <si>
    <t>Gate is locked until your inventory is 5 items or less (7 with Express).</t>
  </si>
  <si>
    <t>Golden Lucky Cat</t>
  </si>
  <si>
    <t>Increase Kill Coins gained from enemies
and treasure by 20%.</t>
  </si>
  <si>
    <t>https://static.wikia.nocookie.net/letitdie_gamepedia/images/f/f0/Decal-Golden_Lucky_Cat.png</t>
  </si>
  <si>
    <t>40,000 Kill Coins</t>
  </si>
  <si>
    <t>https://static.wikia.nocookie.net/letitdie_gamepedia/images/8/89/KillCoins_I.png</t>
  </si>
  <si>
    <t>Chojo</t>
  </si>
  <si>
    <t>Final floor of the main game.</t>
  </si>
  <si>
    <t>Futagi</t>
  </si>
  <si>
    <t>MILK Red</t>
  </si>
  <si>
    <t>BOSS: Taro Gunkanyama. Must kill 38F JIN-DIE to unlock the floor.</t>
  </si>
  <si>
    <t>Tomorrow</t>
  </si>
  <si>
    <t>Kakino-Misaki</t>
  </si>
  <si>
    <t>Nakasaki</t>
  </si>
  <si>
    <t>Haratsuka</t>
  </si>
  <si>
    <t>G</t>
  </si>
  <si>
    <t>Gyakufunsha can appear. Three Mk-5 Bullet Tubers.</t>
  </si>
  <si>
    <t>Miketa</t>
  </si>
  <si>
    <t>One Mk-5 Bullet Tuber.</t>
  </si>
  <si>
    <t>Shinkawa</t>
  </si>
  <si>
    <t>Yataka-Cho</t>
  </si>
  <si>
    <t>Red</t>
  </si>
  <si>
    <t>TRAP: Red or Black Metals. Five Screamers one after another.</t>
  </si>
  <si>
    <t>Ebata</t>
  </si>
  <si>
    <t>WE Red</t>
  </si>
  <si>
    <t>BOSS: JIN-DIE. Drops War Ensemble Red Metal. Two Mk-5 Bullet Tubers.</t>
  </si>
  <si>
    <t>Himokawa</t>
  </si>
  <si>
    <t>Four Mk-5 Bullet, two Mk-5 Bone Tubers. Locked coming from Yatsuo Unlock from Nakaeda</t>
  </si>
  <si>
    <t>Jiyu-Toge</t>
  </si>
  <si>
    <t>Sotone</t>
  </si>
  <si>
    <t>Many Leather spawns.</t>
  </si>
  <si>
    <t>Ibakoen</t>
  </si>
  <si>
    <t>Two Mk-5 Bullet Tubers.</t>
  </si>
  <si>
    <t>Ibamura</t>
  </si>
  <si>
    <t>Many Silk spawns (about 4-6).</t>
  </si>
  <si>
    <t>Koba</t>
  </si>
  <si>
    <t>Takanowa</t>
  </si>
  <si>
    <t>44CE</t>
  </si>
  <si>
    <t>MILK 44CE</t>
  </si>
  <si>
    <t>BOSS: Pale Wind - Nightmare. All PW BPs + MILK 44CE metal.</t>
  </si>
  <si>
    <t>Hiromatsu</t>
  </si>
  <si>
    <t>Must unlock from 36F Itanodai.</t>
  </si>
  <si>
    <t>Mitsuba</t>
  </si>
  <si>
    <t>Konagi</t>
  </si>
  <si>
    <t>Atagi</t>
  </si>
  <si>
    <t>Moguro</t>
  </si>
  <si>
    <t>Yatsuo</t>
  </si>
  <si>
    <t>Only properly connects to 35F Wakaba on Monday.</t>
  </si>
  <si>
    <t>Itanodai</t>
  </si>
  <si>
    <t xml:space="preserve">CW Red </t>
  </si>
  <si>
    <t>BOSS: GOTO-9. Drops Candle Wolf Red Metal.</t>
  </si>
  <si>
    <t>Hiranuma</t>
  </si>
  <si>
    <t>Senbashi</t>
  </si>
  <si>
    <t>One Mk-5 Reversal, three Mk-5 Bullet Tubers.</t>
  </si>
  <si>
    <t>Momonoki-Zaka</t>
  </si>
  <si>
    <t>Shina-Yama</t>
  </si>
  <si>
    <t>Must unlock from 34F Nitanda.</t>
  </si>
  <si>
    <t>Wakaba</t>
  </si>
  <si>
    <t>TRAP: Red or Black Metals. 4 Mk-5 Scratch, Mk-5 Hover, a Screamer.
Gate in the garden locks automatically; cannot approach from Nagazaka/Sengoku.</t>
  </si>
  <si>
    <t>Nakaeda</t>
  </si>
  <si>
    <t>One Mk-4 Bullet Tuber.</t>
  </si>
  <si>
    <t>Komada</t>
  </si>
  <si>
    <t>One Mk-4 Reversal Tuber.</t>
  </si>
  <si>
    <t>Dainoba</t>
  </si>
  <si>
    <t>BOSS: Pale Wind - Hard. Drops KC, all PW Armor BPs, and MILK Metals.</t>
  </si>
  <si>
    <t>Nitanda</t>
  </si>
  <si>
    <t>DOD Red</t>
  </si>
  <si>
    <t>BOSS: COEN. Drops DOD ARMS Red Metal.</t>
  </si>
  <si>
    <t>Takayama</t>
  </si>
  <si>
    <t>Sengoku</t>
  </si>
  <si>
    <t>Azaba</t>
  </si>
  <si>
    <t>Nagazaka</t>
  </si>
  <si>
    <t>Kohashi</t>
  </si>
  <si>
    <t>Three traps, each with a Mk-4 Reversal Tuber. Chance for a Golden Bird.</t>
  </si>
  <si>
    <t>Otani-Yama</t>
  </si>
  <si>
    <t>Togose</t>
  </si>
  <si>
    <t>Uchinobu</t>
  </si>
  <si>
    <t>Miraigaoka</t>
  </si>
  <si>
    <t>One Mk-5 Bullet Tuber. Unlock from 31F Obara.</t>
  </si>
  <si>
    <t>Tengokuji</t>
  </si>
  <si>
    <t>Kurome</t>
  </si>
  <si>
    <t>Midorisaka</t>
  </si>
  <si>
    <t>Two Mk-4 Bullet Tubers.</t>
  </si>
  <si>
    <t>Akabadai</t>
  </si>
  <si>
    <t>Shirokin</t>
  </si>
  <si>
    <t>BOSS: Pale Wind - Normal. Drops KC, or (rarely) BPs from Taro's area.</t>
  </si>
  <si>
    <t>Koshi-Yama</t>
  </si>
  <si>
    <t>TRAP: Red or Black Metals. Mk-4 Bone Tuber, two Screamers. Unlock from 33F Uchinobu.</t>
  </si>
  <si>
    <t>Katsuma</t>
  </si>
  <si>
    <t>BOSS: U-10. Drops MILK Red Metal.</t>
  </si>
  <si>
    <t>Osuki</t>
  </si>
  <si>
    <t>Obara</t>
  </si>
  <si>
    <t>Koi</t>
  </si>
  <si>
    <t>One Mk-4 Reversal Tuber in a dead-end trap room.</t>
  </si>
  <si>
    <t>Itsu-Tsukumo</t>
  </si>
  <si>
    <t>Towada</t>
  </si>
  <si>
    <t>Hikiage</t>
  </si>
  <si>
    <t>Yokozuna</t>
  </si>
  <si>
    <t>Utatsu</t>
  </si>
  <si>
    <t>One Mk-4 Reversal Tuber. Floor is Friday only.</t>
  </si>
  <si>
    <t>Nabokucho</t>
  </si>
  <si>
    <t>CW 44CE</t>
  </si>
  <si>
    <t>BOSS: Black Thunder - Nightmare. All BT BPs + CW 44CE metal.</t>
  </si>
  <si>
    <t>Saigetsu</t>
  </si>
  <si>
    <t>CW Black</t>
  </si>
  <si>
    <t>BOSS: Mr. Crowley.</t>
  </si>
  <si>
    <t>Hashidaka</t>
  </si>
  <si>
    <t>Unlock from 28F Hyakkoku and/or Hyakuda. One Mk-4 Reversal Tuber.</t>
  </si>
  <si>
    <t>Aotobashi</t>
  </si>
  <si>
    <t>Henke</t>
  </si>
  <si>
    <t>Banzei</t>
  </si>
  <si>
    <t>Five Mk-4 Bullet, one Mk-4 Reversal. Gate to Hyakkoku locks again every run, clear trap room.</t>
  </si>
  <si>
    <t>Tatekawa</t>
  </si>
  <si>
    <t>Clearing the trap room unlocks one of three gates on 22F Fukuiki.</t>
  </si>
  <si>
    <t>Temae-Jima</t>
  </si>
  <si>
    <t>Monday only. The Yotsuyama Bionics page here is the only one on a day-exclusive floor.</t>
  </si>
  <si>
    <t>Hyakkoku</t>
  </si>
  <si>
    <t>Black</t>
  </si>
  <si>
    <t>TRAP: Black or Green Metals. Four Mk-4 Scratch, one Mk-4 Hover, spear Screamer.</t>
  </si>
  <si>
    <t>Hyakuda</t>
  </si>
  <si>
    <t>TRAP: Black or Green Metals. Five Screamers, one at a time.</t>
  </si>
  <si>
    <t>Fumibana</t>
  </si>
  <si>
    <t>Tojima</t>
  </si>
  <si>
    <t>Yukiyoshi</t>
  </si>
  <si>
    <t>G★</t>
  </si>
  <si>
    <t>Gyakufunsha always appears, sells 3-5★ mats, all Tuber metals, and Black / Red Metals.</t>
  </si>
  <si>
    <t>Shinko-Bashi</t>
  </si>
  <si>
    <t>Elevator is locked behind two gates until both 26F COEN and 26F JIN-DIE are defeated.</t>
  </si>
  <si>
    <t>Oe</t>
  </si>
  <si>
    <t>Kinoe</t>
  </si>
  <si>
    <t>Daimon-Machi</t>
  </si>
  <si>
    <t>Gyakufunsha can appear. Must first enter from 26F Oshimi.</t>
  </si>
  <si>
    <t>Dotedori</t>
  </si>
  <si>
    <t>Rikka</t>
  </si>
  <si>
    <t>Clearing the trap room unlocks one of three gates on F22 Fukuiki.</t>
  </si>
  <si>
    <t>Shichi-Fugu</t>
  </si>
  <si>
    <t>Four Mk-3 Bullet Tubers.</t>
  </si>
  <si>
    <t>Kurokawa</t>
  </si>
  <si>
    <t>Oshimi</t>
  </si>
  <si>
    <t>DOD Black</t>
  </si>
  <si>
    <t>BOSS: COEN. Drops DOD ARMS Black Metal. Unlocks one of the gates to the 27F Elevator.</t>
  </si>
  <si>
    <t>Shimomeno</t>
  </si>
  <si>
    <t>WE Black</t>
  </si>
  <si>
    <t>BOSS: JIN-DIE. Drops War Ensemble Black Metal. Unlocks one of the gates to the 27F Elevator.</t>
  </si>
  <si>
    <t>Yoshimi</t>
  </si>
  <si>
    <t>Hatake-gara</t>
  </si>
  <si>
    <t>BOSS: Black Thunder - Hard. Drops KC, all BT Armor / Head of Medusa BPs, and CW Metals.</t>
  </si>
  <si>
    <t>Kanie</t>
  </si>
  <si>
    <t>Fugami</t>
  </si>
  <si>
    <t>Must first enter from 22F Toyokawa.</t>
  </si>
  <si>
    <t>Fuyu-Bayashi</t>
  </si>
  <si>
    <t>Furu-Iwaba</t>
  </si>
  <si>
    <t>Tsubaki</t>
  </si>
  <si>
    <t>Up to three Golden Turtles.</t>
  </si>
  <si>
    <t>Oshi-Hama</t>
  </si>
  <si>
    <t>Unlock from both 22F Agasu and 27F Yukiyoshi.</t>
  </si>
  <si>
    <t>Moriba</t>
  </si>
  <si>
    <t>Gyakufunsha can appear. Small area with a single Hater - good for farming CHARGERS.</t>
  </si>
  <si>
    <t>Sumikiyo</t>
  </si>
  <si>
    <t>Unlock from 23F Echizen-Jima.</t>
  </si>
  <si>
    <t>Agasu</t>
  </si>
  <si>
    <t>Echizen-Jima</t>
  </si>
  <si>
    <t>BOSS: GOTO-9. Drops Candle Wolf Black Metals.</t>
  </si>
  <si>
    <t>Honkawa</t>
  </si>
  <si>
    <t>Chance for a Golden Scorpion.</t>
  </si>
  <si>
    <t>Sensu-Bashi</t>
  </si>
  <si>
    <t>Only connects to 22F Iwajima on Wednesdays / Sundays.</t>
  </si>
  <si>
    <t>Kawabe</t>
  </si>
  <si>
    <t>TRAP: Black or Green Metals. Two Mk-3 Bone, one axe Screamer.</t>
  </si>
  <si>
    <t>Tomiyama</t>
  </si>
  <si>
    <t>Toyokawa</t>
  </si>
  <si>
    <t>Must first enter from 21F Akami.</t>
  </si>
  <si>
    <t>Okano</t>
  </si>
  <si>
    <t>Must first enter from 25F Fuyu-Bayashi. Mk-3 Reversal Tuber. Clear traps to unlock floor gates.</t>
  </si>
  <si>
    <t>Fukuiki</t>
  </si>
  <si>
    <t>Single Hater. Clearing trap rooms on connected floors 25, 27 &amp; 29 unlocks gates.</t>
  </si>
  <si>
    <t>Eisei</t>
  </si>
  <si>
    <t>Floor is Friday only.</t>
  </si>
  <si>
    <t>Iwajima</t>
  </si>
  <si>
    <t>Unock from 23F Honkawa. One Mk-3 Reversal Tuber; Don't loot all chests or it'll stop spawning.</t>
  </si>
  <si>
    <t>Hizashi-gaoka</t>
  </si>
  <si>
    <t>BOSS: Black Thunder - Normal. Drops KC, or (rarely) BPs from Crowley's area.</t>
  </si>
  <si>
    <t>Akami</t>
  </si>
  <si>
    <t>Arigure</t>
  </si>
  <si>
    <t>Nora</t>
  </si>
  <si>
    <t>Monegi</t>
  </si>
  <si>
    <t>Hachiyanma</t>
  </si>
  <si>
    <t>WE Green</t>
  </si>
  <si>
    <t>BOSS: Colonel Jackson.</t>
  </si>
  <si>
    <t>Daida</t>
  </si>
  <si>
    <t>One Mk-2 Reversal Tuber.</t>
  </si>
  <si>
    <t>Chitose-Mei</t>
  </si>
  <si>
    <t>Green</t>
  </si>
  <si>
    <t>TRAP: Green or Blue Metals. 5 Screamers. Not active on Thursdays.</t>
  </si>
  <si>
    <t>Trap Room not active on Thursdays.</t>
  </si>
  <si>
    <t>Hibiki</t>
  </si>
  <si>
    <t>Floor is active every day, except Monday.</t>
  </si>
  <si>
    <t>Mekamachi</t>
  </si>
  <si>
    <t>Temo-Uma</t>
  </si>
  <si>
    <t>TRAP: Green or Blue Metals. Mk-3 Bullet, Bone Tuber, Screamer.</t>
  </si>
  <si>
    <t>Tata</t>
  </si>
  <si>
    <t>Taishidon</t>
  </si>
  <si>
    <t>Bo-Tsutsumi</t>
  </si>
  <si>
    <t>Kinutamin</t>
  </si>
  <si>
    <t>Nutakoen</t>
  </si>
  <si>
    <t>Gyakufunsha can appear.</t>
  </si>
  <si>
    <t>Hoshi-Josui</t>
  </si>
  <si>
    <t>Kyuzaka</t>
  </si>
  <si>
    <t>WE 44CE</t>
  </si>
  <si>
    <t>BOSS: Red Napalm - Nightmare. All RN BPs + WE 44CE metal.</t>
  </si>
  <si>
    <t>Kaga</t>
  </si>
  <si>
    <t>BOSS: JIN-DIE. Drops War Ensemble Green Metal.</t>
  </si>
  <si>
    <t>Kisuyama</t>
  </si>
  <si>
    <t>Kitamin</t>
  </si>
  <si>
    <t>Usogaya</t>
  </si>
  <si>
    <t>Uge</t>
  </si>
  <si>
    <t>Yamadai</t>
  </si>
  <si>
    <t>Many Hemp spawns (about 3-6).</t>
  </si>
  <si>
    <t>Koshi-Tagawa</t>
  </si>
  <si>
    <t>Gyakufunsha can appear. Floor is active every day, except Friday.</t>
  </si>
  <si>
    <t>Ukisawa</t>
  </si>
  <si>
    <t>Takoya</t>
  </si>
  <si>
    <t>Unlock from 13F Nonokura. Floor is Friday only.</t>
  </si>
  <si>
    <t>Kami-Umai</t>
  </si>
  <si>
    <t>Fune-Hashi</t>
  </si>
  <si>
    <t>BOSS: Red Napalm - Hard. Drops KC, all RN Armor BPs, and WE Metals.</t>
  </si>
  <si>
    <t>Kamoto</t>
  </si>
  <si>
    <t>Momohara</t>
  </si>
  <si>
    <t>Okusa</t>
  </si>
  <si>
    <t>Unlock from 14F Ukisawa. 2-3 Golden Snails, throw a Beast to knock them down.</t>
  </si>
  <si>
    <t>Nonokura</t>
  </si>
  <si>
    <t>Ukongaoka</t>
  </si>
  <si>
    <t>Fuga-Dokoro</t>
  </si>
  <si>
    <t>BOSS: Red Napalm - Normal. Drops KC, and (rarely) BPs from Jackson's area.</t>
  </si>
  <si>
    <t>Seyane</t>
  </si>
  <si>
    <t>Unlock from 14F Yamadai.</t>
  </si>
  <si>
    <t>Maka-Tsutsumi</t>
  </si>
  <si>
    <t>CW Green</t>
  </si>
  <si>
    <t>BOSS: GOTO-9. Drops Candle Wolf Green Metal.</t>
  </si>
  <si>
    <t>Nokejiri</t>
  </si>
  <si>
    <t>TRAP: Green or Blue Metals. Not active on Tue/Wed/Sat/Sun. 2 Bone Tubers, 1 Screamer.</t>
  </si>
  <si>
    <t>Unlock from 10F Shimo-Omeno. Trap room not active on Tue/Wed/Sat/Sun.</t>
  </si>
  <si>
    <t>Shimo-Omeno</t>
  </si>
  <si>
    <t>Omeno-Toichi</t>
  </si>
  <si>
    <t>Four Mk-2 Hover Tubers.</t>
  </si>
  <si>
    <t>Omeno-Soto</t>
  </si>
  <si>
    <t>DOD Blue</t>
  </si>
  <si>
    <t>BOSS: Max Sharp.</t>
  </si>
  <si>
    <t>Nashiyoguchi</t>
  </si>
  <si>
    <t>Yoneguchi</t>
  </si>
  <si>
    <t>Yoshiki-Dani</t>
  </si>
  <si>
    <t>One Mk-1 Reversal Tuber.</t>
  </si>
  <si>
    <t>Dasahi-Machi</t>
  </si>
  <si>
    <t>Five Mk-1 Bone Tubers.</t>
  </si>
  <si>
    <t>Omeno-Kita</t>
  </si>
  <si>
    <t>Niko-Senzoku</t>
  </si>
  <si>
    <t>Unlock from 6F Mekaroku-Go. One Mk-1 Bullet Tuber.</t>
  </si>
  <si>
    <t>Meta-Koya</t>
  </si>
  <si>
    <t>Maminemachi</t>
  </si>
  <si>
    <t>Must first enter from 7F Regashi-Koya.</t>
  </si>
  <si>
    <t>Sashi-Magome</t>
  </si>
  <si>
    <t>Kohni</t>
  </si>
  <si>
    <t>DOD 44CE</t>
  </si>
  <si>
    <t>BOSS: White Steel, Nightmare. All WS BPs + DOD 44CE metal.</t>
  </si>
  <si>
    <t>Daneda</t>
  </si>
  <si>
    <t>Unlock from Niko-Senzoku Lots of Snails.</t>
  </si>
  <si>
    <t>Yuki</t>
  </si>
  <si>
    <t>Unlocked from HYAKUDORI (after Jin-Die Kill) Three Mk-1 Bullet Tubers.</t>
  </si>
  <si>
    <t>Regashi-Koya</t>
  </si>
  <si>
    <t>Gates in two corridors close and stay locked until you return to Waiting Room.</t>
  </si>
  <si>
    <t>Goshi-Magome</t>
  </si>
  <si>
    <t>Shimine-Machi</t>
  </si>
  <si>
    <t>Eight Mk-1 Bone Tubers.</t>
  </si>
  <si>
    <t>Megashi-Koya</t>
  </si>
  <si>
    <t>Moka-Magome</t>
  </si>
  <si>
    <t>WE Blue</t>
  </si>
  <si>
    <t>BOSS: JIN-DIE. Drops War Ensemble Blue Metal. Trap not active Mondays &amp; Thursdays.</t>
  </si>
  <si>
    <t>Blue</t>
  </si>
  <si>
    <t>BOSS: JIN-DIE. Drops War Ensemble Blue Metal. TRAP: Blue Metals, 5 Screamers.</t>
  </si>
  <si>
    <t>Mekaroku-Go</t>
  </si>
  <si>
    <t>Four Mk-1 Bullet Tubers, three of them in one room.</t>
  </si>
  <si>
    <t>Heimo-Jima</t>
  </si>
  <si>
    <t>Unlock from 9F Dasahi-Machi. One long hallway with 25 Mk-1 Scratch Tubers and a Hater.</t>
  </si>
  <si>
    <t>Chudo</t>
  </si>
  <si>
    <t>Chance for Golden Frogs and Golden Rats. Floor is Friday only.</t>
  </si>
  <si>
    <t>Hyakudori</t>
  </si>
  <si>
    <t>Unlock from 3F Kami-Ikedoi.</t>
  </si>
  <si>
    <t>Joten-Jima</t>
  </si>
  <si>
    <t>Sokai</t>
  </si>
  <si>
    <t>One Mk-1 Reversal Tuber, three Mk-1 Bone Tubers.</t>
  </si>
  <si>
    <t>Denden-Chofu</t>
  </si>
  <si>
    <t>Gyakufunsha can appear. Many Wool spawns.</t>
  </si>
  <si>
    <t>Moka-Ikegami</t>
  </si>
  <si>
    <t>Somagawa</t>
  </si>
  <si>
    <t>Omeno-Inari</t>
  </si>
  <si>
    <t>BOSS: White Steel - Hard. Drops KC, WS Head / Legs / Spike Crusher BPs, and various Metals.</t>
  </si>
  <si>
    <t>Tagahara</t>
  </si>
  <si>
    <t>Manno</t>
  </si>
  <si>
    <t>Must first enter from 3F Sotosenzoku.</t>
  </si>
  <si>
    <t>Shimo-Mariko</t>
  </si>
  <si>
    <t>Kyowa-Jima</t>
  </si>
  <si>
    <t>Chance for Golden Frogs and Golden Rats.</t>
  </si>
  <si>
    <t>Kankamata</t>
  </si>
  <si>
    <t>Unlock from 9F Omeno-Kira. Many chests containing Kill Coins, 25-30k KC total.</t>
  </si>
  <si>
    <t>Keiran-Jima</t>
  </si>
  <si>
    <t>Unlock from 6F Chudo. Very small - just a short hallway with one hater. Floor is Friday only.</t>
  </si>
  <si>
    <t>Reginaka</t>
  </si>
  <si>
    <t>BOSS: White Steel - Normal. Drops KC, and (rarely) BP's from Max's area.</t>
  </si>
  <si>
    <t>Tamata</t>
  </si>
  <si>
    <t>BOSS: COEN. Drops DOD ARMS Blue Metal. TRAP: Blue Metals, only active Mon / Thu / Fri.</t>
  </si>
  <si>
    <t>Kami-Ikedoi</t>
  </si>
  <si>
    <t>TRAP: Blue Metals. 3 Screamers. Trap is active every day, but doesn't always spawn.</t>
  </si>
  <si>
    <t>Sotosenzoku</t>
  </si>
  <si>
    <t>Small area, with a single Hater and many Iron Scraps.</t>
  </si>
  <si>
    <t>Metakojiya</t>
  </si>
  <si>
    <t>Lots of Skillshrooms, mainly Bronze with some Silver and Gold.</t>
  </si>
  <si>
    <t>Kimo-Magome</t>
  </si>
  <si>
    <t>Single Hater in Trap room.</t>
  </si>
  <si>
    <t>Minemachi</t>
  </si>
  <si>
    <t>Unlock from 7F Shimine-Machi.</t>
  </si>
  <si>
    <t>Omoki</t>
  </si>
  <si>
    <t>Gyakufunsha always appears, sells 1-2★ mats, Scratch/Hovering/Reversal &amp; Blue/Green Metals.</t>
  </si>
  <si>
    <t>Imokawa-Cho</t>
  </si>
  <si>
    <t>Wanoki</t>
  </si>
  <si>
    <t>Over 18 Screamers, good for Mastery farming or Screamer quests.</t>
  </si>
  <si>
    <t>Ikegara</t>
  </si>
  <si>
    <t>Sources &amp; Help:</t>
  </si>
  <si>
    <t>THIS SPREADSHEET:</t>
  </si>
  <si>
    <t>Oberlinx</t>
  </si>
  <si>
    <t>Created by Oberlinx - March 30, 2017</t>
  </si>
  <si>
    <t>Spreadsheet V2 Update - February 8, 2021</t>
  </si>
  <si>
    <t>Maintained by Oberlinx and Kaito, and made
possible thanks to the LID community.</t>
  </si>
  <si>
    <t>oberlinx#8496</t>
  </si>
  <si>
    <t>Original Maps:</t>
  </si>
  <si>
    <t>Kaito</t>
  </si>
  <si>
    <t>https://www.reddit.com/5mxlvz/</t>
  </si>
  <si>
    <t>https://www.reddit.com/5mcmqo/</t>
  </si>
  <si>
    <t>https://www.reddit.com/5mlay8/</t>
  </si>
  <si>
    <t>Kaito#5962</t>
  </si>
  <si>
    <t>https://www.reddit.com/5mq53q/</t>
  </si>
  <si>
    <t>Resources:</t>
  </si>
  <si>
    <t>Reddit:</t>
  </si>
  <si>
    <t>Facebook:</t>
  </si>
  <si>
    <t>Discord:</t>
  </si>
  <si>
    <t>ENG Website:</t>
  </si>
  <si>
    <t>Wiki:</t>
  </si>
  <si>
    <t>JPN Website:</t>
  </si>
  <si>
    <t>Twitter:</t>
  </si>
  <si>
    <t>Support Ticket:</t>
  </si>
  <si>
    <t>Guides:</t>
  </si>
  <si>
    <t>Khuron</t>
  </si>
  <si>
    <t>TrustworthyAndy</t>
  </si>
  <si>
    <t>Outdated Guides/Resources:</t>
  </si>
  <si>
    <t>Last Update</t>
  </si>
  <si>
    <t>JP Wiki</t>
  </si>
  <si>
    <t>Official FAQ</t>
  </si>
  <si>
    <t>SolVanHeart</t>
  </si>
  <si>
    <t>Decemeber 22, 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</si>
</sst>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%"/>
    <numFmt numFmtId="165" formatCode="M/d/yyyy"/>
    <numFmt numFmtId="166" formatCode="mmmm d, yyyy"/>
  </numFmts>
  <fonts count="96">
    <font>
      <sz val="10.0"/>
      <color rgb="FF000000"/>
      <name val="Arial"/>
    </font>
    <font>
      <b/>
      <sz val="17.0"/>
      <color rgb="FF000000"/>
      <name val="Cambria"/>
    </font>
    <font>
      <b/>
      <sz val="14.0"/>
      <name val="Cambria"/>
    </font>
    <font>
      <b/>
      <sz val="11.0"/>
      <name val="Cambria"/>
    </font>
    <font>
      <b/>
      <sz val="11.0"/>
      <color rgb="FFF3F3F3"/>
      <name val="Cambria"/>
    </font>
    <font>
      <sz val="11.0"/>
      <name val="Calibri"/>
    </font>
    <font/>
    <font>
      <u/>
      <color rgb="FF0000FF"/>
    </font>
    <font>
      <b/>
      <sz val="9.0"/>
      <name val="Cambria"/>
    </font>
    <font>
      <b/>
      <sz val="10.0"/>
      <name val="Cambria"/>
    </font>
    <font>
      <b/>
      <sz val="12.0"/>
      <name val="Cambria"/>
    </font>
    <font>
      <b/>
    </font>
    <font>
      <sz val="9.0"/>
    </font>
    <font>
      <b/>
      <sz val="17.0"/>
      <name val="Cambria"/>
    </font>
    <font>
      <b/>
      <sz val="11.0"/>
      <color rgb="FF000000"/>
      <name val="Cambria"/>
    </font>
    <font>
      <sz val="11.0"/>
      <color rgb="FF000000"/>
      <name val="Calibri"/>
    </font>
    <font>
      <b/>
      <sz val="12.0"/>
      <color rgb="FFFFFFFF"/>
      <name val="Cambria"/>
    </font>
    <font>
      <sz val="10.0"/>
      <color rgb="FF000000"/>
      <name val="Calibri"/>
    </font>
    <font>
      <u/>
      <color rgb="FF1155CC"/>
    </font>
    <font>
      <b/>
      <color rgb="FFFFFFFF"/>
      <name val="Cambria"/>
    </font>
    <font>
      <sz val="9.0"/>
      <color rgb="FF000000"/>
      <name val="Calibri"/>
    </font>
    <font>
      <u/>
      <color rgb="FF0000FF"/>
    </font>
    <font>
      <b/>
      <sz val="9.0"/>
      <color rgb="FFFFFFFF"/>
      <name val="Cambria"/>
    </font>
    <font>
      <sz val="11.0"/>
      <color rgb="FF1C1C1C"/>
      <name val="&quot;Noto Sans&quot;"/>
    </font>
    <font>
      <b/>
      <sz val="10.0"/>
    </font>
    <font>
      <sz val="10.0"/>
    </font>
    <font>
      <sz val="9.0"/>
      <color rgb="FFF3F3F3"/>
    </font>
    <font>
      <b/>
      <sz val="9.0"/>
      <color rgb="FFFFFF00"/>
    </font>
    <font>
      <b/>
      <sz val="9.0"/>
      <color rgb="FFFF0000"/>
    </font>
    <font>
      <b/>
      <sz val="9.0"/>
      <color rgb="FFDA2121"/>
    </font>
    <font>
      <b/>
      <sz val="10.0"/>
      <color rgb="FFFFD966"/>
    </font>
    <font>
      <color rgb="FFF3F3F3"/>
    </font>
    <font>
      <b/>
      <sz val="10.0"/>
      <name val="Arial"/>
    </font>
    <font>
      <u/>
      <sz val="10.0"/>
      <color rgb="FF0000FF"/>
      <name val="Arial"/>
    </font>
    <font>
      <sz val="10.0"/>
      <name val="Arial"/>
    </font>
    <font>
      <sz val="9.0"/>
      <name val="Arial"/>
    </font>
    <font>
      <u/>
      <sz val="10.0"/>
      <color rgb="FF1155CC"/>
      <name val="Arial"/>
    </font>
    <font>
      <b/>
      <sz val="11.0"/>
    </font>
    <font>
      <b/>
      <sz val="14.0"/>
      <color rgb="FF000000"/>
      <name val="Cambria"/>
    </font>
    <font>
      <sz val="8.0"/>
    </font>
    <font>
      <b/>
      <sz val="10.0"/>
      <color rgb="FFFFFFFF"/>
      <name val="Arial"/>
    </font>
    <font>
      <b/>
      <color rgb="FFFFFFFF"/>
      <name val="Arial"/>
    </font>
    <font>
      <name val="Arial"/>
    </font>
    <font>
      <color rgb="FFF3F3F3"/>
      <name val="Arial"/>
    </font>
    <font>
      <sz val="9.0"/>
      <color rgb="FFFFFFFF"/>
      <name val="Arial"/>
    </font>
    <font>
      <sz val="10.0"/>
      <color rgb="FFFFFFFF"/>
      <name val="Arial"/>
    </font>
    <font>
      <b/>
      <color rgb="FF980000"/>
      <name val="Arial"/>
    </font>
    <font>
      <color rgb="FFFFF2CC"/>
      <name val="Arial"/>
    </font>
    <font>
      <b/>
      <color rgb="FFFF00FF"/>
      <name val="Arial"/>
    </font>
    <font>
      <color rgb="FFFFFFFF"/>
      <name val="Arial"/>
    </font>
    <font>
      <color rgb="FFEFEFEF"/>
      <name val="Arial"/>
    </font>
    <font>
      <color rgb="FFCFE2F3"/>
      <name val="Arial"/>
    </font>
    <font>
      <color rgb="FFFFE599"/>
      <name val="Arial"/>
    </font>
    <font>
      <b/>
      <color rgb="FF5B0F00"/>
      <name val="Arial"/>
    </font>
    <font>
      <color rgb="FFFCE8B2"/>
      <name val="Arial"/>
    </font>
    <font>
      <u/>
      <sz val="10.0"/>
      <color rgb="FFFFFFFF"/>
      <name val="Arial"/>
    </font>
    <font>
      <u/>
      <sz val="10.0"/>
      <color rgb="FFFFFFFF"/>
      <name val="Arial"/>
    </font>
    <font>
      <u/>
      <sz val="10.0"/>
      <color rgb="FFFFFFFF"/>
      <name val="Arial"/>
    </font>
    <font>
      <u/>
      <sz val="10.0"/>
      <color rgb="FFFFFFFF"/>
      <name val="Arial"/>
    </font>
    <font>
      <color rgb="FFFFFFFF"/>
    </font>
    <font>
      <u/>
      <sz val="10.0"/>
      <color rgb="FF1155CC"/>
      <name val="Arial"/>
    </font>
    <font>
      <u/>
      <sz val="10.0"/>
      <color rgb="FF0000FF"/>
      <name val="Arial"/>
    </font>
    <font>
      <b/>
      <color rgb="FF990000"/>
      <name val="Arial"/>
    </font>
    <font>
      <color rgb="FF5B0F00"/>
      <name val="Arial"/>
    </font>
    <font>
      <sz val="9.0"/>
      <color rgb="FF5B0F00"/>
      <name val="Arial"/>
    </font>
    <font>
      <b/>
      <color rgb="FFBFBFBF"/>
      <name val="Arial"/>
    </font>
    <font>
      <b/>
      <color rgb="FF00FF74"/>
      <name val="Arial"/>
    </font>
    <font>
      <b/>
      <color rgb="FF00FFFF"/>
      <name val="Arial"/>
    </font>
    <font>
      <b/>
      <sz val="12.0"/>
      <color rgb="FFF3F3F3"/>
      <name val="Arial"/>
    </font>
    <font>
      <b/>
      <color rgb="FF000000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b/>
      <color rgb="FF0000FF"/>
      <name val="Arial"/>
    </font>
    <font>
      <b/>
      <u/>
      <color rgb="FFFFFFFF"/>
      <name val="Arial"/>
    </font>
    <font>
      <u/>
      <color rgb="FF0000FF"/>
      <name val="Arial"/>
    </font>
    <font>
      <b/>
      <u/>
      <color rgb="FFFFFFFF"/>
      <name val="Arial"/>
    </font>
    <font>
      <u/>
      <color rgb="FF1155CC"/>
      <name val="Arial"/>
    </font>
    <font>
      <u/>
      <color rgb="FF0000FF"/>
    </font>
    <font>
      <b/>
      <u/>
      <color rgb="FFFFFFFF"/>
      <name val="Arial"/>
    </font>
    <font>
      <u/>
      <color rgb="FF1155CC"/>
      <name val="Arial"/>
    </font>
    <font>
      <b/>
      <u/>
      <color rgb="FFFFFFFF"/>
      <name val="Arial"/>
    </font>
    <font>
      <u/>
      <color rgb="FF1155CC"/>
      <name val="Arial"/>
    </font>
    <font>
      <b/>
      <name val="Arial"/>
    </font>
    <font>
      <u/>
      <color rgb="FF0000FF"/>
    </font>
    <font>
      <u/>
      <color rgb="FF0000FF"/>
    </font>
    <font>
      <u/>
      <color rgb="FF0000FF"/>
    </font>
    <font>
      <u/>
      <color rgb="FF1155CC"/>
      <name val="Arial"/>
    </font>
    <font>
      <sz val="11.0"/>
    </font>
    <font>
      <u/>
      <sz val="11.0"/>
      <color rgb="FF0000FF"/>
    </font>
    <font>
      <u/>
      <color rgb="FF0000FF"/>
    </font>
    <font>
      <u/>
      <color rgb="FF1155CC"/>
    </font>
    <font>
      <u/>
      <sz val="9.0"/>
      <color rgb="FF0000FF"/>
    </font>
    <font>
      <u/>
      <color rgb="FF0000FF"/>
    </font>
    <font>
      <u/>
      <sz val="9.0"/>
      <color rgb="FF0000FF"/>
    </font>
  </fonts>
  <fills count="44">
    <fill>
      <patternFill patternType="none"/>
    </fill>
    <fill>
      <patternFill patternType="lightGray"/>
    </fill>
    <fill>
      <patternFill patternType="solid">
        <fgColor rgb="FFF4C7C3"/>
        <bgColor rgb="FFF4C7C3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674EA7"/>
        <bgColor rgb="FF674EA7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1C1C1C"/>
        <bgColor rgb="FF1C1C1C"/>
      </patternFill>
    </fill>
    <fill>
      <patternFill patternType="solid">
        <fgColor rgb="FFFFFFFF"/>
        <bgColor rgb="FFFFFFFF"/>
      </patternFill>
    </fill>
    <fill>
      <patternFill patternType="solid">
        <fgColor rgb="FF161616"/>
        <bgColor rgb="FF161616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17375D"/>
        <bgColor rgb="FF17375D"/>
      </patternFill>
    </fill>
    <fill>
      <patternFill patternType="solid">
        <fgColor rgb="FF7030A0"/>
        <bgColor rgb="FF7030A0"/>
      </patternFill>
    </fill>
    <fill>
      <patternFill patternType="solid">
        <fgColor rgb="FF000000"/>
        <bgColor rgb="FF000000"/>
      </patternFill>
    </fill>
    <fill>
      <patternFill patternType="solid">
        <fgColor rgb="FFDE8F41"/>
        <bgColor rgb="FFDE8F41"/>
      </patternFill>
    </fill>
    <fill>
      <patternFill patternType="solid">
        <fgColor rgb="FF60497B"/>
        <bgColor rgb="FF60497B"/>
      </patternFill>
    </fill>
    <fill>
      <patternFill patternType="solid">
        <fgColor rgb="FFFB70FB"/>
        <bgColor rgb="FFFB70FB"/>
      </patternFill>
    </fill>
    <fill>
      <patternFill patternType="solid">
        <fgColor rgb="FF9E9E9E"/>
        <bgColor rgb="FF9E9E9E"/>
      </patternFill>
    </fill>
    <fill>
      <patternFill patternType="solid">
        <fgColor rgb="FF4185C9"/>
        <bgColor rgb="FF4185C9"/>
      </patternFill>
    </fill>
    <fill>
      <patternFill patternType="solid">
        <fgColor rgb="FF409F40"/>
        <bgColor rgb="FF409F40"/>
      </patternFill>
    </fill>
    <fill>
      <patternFill patternType="solid">
        <fgColor rgb="FFFB6262"/>
        <bgColor rgb="FFFB6262"/>
      </patternFill>
    </fill>
    <fill>
      <patternFill patternType="solid">
        <fgColor rgb="FF86675C"/>
        <bgColor rgb="FF86675C"/>
      </patternFill>
    </fill>
    <fill>
      <patternFill patternType="solid">
        <fgColor rgb="FF31849B"/>
        <bgColor rgb="FF31849B"/>
      </patternFill>
    </fill>
    <fill>
      <patternFill patternType="solid">
        <fgColor rgb="FF4F6228"/>
        <bgColor rgb="FF4F6228"/>
      </patternFill>
    </fill>
    <fill>
      <patternFill patternType="solid">
        <fgColor rgb="FFE46D0A"/>
        <bgColor rgb="FFE46D0A"/>
      </patternFill>
    </fill>
    <fill>
      <patternFill patternType="solid">
        <fgColor rgb="FF632523"/>
        <bgColor rgb="FF632523"/>
      </patternFill>
    </fill>
    <fill>
      <patternFill patternType="solid">
        <fgColor rgb="FFB7B7B7"/>
        <bgColor rgb="FFB7B7B7"/>
      </patternFill>
    </fill>
    <fill>
      <patternFill patternType="solid">
        <fgColor rgb="FFDD7E6B"/>
        <bgColor rgb="FFDD7E6B"/>
      </patternFill>
    </fill>
    <fill>
      <patternFill patternType="solid">
        <fgColor rgb="FF434343"/>
        <bgColor rgb="FF434343"/>
      </patternFill>
    </fill>
    <fill>
      <patternFill patternType="solid">
        <fgColor rgb="FF38761D"/>
        <bgColor rgb="FF38761D"/>
      </patternFill>
    </fill>
    <fill>
      <patternFill patternType="solid">
        <fgColor rgb="FF0B5394"/>
        <bgColor rgb="FF0B5394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23">
    <border/>
    <border>
      <right style="medium">
        <color rgb="FF7F6000"/>
      </right>
    </border>
    <border>
      <left style="medium">
        <color rgb="FF7F6000"/>
      </left>
      <right style="medium">
        <color rgb="FF7F6000"/>
      </right>
      <top style="medium">
        <color rgb="FF7F6000"/>
      </top>
    </border>
    <border>
      <left style="medium">
        <color rgb="FF7F6000"/>
      </left>
      <right style="medium">
        <color rgb="FF7F6000"/>
      </right>
      <bottom style="medium">
        <color rgb="FF7F6000"/>
      </bottom>
    </border>
    <border>
      <left style="medium">
        <color rgb="FF7F6000"/>
      </left>
      <top style="medium">
        <color rgb="FF7F6000"/>
      </top>
    </border>
    <border>
      <right style="medium">
        <color rgb="FF7F6000"/>
      </right>
      <top style="medium">
        <color rgb="FF7F6000"/>
      </top>
    </border>
    <border>
      <top style="medium">
        <color rgb="FF7F6000"/>
      </top>
    </border>
    <border>
      <left style="medium">
        <color rgb="FF7F6000"/>
      </left>
    </border>
    <border>
      <left style="medium">
        <color rgb="FF7F6000"/>
      </left>
      <right style="medium">
        <color rgb="FF7F6000"/>
      </right>
    </border>
    <border>
      <left style="medium">
        <color rgb="FF7F6000"/>
      </left>
      <bottom style="medium">
        <color rgb="FF7F6000"/>
      </bottom>
    </border>
    <border>
      <right style="medium">
        <color rgb="FF7F6000"/>
      </right>
      <bottom style="medium">
        <color rgb="FF7F6000"/>
      </bottom>
    </border>
    <border>
      <bottom style="medium">
        <color rgb="FF7F6000"/>
      </bottom>
    </border>
    <border>
      <bottom style="thin">
        <color rgb="FF000000"/>
      </bottom>
    </border>
    <border>
      <top style="thin">
        <color rgb="FF000000"/>
      </top>
    </border>
    <border>
      <left style="thick">
        <color rgb="FF666666"/>
      </left>
      <right style="thick">
        <color rgb="FF666666"/>
      </right>
      <top style="thick">
        <color rgb="FF666666"/>
      </top>
    </border>
    <border>
      <left style="thick">
        <color rgb="FF666666"/>
      </left>
      <right style="thick">
        <color rgb="FF666666"/>
      </right>
      <bottom style="thick">
        <color rgb="FF666666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3" fontId="2" numFmtId="0" xfId="0" applyAlignment="1" applyFill="1" applyFont="1">
      <alignment horizontal="center" readingOrder="0" vertical="center"/>
    </xf>
    <xf borderId="0" fillId="4" fontId="2" numFmtId="0" xfId="0" applyAlignment="1" applyFill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vertical="center"/>
    </xf>
    <xf borderId="0" fillId="5" fontId="4" numFmtId="0" xfId="0" applyAlignment="1" applyFill="1" applyFont="1">
      <alignment horizontal="center" readingOrder="0" vertical="center"/>
    </xf>
    <xf borderId="0" fillId="6" fontId="5" numFmtId="0" xfId="0" applyAlignment="1" applyFill="1" applyFont="1">
      <alignment horizontal="left" vertical="center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6" numFmtId="0" xfId="0" applyAlignment="1" applyFont="1">
      <alignment vertical="top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0"/>
    </xf>
    <xf borderId="0" fillId="0" fontId="10" numFmtId="0" xfId="0" applyAlignment="1" applyFont="1">
      <alignment horizontal="center" readingOrder="0" vertical="center"/>
    </xf>
    <xf borderId="0" fillId="0" fontId="11" numFmtId="1" xfId="0" applyAlignment="1" applyFont="1" applyNumberForma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11" numFmtId="0" xfId="0" applyAlignment="1" applyFont="1">
      <alignment horizontal="left" vertical="center"/>
    </xf>
    <xf borderId="0" fillId="0" fontId="12" numFmtId="0" xfId="0" applyAlignment="1" applyFont="1">
      <alignment horizontal="left" vertical="center"/>
    </xf>
    <xf borderId="0" fillId="0" fontId="12" numFmtId="0" xfId="0" applyAlignment="1" applyFont="1">
      <alignment horizontal="left" readingOrder="0" vertical="center"/>
    </xf>
    <xf borderId="0" fillId="0" fontId="11" numFmtId="0" xfId="0" applyAlignment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0" fillId="7" fontId="13" numFmtId="0" xfId="0" applyAlignment="1" applyFill="1" applyFont="1">
      <alignment horizontal="center" readingOrder="0" vertical="center"/>
    </xf>
    <xf borderId="0" fillId="7" fontId="2" numFmtId="0" xfId="0" applyAlignment="1" applyFont="1">
      <alignment horizontal="center" vertical="center"/>
    </xf>
    <xf borderId="0" fillId="8" fontId="2" numFmtId="0" xfId="0" applyAlignment="1" applyFill="1" applyFont="1">
      <alignment horizontal="center" readingOrder="0" shrinkToFit="0" vertical="center" wrapText="1"/>
    </xf>
    <xf borderId="0" fillId="7" fontId="14" numFmtId="0" xfId="0" applyAlignment="1" applyFont="1">
      <alignment horizontal="center" readingOrder="0" shrinkToFit="0" vertical="center" wrapText="1"/>
    </xf>
    <xf borderId="0" fillId="6" fontId="15" numFmtId="0" xfId="0" applyAlignment="1" applyFont="1">
      <alignment horizontal="left" vertical="center"/>
    </xf>
    <xf borderId="0" fillId="7" fontId="14" numFmtId="0" xfId="0" applyAlignment="1" applyFont="1">
      <alignment horizontal="center" vertical="center"/>
    </xf>
    <xf borderId="0" fillId="9" fontId="13" numFmtId="0" xfId="0" applyAlignment="1" applyFill="1" applyFont="1">
      <alignment horizontal="center" readingOrder="0" shrinkToFit="0" vertical="center" wrapText="1"/>
    </xf>
    <xf borderId="0" fillId="9" fontId="2" numFmtId="0" xfId="0" applyAlignment="1" applyFont="1">
      <alignment horizontal="center" vertical="center"/>
    </xf>
    <xf borderId="0" fillId="10" fontId="10" numFmtId="0" xfId="0" applyAlignment="1" applyFill="1" applyFont="1">
      <alignment horizontal="center" readingOrder="0" shrinkToFit="0" vertical="center" wrapText="1"/>
    </xf>
    <xf borderId="0" fillId="10" fontId="9" numFmtId="0" xfId="0" applyAlignment="1" applyFont="1">
      <alignment horizontal="center" readingOrder="0" shrinkToFit="0" vertical="center" wrapText="1"/>
    </xf>
    <xf borderId="0" fillId="11" fontId="13" numFmtId="0" xfId="0" applyAlignment="1" applyFill="1" applyFont="1">
      <alignment horizontal="center" readingOrder="0" vertical="center"/>
    </xf>
    <xf borderId="0" fillId="11" fontId="2" numFmtId="0" xfId="0" applyAlignment="1" applyFont="1">
      <alignment horizontal="center" readingOrder="0" shrinkToFit="0" vertical="center" wrapText="1"/>
    </xf>
    <xf borderId="0" fillId="12" fontId="10" numFmtId="0" xfId="0" applyAlignment="1" applyFill="1" applyFont="1">
      <alignment horizontal="center" readingOrder="0" shrinkToFit="0" vertical="center" wrapText="1"/>
    </xf>
    <xf borderId="0" fillId="12" fontId="9" numFmtId="0" xfId="0" applyAlignment="1" applyFont="1">
      <alignment horizontal="center" readingOrder="0" shrinkToFit="0" vertical="center" wrapText="1"/>
    </xf>
    <xf borderId="0" fillId="13" fontId="13" numFmtId="0" xfId="0" applyAlignment="1" applyFill="1" applyFont="1">
      <alignment horizontal="center" readingOrder="0" vertical="center"/>
    </xf>
    <xf borderId="0" fillId="13" fontId="2" numFmtId="0" xfId="0" applyAlignment="1" applyFont="1">
      <alignment horizontal="center" readingOrder="0" shrinkToFit="0" vertical="center" wrapText="1"/>
    </xf>
    <xf borderId="0" fillId="14" fontId="10" numFmtId="0" xfId="0" applyAlignment="1" applyFill="1" applyFont="1">
      <alignment horizontal="center" readingOrder="0" shrinkToFit="0" vertical="center" wrapText="1"/>
    </xf>
    <xf borderId="0" fillId="14" fontId="9" numFmtId="0" xfId="0" applyAlignment="1" applyFont="1">
      <alignment horizontal="center" readingOrder="0" shrinkToFit="0" vertical="center" wrapText="1"/>
    </xf>
    <xf borderId="0" fillId="15" fontId="16" numFmtId="0" xfId="0" applyAlignment="1" applyFill="1" applyFont="1">
      <alignment horizontal="center" readingOrder="0" shrinkToFit="0" wrapText="1"/>
    </xf>
    <xf borderId="0" fillId="6" fontId="17" numFmtId="0" xfId="0" applyAlignment="1" applyFont="1">
      <alignment horizontal="left" readingOrder="0" vertical="center"/>
    </xf>
    <xf borderId="0" fillId="0" fontId="18" numFmtId="0" xfId="0" applyAlignment="1" applyFont="1">
      <alignment readingOrder="0"/>
    </xf>
    <xf borderId="0" fillId="15" fontId="19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0" fontId="11" numFmtId="0" xfId="0" applyFont="1"/>
    <xf borderId="0" fillId="0" fontId="6" numFmtId="0" xfId="0" applyAlignment="1" applyFont="1">
      <alignment horizontal="center"/>
    </xf>
    <xf borderId="0" fillId="0" fontId="12" numFmtId="0" xfId="0" applyAlignment="1" applyFont="1">
      <alignment vertical="top"/>
    </xf>
    <xf borderId="0" fillId="0" fontId="12" numFmtId="0" xfId="0" applyFont="1"/>
    <xf borderId="0" fillId="0" fontId="6" numFmtId="0" xfId="0" applyAlignment="1" applyFont="1">
      <alignment horizontal="center" readingOrder="0"/>
    </xf>
    <xf borderId="0" fillId="6" fontId="20" numFmtId="0" xfId="0" applyAlignment="1" applyFont="1">
      <alignment horizontal="left" readingOrder="0" vertical="center"/>
    </xf>
    <xf borderId="0" fillId="0" fontId="21" numFmtId="0" xfId="0" applyAlignment="1" applyFont="1">
      <alignment readingOrder="0"/>
    </xf>
    <xf borderId="0" fillId="15" fontId="22" numFmtId="0" xfId="0" applyAlignment="1" applyFont="1">
      <alignment horizontal="center" readingOrder="0" shrinkToFit="0" wrapText="1"/>
    </xf>
    <xf borderId="0" fillId="16" fontId="23" numFmtId="0" xfId="0" applyAlignment="1" applyFill="1" applyFont="1">
      <alignment readingOrder="0" vertical="top"/>
    </xf>
    <xf borderId="0" fillId="0" fontId="2" numFmtId="0" xfId="0" applyAlignment="1" applyFont="1">
      <alignment horizontal="center" readingOrder="0" shrinkToFit="0" vertical="center" wrapText="0"/>
    </xf>
    <xf borderId="0" fillId="0" fontId="24" numFmtId="0" xfId="0" applyAlignment="1" applyFont="1">
      <alignment horizontal="center" readingOrder="0" vertical="center"/>
    </xf>
    <xf borderId="0" fillId="0" fontId="25" numFmtId="0" xfId="0" applyAlignment="1" applyFont="1">
      <alignment horizontal="center" readingOrder="0" vertical="center"/>
    </xf>
    <xf borderId="0" fillId="17" fontId="6" numFmtId="0" xfId="0" applyAlignment="1" applyFill="1" applyFont="1">
      <alignment horizontal="center" readingOrder="0" vertical="top"/>
    </xf>
    <xf borderId="0" fillId="17" fontId="26" numFmtId="0" xfId="0" applyAlignment="1" applyFont="1">
      <alignment horizontal="center" readingOrder="0" vertical="top"/>
    </xf>
    <xf borderId="0" fillId="17" fontId="27" numFmtId="0" xfId="0" applyAlignment="1" applyFont="1">
      <alignment horizontal="center" readingOrder="0" vertical="center"/>
    </xf>
    <xf borderId="0" fillId="17" fontId="28" numFmtId="0" xfId="0" applyAlignment="1" applyFont="1">
      <alignment horizontal="center" readingOrder="0" vertical="center"/>
    </xf>
    <xf borderId="0" fillId="17" fontId="26" numFmtId="0" xfId="0" applyAlignment="1" applyFont="1">
      <alignment readingOrder="0"/>
    </xf>
    <xf borderId="0" fillId="17" fontId="26" numFmtId="0" xfId="0" applyAlignment="1" applyFont="1">
      <alignment horizontal="center" readingOrder="0" vertical="center"/>
    </xf>
    <xf borderId="0" fillId="17" fontId="26" numFmtId="0" xfId="0" applyAlignment="1" applyFont="1">
      <alignment horizontal="center" vertical="center"/>
    </xf>
    <xf borderId="0" fillId="17" fontId="26" numFmtId="0" xfId="0" applyFont="1"/>
    <xf borderId="0" fillId="17" fontId="28" numFmtId="0" xfId="0" applyAlignment="1" applyFont="1">
      <alignment horizontal="left" readingOrder="0" vertical="center"/>
    </xf>
    <xf borderId="0" fillId="17" fontId="26" numFmtId="0" xfId="0" applyAlignment="1" applyFont="1">
      <alignment horizontal="left" readingOrder="0" vertical="center"/>
    </xf>
    <xf borderId="0" fillId="17" fontId="26" numFmtId="0" xfId="0" applyAlignment="1" applyFont="1">
      <alignment readingOrder="0" vertical="top"/>
    </xf>
    <xf borderId="0" fillId="17" fontId="29" numFmtId="0" xfId="0" applyAlignment="1" applyFont="1">
      <alignment horizontal="center" readingOrder="0" vertical="center"/>
    </xf>
    <xf borderId="0" fillId="17" fontId="26" numFmtId="0" xfId="0" applyAlignment="1" applyFont="1">
      <alignment horizontal="right" readingOrder="0"/>
    </xf>
    <xf quotePrefix="1" borderId="0" fillId="17" fontId="26" numFmtId="0" xfId="0" applyAlignment="1" applyFont="1">
      <alignment horizontal="left" readingOrder="0" vertical="center"/>
    </xf>
    <xf borderId="0" fillId="17" fontId="26" numFmtId="0" xfId="0" applyAlignment="1" applyFont="1">
      <alignment horizontal="right" readingOrder="0" vertical="center"/>
    </xf>
    <xf borderId="0" fillId="17" fontId="11" numFmtId="0" xfId="0" applyAlignment="1" applyFont="1">
      <alignment horizontal="center" readingOrder="0" vertical="top"/>
    </xf>
    <xf borderId="0" fillId="17" fontId="30" numFmtId="0" xfId="0" applyAlignment="1" applyFont="1">
      <alignment horizontal="center" readingOrder="0" vertical="center"/>
    </xf>
    <xf borderId="0" fillId="17" fontId="31" numFmtId="0" xfId="0" applyAlignment="1" applyFont="1">
      <alignment horizontal="center" vertical="center"/>
    </xf>
    <xf borderId="0" fillId="17" fontId="31" numFmtId="0" xfId="0" applyAlignment="1" applyFont="1">
      <alignment horizontal="left" readingOrder="0" vertical="center"/>
    </xf>
    <xf borderId="0" fillId="0" fontId="11" numFmtId="0" xfId="0" applyAlignment="1" applyFont="1">
      <alignment horizontal="center" readingOrder="0" vertical="center"/>
    </xf>
    <xf borderId="0" fillId="0" fontId="11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32" numFmtId="0" xfId="0" applyFont="1"/>
    <xf borderId="0" fillId="0" fontId="5" numFmtId="0" xfId="0" applyFont="1"/>
    <xf borderId="0" fillId="0" fontId="5" numFmtId="0" xfId="0" applyFont="1"/>
    <xf borderId="0" fillId="0" fontId="33" numFmtId="0" xfId="0" applyFont="1"/>
    <xf borderId="0" fillId="0" fontId="34" numFmtId="9" xfId="0" applyFont="1" applyNumberFormat="1"/>
    <xf borderId="0" fillId="0" fontId="34" numFmtId="0" xfId="0" applyAlignment="1" applyFont="1">
      <alignment horizontal="center" readingOrder="0" vertical="center"/>
    </xf>
    <xf borderId="0" fillId="0" fontId="35" numFmtId="0" xfId="0" applyAlignment="1" applyFont="1">
      <alignment horizontal="center" readingOrder="0" vertical="center"/>
    </xf>
    <xf borderId="0" fillId="0" fontId="34" numFmtId="164" xfId="0" applyAlignment="1" applyFont="1" applyNumberFormat="1">
      <alignment horizontal="center"/>
    </xf>
    <xf borderId="0" fillId="0" fontId="34" numFmtId="0" xfId="0" applyAlignment="1" applyFont="1">
      <alignment readingOrder="0"/>
    </xf>
    <xf borderId="0" fillId="0" fontId="36" numFmtId="0" xfId="0" applyAlignment="1" applyFont="1">
      <alignment readingOrder="0"/>
    </xf>
    <xf borderId="0" fillId="8" fontId="37" numFmtId="0" xfId="0" applyAlignment="1" applyFont="1">
      <alignment horizontal="center" readingOrder="0" vertical="center"/>
    </xf>
    <xf borderId="1" fillId="0" fontId="6" numFmtId="0" xfId="0" applyBorder="1" applyFont="1"/>
    <xf borderId="2" fillId="18" fontId="37" numFmtId="0" xfId="0" applyAlignment="1" applyBorder="1" applyFill="1" applyFont="1">
      <alignment horizontal="center" readingOrder="0" vertical="center"/>
    </xf>
    <xf borderId="3" fillId="0" fontId="6" numFmtId="0" xfId="0" applyBorder="1" applyFont="1"/>
    <xf borderId="4" fillId="18" fontId="1" numFmtId="0" xfId="0" applyAlignment="1" applyBorder="1" applyFont="1">
      <alignment horizontal="center" readingOrder="0" vertical="center"/>
    </xf>
    <xf borderId="5" fillId="0" fontId="6" numFmtId="0" xfId="0" applyBorder="1" applyFont="1"/>
    <xf borderId="6" fillId="19" fontId="13" numFmtId="0" xfId="0" applyAlignment="1" applyBorder="1" applyFill="1" applyFont="1">
      <alignment horizontal="center" readingOrder="0" shrinkToFit="0" vertical="center" wrapText="1"/>
    </xf>
    <xf borderId="6" fillId="0" fontId="6" numFmtId="0" xfId="0" applyBorder="1" applyFont="1"/>
    <xf borderId="6" fillId="18" fontId="2" numFmtId="0" xfId="0" applyAlignment="1" applyBorder="1" applyFont="1">
      <alignment horizontal="center" readingOrder="0" vertical="center"/>
    </xf>
    <xf borderId="2" fillId="18" fontId="24" numFmtId="0" xfId="0" applyAlignment="1" applyBorder="1" applyFont="1">
      <alignment horizontal="center" readingOrder="0" vertical="top"/>
    </xf>
    <xf borderId="7" fillId="0" fontId="6" numFmtId="0" xfId="0" applyBorder="1" applyFont="1"/>
    <xf borderId="0" fillId="18" fontId="3" numFmtId="0" xfId="0" applyAlignment="1" applyFont="1">
      <alignment horizontal="center" readingOrder="0" vertical="center"/>
    </xf>
    <xf borderId="8" fillId="0" fontId="6" numFmtId="0" xfId="0" applyBorder="1" applyFont="1"/>
    <xf borderId="9" fillId="18" fontId="38" numFmtId="0" xfId="0" applyAlignment="1" applyBorder="1" applyFont="1">
      <alignment horizontal="center" vertical="center"/>
    </xf>
    <xf borderId="10" fillId="0" fontId="6" numFmtId="0" xfId="0" applyBorder="1" applyFont="1"/>
    <xf borderId="11" fillId="19" fontId="38" numFmtId="0" xfId="0" applyAlignment="1" applyBorder="1" applyFont="1">
      <alignment horizontal="center" vertical="center"/>
    </xf>
    <xf borderId="11" fillId="0" fontId="6" numFmtId="0" xfId="0" applyBorder="1" applyFont="1"/>
    <xf borderId="11" fillId="18" fontId="38" numFmtId="0" xfId="0" applyAlignment="1" applyBorder="1" applyFont="1">
      <alignment horizontal="center" vertical="center"/>
    </xf>
    <xf borderId="7" fillId="8" fontId="6" numFmtId="0" xfId="0" applyAlignment="1" applyBorder="1" applyFont="1">
      <alignment horizontal="center" vertical="center"/>
    </xf>
    <xf borderId="0" fillId="8" fontId="6" numFmtId="0" xfId="0" applyAlignment="1" applyFont="1">
      <alignment horizontal="center" vertical="center"/>
    </xf>
    <xf borderId="0" fillId="0" fontId="6" numFmtId="1" xfId="0" applyFont="1" applyNumberFormat="1"/>
    <xf borderId="7" fillId="8" fontId="37" numFmtId="49" xfId="0" applyAlignment="1" applyBorder="1" applyFont="1" applyNumberFormat="1">
      <alignment horizontal="center" vertical="center"/>
    </xf>
    <xf borderId="0" fillId="8" fontId="37" numFmtId="49" xfId="0" applyAlignment="1" applyFont="1" applyNumberFormat="1">
      <alignment horizontal="center" vertical="center"/>
    </xf>
    <xf borderId="9" fillId="8" fontId="39" numFmtId="0" xfId="0" applyAlignment="1" applyBorder="1" applyFont="1">
      <alignment horizontal="center" vertical="center"/>
    </xf>
    <xf borderId="11" fillId="8" fontId="39" numFmtId="0" xfId="0" applyAlignment="1" applyBorder="1" applyFont="1">
      <alignment horizontal="center" vertical="center"/>
    </xf>
    <xf borderId="0" fillId="0" fontId="6" numFmtId="165" xfId="0" applyFont="1" applyNumberFormat="1"/>
    <xf borderId="9" fillId="8" fontId="24" numFmtId="0" xfId="0" applyAlignment="1" applyBorder="1" applyFont="1">
      <alignment horizontal="center" vertical="center"/>
    </xf>
    <xf borderId="11" fillId="8" fontId="24" numFmtId="0" xfId="0" applyAlignment="1" applyBorder="1" applyFont="1">
      <alignment horizontal="center" vertical="center"/>
    </xf>
    <xf borderId="12" fillId="20" fontId="40" numFmtId="0" xfId="0" applyAlignment="1" applyBorder="1" applyFill="1" applyFont="1">
      <alignment vertical="center"/>
    </xf>
    <xf borderId="12" fillId="20" fontId="40" numFmtId="0" xfId="0" applyAlignment="1" applyBorder="1" applyFont="1">
      <alignment readingOrder="0" vertical="center"/>
    </xf>
    <xf borderId="12" fillId="20" fontId="40" numFmtId="0" xfId="0" applyAlignment="1" applyBorder="1" applyFont="1">
      <alignment vertical="center"/>
    </xf>
    <xf borderId="12" fillId="20" fontId="40" numFmtId="0" xfId="0" applyAlignment="1" applyBorder="1" applyFont="1">
      <alignment horizontal="center" readingOrder="0" vertical="center"/>
    </xf>
    <xf borderId="12" fillId="20" fontId="40" numFmtId="0" xfId="0" applyAlignment="1" applyBorder="1" applyFont="1">
      <alignment horizontal="center" vertical="center"/>
    </xf>
    <xf borderId="12" fillId="20" fontId="40" numFmtId="0" xfId="0" applyAlignment="1" applyBorder="1" applyFont="1">
      <alignment horizontal="center" vertical="center"/>
    </xf>
    <xf borderId="0" fillId="0" fontId="34" numFmtId="49" xfId="0" applyFont="1" applyNumberFormat="1"/>
    <xf borderId="0" fillId="0" fontId="34" numFmtId="0" xfId="0" applyAlignment="1" applyFont="1">
      <alignment vertical="center"/>
    </xf>
    <xf borderId="0" fillId="0" fontId="34" numFmtId="0" xfId="0" applyFont="1"/>
    <xf borderId="13" fillId="21" fontId="41" numFmtId="0" xfId="0" applyAlignment="1" applyBorder="1" applyFill="1" applyFont="1">
      <alignment horizontal="right" vertical="center"/>
    </xf>
    <xf borderId="13" fillId="21" fontId="41" numFmtId="0" xfId="0" applyAlignment="1" applyBorder="1" applyFont="1">
      <alignment vertical="center"/>
    </xf>
    <xf borderId="13" fillId="21" fontId="41" numFmtId="0" xfId="0" applyAlignment="1" applyBorder="1" applyFont="1">
      <alignment horizontal="center" vertical="center"/>
    </xf>
    <xf borderId="13" fillId="21" fontId="42" numFmtId="0" xfId="0" applyAlignment="1" applyBorder="1" applyFont="1">
      <alignment horizontal="center" vertical="center"/>
    </xf>
    <xf borderId="13" fillId="22" fontId="43" numFmtId="0" xfId="0" applyAlignment="1" applyBorder="1" applyFill="1" applyFont="1">
      <alignment horizontal="center" vertical="center"/>
    </xf>
    <xf borderId="13" fillId="21" fontId="44" numFmtId="0" xfId="0" applyAlignment="1" applyBorder="1" applyFont="1">
      <alignment vertical="center"/>
    </xf>
    <xf borderId="0" fillId="22" fontId="45" numFmtId="0" xfId="0" applyAlignment="1" applyFont="1">
      <alignment vertical="center"/>
    </xf>
    <xf borderId="0" fillId="22" fontId="45" numFmtId="0" xfId="0" applyAlignment="1" applyFont="1">
      <alignment readingOrder="0" vertical="center"/>
    </xf>
    <xf borderId="0" fillId="17" fontId="41" numFmtId="0" xfId="0" applyAlignment="1" applyFont="1">
      <alignment horizontal="right" vertical="center"/>
    </xf>
    <xf borderId="0" fillId="17" fontId="41" numFmtId="0" xfId="0" applyAlignment="1" applyFont="1">
      <alignment vertical="center"/>
    </xf>
    <xf borderId="0" fillId="17" fontId="41" numFmtId="0" xfId="0" applyAlignment="1" applyFont="1">
      <alignment horizontal="center" vertical="center"/>
    </xf>
    <xf borderId="0" fillId="17" fontId="42" numFmtId="0" xfId="0" applyAlignment="1" applyFont="1">
      <alignment horizontal="center" vertical="center"/>
    </xf>
    <xf borderId="0" fillId="2" fontId="46" numFmtId="0" xfId="0" applyAlignment="1" applyFont="1">
      <alignment horizontal="center" vertical="center"/>
    </xf>
    <xf borderId="0" fillId="23" fontId="47" numFmtId="0" xfId="0" applyAlignment="1" applyFill="1" applyFont="1">
      <alignment horizontal="center" vertical="center"/>
    </xf>
    <xf borderId="0" fillId="24" fontId="48" numFmtId="0" xfId="0" applyAlignment="1" applyFill="1" applyFont="1">
      <alignment horizontal="center" vertical="center"/>
    </xf>
    <xf borderId="0" fillId="17" fontId="44" numFmtId="0" xfId="0" applyAlignment="1" applyFont="1">
      <alignment readingOrder="0" vertical="center"/>
    </xf>
    <xf borderId="0" fillId="16" fontId="0" numFmtId="0" xfId="0" applyFont="1"/>
    <xf borderId="0" fillId="0" fontId="34" numFmtId="1" xfId="0" applyFont="1" applyNumberFormat="1"/>
    <xf borderId="0" fillId="0" fontId="34" numFmtId="0" xfId="0" applyFont="1"/>
    <xf borderId="0" fillId="25" fontId="49" numFmtId="0" xfId="0" applyAlignment="1" applyFill="1" applyFont="1">
      <alignment horizontal="center" vertical="center"/>
    </xf>
    <xf borderId="0" fillId="17" fontId="44" numFmtId="0" xfId="0" applyAlignment="1" applyFont="1">
      <alignment readingOrder="0" vertical="center"/>
    </xf>
    <xf borderId="14" fillId="0" fontId="0" numFmtId="0" xfId="0" applyAlignment="1" applyBorder="1" applyFont="1">
      <alignment horizontal="center" readingOrder="0" vertical="center"/>
    </xf>
    <xf borderId="0" fillId="26" fontId="50" numFmtId="0" xfId="0" applyAlignment="1" applyFill="1" applyFont="1">
      <alignment horizontal="center" vertical="center"/>
    </xf>
    <xf borderId="0" fillId="17" fontId="44" numFmtId="0" xfId="0" applyAlignment="1" applyFont="1">
      <alignment vertical="center"/>
    </xf>
    <xf borderId="15" fillId="0" fontId="0" numFmtId="0" xfId="0" applyAlignment="1" applyBorder="1" applyFont="1">
      <alignment horizontal="center" vertical="center"/>
    </xf>
    <xf borderId="0" fillId="27" fontId="51" numFmtId="0" xfId="0" applyAlignment="1" applyFill="1" applyFont="1">
      <alignment horizontal="center" vertical="center"/>
    </xf>
    <xf borderId="0" fillId="28" fontId="49" numFmtId="0" xfId="0" applyAlignment="1" applyFill="1" applyFont="1">
      <alignment horizontal="center" vertical="center"/>
    </xf>
    <xf borderId="0" fillId="29" fontId="52" numFmtId="0" xfId="0" applyAlignment="1" applyFill="1" applyFont="1">
      <alignment horizontal="center" vertical="center"/>
    </xf>
    <xf borderId="0" fillId="18" fontId="53" numFmtId="0" xfId="0" applyAlignment="1" applyFont="1">
      <alignment horizontal="center" vertical="center"/>
    </xf>
    <xf borderId="0" fillId="17" fontId="41" numFmtId="0" xfId="0" applyAlignment="1" applyFont="1">
      <alignment vertical="center"/>
    </xf>
    <xf borderId="0" fillId="17" fontId="41" numFmtId="0" xfId="0" applyAlignment="1" applyFont="1">
      <alignment horizontal="center" vertical="center"/>
    </xf>
    <xf borderId="0" fillId="17" fontId="42" numFmtId="0" xfId="0" applyAlignment="1" applyFont="1">
      <alignment horizontal="center" vertical="center"/>
    </xf>
    <xf borderId="0" fillId="18" fontId="53" numFmtId="0" xfId="0" applyAlignment="1" applyFont="1">
      <alignment horizontal="center" vertical="center"/>
    </xf>
    <xf borderId="0" fillId="17" fontId="44" numFmtId="0" xfId="0" applyAlignment="1" applyFont="1">
      <alignment vertical="center"/>
    </xf>
    <xf borderId="0" fillId="30" fontId="54" numFmtId="0" xfId="0" applyAlignment="1" applyFill="1" applyFont="1">
      <alignment horizontal="center" vertical="center"/>
    </xf>
    <xf borderId="0" fillId="31" fontId="40" numFmtId="0" xfId="0" applyAlignment="1" applyFill="1" applyFont="1">
      <alignment horizontal="center" readingOrder="0" vertical="center"/>
    </xf>
    <xf borderId="0" fillId="31" fontId="45" numFmtId="0" xfId="0" applyAlignment="1" applyFont="1">
      <alignment readingOrder="0" vertical="center"/>
    </xf>
    <xf borderId="0" fillId="31" fontId="45" numFmtId="0" xfId="0" applyAlignment="1" applyFont="1">
      <alignment readingOrder="0" shrinkToFit="0" vertical="center" wrapText="0"/>
    </xf>
    <xf borderId="0" fillId="31" fontId="55" numFmtId="0" xfId="0" applyAlignment="1" applyFont="1">
      <alignment readingOrder="0" vertical="center"/>
    </xf>
    <xf borderId="0" fillId="32" fontId="40" numFmtId="0" xfId="0" applyAlignment="1" applyFill="1" applyFont="1">
      <alignment horizontal="center" readingOrder="0" vertical="center"/>
    </xf>
    <xf borderId="0" fillId="32" fontId="45" numFmtId="0" xfId="0" applyAlignment="1" applyFont="1">
      <alignment readingOrder="0" vertical="center"/>
    </xf>
    <xf borderId="0" fillId="32" fontId="56" numFmtId="0" xfId="0" applyAlignment="1" applyFont="1">
      <alignment readingOrder="0" vertical="center"/>
    </xf>
    <xf borderId="0" fillId="33" fontId="40" numFmtId="0" xfId="0" applyAlignment="1" applyFill="1" applyFont="1">
      <alignment horizontal="center" readingOrder="0" vertical="center"/>
    </xf>
    <xf borderId="0" fillId="33" fontId="45" numFmtId="0" xfId="0" applyAlignment="1" applyFont="1">
      <alignment readingOrder="0" vertical="center"/>
    </xf>
    <xf borderId="0" fillId="33" fontId="57" numFmtId="0" xfId="0" applyAlignment="1" applyFont="1">
      <alignment readingOrder="0" vertical="center"/>
    </xf>
    <xf borderId="0" fillId="34" fontId="40" numFmtId="0" xfId="0" applyAlignment="1" applyFill="1" applyFont="1">
      <alignment horizontal="center" readingOrder="0" vertical="center"/>
    </xf>
    <xf borderId="0" fillId="34" fontId="45" numFmtId="0" xfId="0" applyAlignment="1" applyFont="1">
      <alignment readingOrder="0" vertical="center"/>
    </xf>
    <xf borderId="0" fillId="34" fontId="58" numFmtId="0" xfId="0" applyAlignment="1" applyFont="1">
      <alignment readingOrder="0" vertical="center"/>
    </xf>
    <xf borderId="0" fillId="0" fontId="34" numFmtId="0" xfId="0" applyAlignment="1" applyFont="1">
      <alignment vertical="bottom"/>
    </xf>
    <xf borderId="0" fillId="0" fontId="34" numFmtId="0" xfId="0" applyAlignment="1" applyFont="1">
      <alignment vertical="bottom"/>
    </xf>
    <xf borderId="0" fillId="22" fontId="59" numFmtId="0" xfId="0" applyAlignment="1" applyFont="1">
      <alignment readingOrder="0"/>
    </xf>
    <xf borderId="0" fillId="22" fontId="45" numFmtId="0" xfId="0" applyAlignment="1" applyFont="1">
      <alignment readingOrder="0"/>
    </xf>
    <xf borderId="0" fillId="18" fontId="6" numFmtId="1" xfId="0" applyAlignment="1" applyFont="1" applyNumberFormat="1">
      <alignment readingOrder="0"/>
    </xf>
    <xf borderId="0" fillId="18" fontId="34" numFmtId="0" xfId="0" applyAlignment="1" applyFont="1">
      <alignment readingOrder="0"/>
    </xf>
    <xf borderId="0" fillId="18" fontId="60" numFmtId="0" xfId="0" applyAlignment="1" applyFont="1">
      <alignment readingOrder="0"/>
    </xf>
    <xf borderId="0" fillId="18" fontId="61" numFmtId="0" xfId="0" applyAlignment="1" applyFont="1">
      <alignment readingOrder="0"/>
    </xf>
    <xf borderId="0" fillId="18" fontId="34" numFmtId="49" xfId="0" applyAlignment="1" applyFont="1" applyNumberFormat="1">
      <alignment readingOrder="0"/>
    </xf>
    <xf borderId="0" fillId="21" fontId="41" numFmtId="0" xfId="0" applyAlignment="1" applyFont="1">
      <alignment horizontal="right" vertical="center"/>
    </xf>
    <xf borderId="0" fillId="21" fontId="41" numFmtId="0" xfId="0" applyAlignment="1" applyFont="1">
      <alignment vertical="center"/>
    </xf>
    <xf borderId="0" fillId="21" fontId="41" numFmtId="0" xfId="0" applyAlignment="1" applyFont="1">
      <alignment horizontal="center" vertical="center"/>
    </xf>
    <xf borderId="0" fillId="21" fontId="42" numFmtId="0" xfId="0" applyAlignment="1" applyFont="1">
      <alignment horizontal="center" vertical="center"/>
    </xf>
    <xf borderId="0" fillId="22" fontId="43" numFmtId="0" xfId="0" applyAlignment="1" applyFont="1">
      <alignment horizontal="center" vertical="center"/>
    </xf>
    <xf borderId="0" fillId="21" fontId="44" numFmtId="0" xfId="0" applyAlignment="1" applyFont="1">
      <alignment vertical="center"/>
    </xf>
    <xf borderId="16" fillId="35" fontId="0" numFmtId="0" xfId="0" applyBorder="1" applyFill="1" applyFont="1"/>
    <xf borderId="0" fillId="0" fontId="34" numFmtId="49" xfId="0" applyAlignment="1" applyFont="1" applyNumberFormat="1">
      <alignment readingOrder="0"/>
    </xf>
    <xf borderId="0" fillId="0" fontId="6" numFmtId="0" xfId="0" applyFont="1"/>
    <xf borderId="0" fillId="2" fontId="62" numFmtId="0" xfId="0" applyAlignment="1" applyFont="1">
      <alignment horizontal="center" vertical="center"/>
    </xf>
    <xf borderId="0" fillId="36" fontId="62" numFmtId="0" xfId="0" applyAlignment="1" applyFill="1" applyFont="1">
      <alignment horizontal="center" vertical="center"/>
    </xf>
    <xf borderId="0" fillId="33" fontId="41" numFmtId="0" xfId="0" applyAlignment="1" applyFont="1">
      <alignment horizontal="right" vertical="center"/>
    </xf>
    <xf borderId="0" fillId="33" fontId="41" numFmtId="0" xfId="0" applyAlignment="1" applyFont="1">
      <alignment vertical="center"/>
    </xf>
    <xf borderId="0" fillId="33" fontId="41" numFmtId="0" xfId="0" applyAlignment="1" applyFont="1">
      <alignment horizontal="center" vertical="center"/>
    </xf>
    <xf borderId="0" fillId="33" fontId="42" numFmtId="0" xfId="0" applyAlignment="1" applyFont="1">
      <alignment horizontal="center" vertical="center"/>
    </xf>
    <xf borderId="0" fillId="33" fontId="44" numFmtId="0" xfId="0" applyAlignment="1" applyFont="1">
      <alignment vertical="center"/>
    </xf>
    <xf borderId="0" fillId="34" fontId="41" numFmtId="0" xfId="0" applyAlignment="1" applyFont="1">
      <alignment horizontal="right" vertical="center"/>
    </xf>
    <xf borderId="0" fillId="34" fontId="41" numFmtId="0" xfId="0" applyAlignment="1" applyFont="1">
      <alignment vertical="center"/>
    </xf>
    <xf borderId="0" fillId="34" fontId="41" numFmtId="0" xfId="0" applyAlignment="1" applyFont="1">
      <alignment horizontal="center" vertical="center"/>
    </xf>
    <xf borderId="0" fillId="34" fontId="42" numFmtId="0" xfId="0" applyAlignment="1" applyFont="1">
      <alignment horizontal="center" vertical="center"/>
    </xf>
    <xf borderId="0" fillId="34" fontId="44" numFmtId="0" xfId="0" applyAlignment="1" applyFont="1">
      <alignment vertical="center"/>
    </xf>
    <xf borderId="0" fillId="32" fontId="41" numFmtId="0" xfId="0" applyAlignment="1" applyFont="1">
      <alignment horizontal="right" vertical="center"/>
    </xf>
    <xf borderId="0" fillId="32" fontId="41" numFmtId="0" xfId="0" applyAlignment="1" applyFont="1">
      <alignment vertical="center"/>
    </xf>
    <xf borderId="0" fillId="32" fontId="41" numFmtId="0" xfId="0" applyAlignment="1" applyFont="1">
      <alignment horizontal="center" vertical="center"/>
    </xf>
    <xf borderId="0" fillId="32" fontId="42" numFmtId="0" xfId="0" applyAlignment="1" applyFont="1">
      <alignment horizontal="center" vertical="center"/>
    </xf>
    <xf borderId="0" fillId="32" fontId="44" numFmtId="0" xfId="0" applyAlignment="1" applyFont="1">
      <alignment vertical="center"/>
    </xf>
    <xf borderId="0" fillId="17" fontId="41" numFmtId="0" xfId="0" applyAlignment="1" applyFont="1">
      <alignment horizontal="right" vertical="center"/>
    </xf>
    <xf borderId="0" fillId="2" fontId="62" numFmtId="0" xfId="0" applyAlignment="1" applyFont="1">
      <alignment horizontal="center" vertical="center"/>
    </xf>
    <xf borderId="0" fillId="34" fontId="41" numFmtId="0" xfId="0" applyAlignment="1" applyFont="1">
      <alignment vertical="center"/>
    </xf>
    <xf borderId="0" fillId="34" fontId="41" numFmtId="0" xfId="0" applyAlignment="1" applyFont="1">
      <alignment horizontal="center" vertical="center"/>
    </xf>
    <xf borderId="0" fillId="34" fontId="42" numFmtId="0" xfId="0" applyAlignment="1" applyFont="1">
      <alignment horizontal="center" vertical="center"/>
    </xf>
    <xf borderId="0" fillId="34" fontId="44" numFmtId="0" xfId="0" applyAlignment="1" applyFont="1">
      <alignment vertical="center"/>
    </xf>
    <xf borderId="0" fillId="33" fontId="41" numFmtId="0" xfId="0" applyAlignment="1" applyFont="1">
      <alignment vertical="center"/>
    </xf>
    <xf borderId="0" fillId="33" fontId="41" numFmtId="0" xfId="0" applyAlignment="1" applyFont="1">
      <alignment horizontal="center" vertical="center"/>
    </xf>
    <xf borderId="0" fillId="33" fontId="42" numFmtId="0" xfId="0" applyAlignment="1" applyFont="1">
      <alignment horizontal="center" vertical="center"/>
    </xf>
    <xf borderId="0" fillId="33" fontId="44" numFmtId="0" xfId="0" applyAlignment="1" applyFont="1">
      <alignment vertical="center"/>
    </xf>
    <xf borderId="0" fillId="32" fontId="41" numFmtId="0" xfId="0" applyAlignment="1" applyFont="1">
      <alignment vertical="center"/>
    </xf>
    <xf borderId="0" fillId="32" fontId="41" numFmtId="0" xfId="0" applyAlignment="1" applyFont="1">
      <alignment horizontal="center" vertical="center"/>
    </xf>
    <xf borderId="0" fillId="32" fontId="42" numFmtId="0" xfId="0" applyAlignment="1" applyFont="1">
      <alignment horizontal="center" vertical="center"/>
    </xf>
    <xf borderId="0" fillId="32" fontId="44" numFmtId="0" xfId="0" applyAlignment="1" applyFont="1">
      <alignment vertical="center"/>
    </xf>
    <xf borderId="0" fillId="31" fontId="41" numFmtId="0" xfId="0" applyAlignment="1" applyFont="1">
      <alignment horizontal="right" vertical="center"/>
    </xf>
    <xf borderId="0" fillId="31" fontId="41" numFmtId="0" xfId="0" applyAlignment="1" applyFont="1">
      <alignment vertical="center"/>
    </xf>
    <xf borderId="0" fillId="31" fontId="41" numFmtId="0" xfId="0" applyAlignment="1" applyFont="1">
      <alignment horizontal="center" vertical="center"/>
    </xf>
    <xf borderId="0" fillId="31" fontId="42" numFmtId="0" xfId="0" applyAlignment="1" applyFont="1">
      <alignment horizontal="center" vertical="center"/>
    </xf>
    <xf borderId="0" fillId="31" fontId="44" numFmtId="0" xfId="0" applyAlignment="1" applyFont="1">
      <alignment vertical="center"/>
    </xf>
    <xf borderId="0" fillId="18" fontId="53" numFmtId="0" xfId="0" applyAlignment="1" applyFont="1">
      <alignment horizontal="right" vertical="center"/>
    </xf>
    <xf borderId="0" fillId="18" fontId="53" numFmtId="0" xfId="0" applyAlignment="1" applyFont="1">
      <alignment vertical="center"/>
    </xf>
    <xf borderId="0" fillId="18" fontId="63" numFmtId="0" xfId="0" applyAlignment="1" applyFont="1">
      <alignment horizontal="center" vertical="center"/>
    </xf>
    <xf borderId="0" fillId="18" fontId="53" numFmtId="0" xfId="0" applyAlignment="1" applyFont="1">
      <alignment horizontal="center" vertical="center"/>
    </xf>
    <xf borderId="0" fillId="18" fontId="64" numFmtId="0" xfId="0" applyAlignment="1" applyFont="1">
      <alignment vertical="center"/>
    </xf>
    <xf borderId="0" fillId="21" fontId="41" numFmtId="0" xfId="0" applyAlignment="1" applyFont="1">
      <alignment horizontal="right" vertical="center"/>
    </xf>
    <xf borderId="0" fillId="21" fontId="41" numFmtId="0" xfId="0" applyAlignment="1" applyFont="1">
      <alignment vertical="center"/>
    </xf>
    <xf borderId="0" fillId="21" fontId="41" numFmtId="0" xfId="0" applyAlignment="1" applyFont="1">
      <alignment horizontal="center" vertical="center"/>
    </xf>
    <xf borderId="0" fillId="21" fontId="42" numFmtId="0" xfId="0" applyAlignment="1" applyFont="1">
      <alignment horizontal="center" vertical="center"/>
    </xf>
    <xf borderId="0" fillId="21" fontId="44" numFmtId="0" xfId="0" applyAlignment="1" applyFont="1">
      <alignment readingOrder="0" vertical="center"/>
    </xf>
    <xf borderId="0" fillId="21" fontId="44" numFmtId="0" xfId="0" applyAlignment="1" applyFont="1">
      <alignment vertical="center"/>
    </xf>
    <xf borderId="0" fillId="31" fontId="41" numFmtId="0" xfId="0" applyAlignment="1" applyFont="1">
      <alignment vertical="center"/>
    </xf>
    <xf borderId="0" fillId="31" fontId="41" numFmtId="0" xfId="0" applyAlignment="1" applyFont="1">
      <alignment horizontal="center" vertical="center"/>
    </xf>
    <xf borderId="0" fillId="31" fontId="42" numFmtId="0" xfId="0" applyAlignment="1" applyFont="1">
      <alignment horizontal="center" vertical="center"/>
    </xf>
    <xf borderId="0" fillId="31" fontId="44" numFmtId="0" xfId="0" applyAlignment="1" applyFont="1">
      <alignment vertical="center"/>
    </xf>
    <xf borderId="0" fillId="18" fontId="53" numFmtId="0" xfId="0" applyAlignment="1" applyFont="1">
      <alignment vertical="center"/>
    </xf>
    <xf borderId="0" fillId="18" fontId="63" numFmtId="0" xfId="0" applyAlignment="1" applyFont="1">
      <alignment horizontal="center" vertical="center"/>
    </xf>
    <xf borderId="0" fillId="18" fontId="64" numFmtId="0" xfId="0" applyAlignment="1" applyFont="1">
      <alignment vertical="center"/>
    </xf>
    <xf borderId="0" fillId="37" fontId="65" numFmtId="0" xfId="0" applyAlignment="1" applyFill="1" applyFont="1">
      <alignment horizontal="center" vertical="center"/>
    </xf>
    <xf borderId="0" fillId="17" fontId="44" numFmtId="0" xfId="0" applyAlignment="1" applyFont="1">
      <alignment vertical="center"/>
    </xf>
    <xf borderId="0" fillId="34" fontId="44" numFmtId="0" xfId="0" applyAlignment="1" applyFont="1">
      <alignment readingOrder="0" vertical="center"/>
    </xf>
    <xf borderId="0" fillId="31" fontId="49" numFmtId="0" xfId="0" applyAlignment="1" applyFont="1">
      <alignment horizontal="center" vertical="center"/>
    </xf>
    <xf borderId="0" fillId="38" fontId="66" numFmtId="0" xfId="0" applyAlignment="1" applyFill="1" applyFont="1">
      <alignment horizontal="center" vertical="center"/>
    </xf>
    <xf borderId="0" fillId="39" fontId="67" numFmtId="0" xfId="0" applyAlignment="1" applyFill="1" applyFont="1">
      <alignment horizontal="center" vertical="center"/>
    </xf>
    <xf borderId="0" fillId="33" fontId="44" numFmtId="0" xfId="0" applyAlignment="1" applyFont="1">
      <alignment vertical="center"/>
    </xf>
    <xf borderId="0" fillId="18" fontId="64" numFmtId="0" xfId="0" applyAlignment="1" applyFont="1">
      <alignment vertical="center"/>
    </xf>
    <xf borderId="0" fillId="32" fontId="44" numFmtId="0" xfId="0" applyAlignment="1" applyFont="1">
      <alignment readingOrder="0" vertical="center"/>
    </xf>
    <xf borderId="0" fillId="2" fontId="62" numFmtId="0" xfId="0" applyAlignment="1" applyFont="1">
      <alignment horizontal="center" readingOrder="0" vertical="center"/>
    </xf>
    <xf borderId="0" fillId="0" fontId="32" numFmtId="0" xfId="0" applyAlignment="1" applyFont="1">
      <alignment vertical="center"/>
    </xf>
    <xf borderId="0" fillId="0" fontId="34" numFmtId="0" xfId="0" applyAlignment="1" applyFont="1">
      <alignment horizontal="center" vertical="center"/>
    </xf>
    <xf borderId="0" fillId="0" fontId="44" numFmtId="0" xfId="0" applyAlignment="1" applyFont="1">
      <alignment vertical="center"/>
    </xf>
    <xf borderId="17" fillId="5" fontId="68" numFmtId="0" xfId="0" applyAlignment="1" applyBorder="1" applyFont="1">
      <alignment readingOrder="0" vertical="bottom"/>
    </xf>
    <xf borderId="13" fillId="0" fontId="6" numFmtId="0" xfId="0" applyBorder="1" applyFont="1"/>
    <xf borderId="18" fillId="0" fontId="6" numFmtId="0" xfId="0" applyBorder="1" applyFont="1"/>
    <xf borderId="17" fillId="40" fontId="69" numFmtId="0" xfId="0" applyAlignment="1" applyBorder="1" applyFill="1" applyFont="1">
      <alignment readingOrder="0" vertical="bottom"/>
    </xf>
    <xf borderId="13" fillId="40" fontId="69" numFmtId="0" xfId="0" applyAlignment="1" applyBorder="1" applyFont="1">
      <alignment readingOrder="0" vertical="bottom"/>
    </xf>
    <xf borderId="0" fillId="41" fontId="25" numFmtId="0" xfId="0" applyAlignment="1" applyFill="1" applyFont="1">
      <alignment readingOrder="0"/>
    </xf>
    <xf borderId="19" fillId="0" fontId="6" numFmtId="0" xfId="0" applyBorder="1" applyFont="1"/>
    <xf borderId="0" fillId="41" fontId="70" numFmtId="0" xfId="0" applyAlignment="1" applyFont="1">
      <alignment readingOrder="0"/>
    </xf>
    <xf borderId="19" fillId="41" fontId="71" numFmtId="0" xfId="0" applyAlignment="1" applyBorder="1" applyFont="1">
      <alignment readingOrder="0"/>
    </xf>
    <xf borderId="0" fillId="41" fontId="6" numFmtId="0" xfId="0" applyAlignment="1" applyFont="1">
      <alignment readingOrder="0" vertical="center"/>
    </xf>
    <xf borderId="20" fillId="41" fontId="6" numFmtId="0" xfId="0" applyAlignment="1" applyBorder="1" applyFont="1">
      <alignment readingOrder="0"/>
    </xf>
    <xf borderId="20" fillId="41" fontId="72" numFmtId="0" xfId="0" applyBorder="1" applyFont="1"/>
    <xf borderId="19" fillId="41" fontId="73" numFmtId="0" xfId="0" applyBorder="1" applyFont="1"/>
    <xf borderId="17" fillId="12" fontId="32" numFmtId="0" xfId="0" applyAlignment="1" applyBorder="1" applyFont="1">
      <alignment horizontal="left" readingOrder="0" vertical="center"/>
    </xf>
    <xf borderId="18" fillId="12" fontId="74" numFmtId="0" xfId="0" applyAlignment="1" applyBorder="1" applyFont="1">
      <alignment horizontal="left" readingOrder="0" vertical="center"/>
    </xf>
    <xf borderId="20" fillId="34" fontId="75" numFmtId="0" xfId="0" applyAlignment="1" applyBorder="1" applyFont="1">
      <alignment horizontal="center" vertical="bottom"/>
    </xf>
    <xf borderId="19" fillId="11" fontId="76" numFmtId="0" xfId="0" applyAlignment="1" applyBorder="1" applyFont="1">
      <alignment readingOrder="0" vertical="bottom"/>
    </xf>
    <xf borderId="20" fillId="33" fontId="77" numFmtId="0" xfId="0" applyAlignment="1" applyBorder="1" applyFont="1">
      <alignment horizontal="center" vertical="bottom"/>
    </xf>
    <xf borderId="19" fillId="11" fontId="78" numFmtId="0" xfId="0" applyAlignment="1" applyBorder="1" applyFont="1">
      <alignment readingOrder="0" vertical="bottom"/>
    </xf>
    <xf borderId="0" fillId="41" fontId="79" numFmtId="0" xfId="0" applyFont="1"/>
    <xf borderId="20" fillId="32" fontId="80" numFmtId="0" xfId="0" applyAlignment="1" applyBorder="1" applyFont="1">
      <alignment horizontal="center" vertical="bottom"/>
    </xf>
    <xf borderId="0" fillId="11" fontId="81" numFmtId="0" xfId="0" applyAlignment="1" applyFont="1">
      <alignment readingOrder="0" vertical="bottom"/>
    </xf>
    <xf borderId="21" fillId="31" fontId="82" numFmtId="0" xfId="0" applyAlignment="1" applyBorder="1" applyFont="1">
      <alignment horizontal="center" vertical="bottom"/>
    </xf>
    <xf borderId="12" fillId="11" fontId="83" numFmtId="0" xfId="0" applyAlignment="1" applyBorder="1" applyFont="1">
      <alignment readingOrder="0" vertical="bottom"/>
    </xf>
    <xf borderId="21" fillId="41" fontId="6" numFmtId="0" xfId="0" applyBorder="1" applyFont="1"/>
    <xf borderId="22" fillId="0" fontId="6" numFmtId="0" xfId="0" applyBorder="1" applyFont="1"/>
    <xf borderId="20" fillId="42" fontId="84" numFmtId="0" xfId="0" applyAlignment="1" applyBorder="1" applyFill="1" applyFont="1">
      <alignment horizontal="left" readingOrder="0" vertical="bottom"/>
    </xf>
    <xf borderId="0" fillId="43" fontId="6" numFmtId="0" xfId="0" applyAlignment="1" applyFill="1" applyFont="1">
      <alignment readingOrder="0"/>
    </xf>
    <xf borderId="0" fillId="43" fontId="85" numFmtId="0" xfId="0" applyFont="1"/>
    <xf borderId="19" fillId="43" fontId="86" numFmtId="0" xfId="0" applyBorder="1" applyFont="1"/>
    <xf borderId="0" fillId="43" fontId="87" numFmtId="0" xfId="0" applyFont="1"/>
    <xf borderId="0" fillId="43" fontId="88" numFmtId="0" xfId="0" applyAlignment="1" applyFont="1">
      <alignment vertical="bottom"/>
    </xf>
    <xf borderId="0" fillId="43" fontId="6" numFmtId="0" xfId="0" applyFont="1"/>
    <xf borderId="0" fillId="43" fontId="89" numFmtId="0" xfId="0" applyAlignment="1" applyFont="1">
      <alignment horizontal="left" readingOrder="0" vertical="center"/>
    </xf>
    <xf borderId="0" fillId="43" fontId="89" numFmtId="0" xfId="0" applyFont="1"/>
    <xf borderId="0" fillId="43" fontId="90" numFmtId="0" xfId="0" applyAlignment="1" applyFont="1">
      <alignment horizontal="left" vertical="center"/>
    </xf>
    <xf borderId="0" fillId="42" fontId="84" numFmtId="0" xfId="0" applyAlignment="1" applyFont="1">
      <alignment horizontal="left" readingOrder="0" vertical="bottom"/>
    </xf>
    <xf borderId="0" fillId="43" fontId="91" numFmtId="0" xfId="0" applyAlignment="1" applyFont="1">
      <alignment readingOrder="0"/>
    </xf>
    <xf borderId="0" fillId="43" fontId="6" numFmtId="166" xfId="0" applyAlignment="1" applyFont="1" applyNumberFormat="1">
      <alignment horizontal="left" readingOrder="0"/>
    </xf>
    <xf borderId="0" fillId="43" fontId="92" numFmtId="0" xfId="0" applyAlignment="1" applyFont="1">
      <alignment readingOrder="0"/>
    </xf>
    <xf borderId="0" fillId="43" fontId="93" numFmtId="0" xfId="0" applyFont="1"/>
    <xf borderId="12" fillId="43" fontId="94" numFmtId="0" xfId="0" applyBorder="1" applyFont="1"/>
    <xf borderId="12" fillId="43" fontId="95" numFmtId="0" xfId="0" applyBorder="1" applyFont="1"/>
    <xf borderId="12" fillId="43" fontId="6" numFmtId="0" xfId="0" applyAlignment="1" applyBorder="1" applyFont="1">
      <alignment readingOrder="0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26">
    <dxf>
      <font>
        <color rgb="FFFFF2CC"/>
      </font>
      <fill>
        <patternFill patternType="solid">
          <fgColor rgb="FFDE8F41"/>
          <bgColor rgb="FFDE8F41"/>
        </patternFill>
      </fill>
      <border/>
    </dxf>
    <dxf>
      <font>
        <color rgb="FFFCE8B2"/>
      </font>
      <fill>
        <patternFill patternType="solid">
          <fgColor rgb="FF86675C"/>
          <bgColor rgb="FF86675C"/>
        </patternFill>
      </fill>
      <border/>
    </dxf>
    <dxf>
      <font>
        <color rgb="FFFFFFFF"/>
      </font>
      <fill>
        <patternFill patternType="solid">
          <fgColor rgb="FFFB70FB"/>
          <bgColor rgb="FFFB70FB"/>
        </patternFill>
      </fill>
      <border/>
    </dxf>
    <dxf>
      <font>
        <color rgb="FFCFE2F3"/>
      </font>
      <fill>
        <patternFill patternType="solid">
          <fgColor rgb="FF4185C9"/>
          <bgColor rgb="FF4185C9"/>
        </patternFill>
      </fill>
      <border/>
    </dxf>
    <dxf>
      <font>
        <color rgb="FFFFFFFF"/>
      </font>
      <fill>
        <patternFill patternType="solid">
          <fgColor rgb="FF409F40"/>
          <bgColor rgb="FF409F40"/>
        </patternFill>
      </fill>
      <border/>
    </dxf>
    <dxf>
      <font>
        <color rgb="FFEFEFEF"/>
      </font>
      <fill>
        <patternFill patternType="solid">
          <fgColor rgb="FF9E9E9E"/>
          <bgColor rgb="FF9E9E9E"/>
        </patternFill>
      </fill>
      <border/>
    </dxf>
    <dxf>
      <font>
        <color rgb="FFFFE599"/>
      </font>
      <fill>
        <patternFill patternType="solid">
          <fgColor rgb="FFFB6262"/>
          <bgColor rgb="FFFB6262"/>
        </patternFill>
      </fill>
      <border/>
    </dxf>
    <dxf>
      <font>
        <color rgb="FFF3F3F3"/>
      </font>
      <fill>
        <patternFill patternType="solid">
          <fgColor rgb="FF000000"/>
          <bgColor rgb="FF000000"/>
        </patternFill>
      </fill>
      <border/>
    </dxf>
    <dxf>
      <font>
        <color rgb="FFFFFFFF"/>
      </font>
      <fill>
        <patternFill patternType="solid">
          <fgColor rgb="FF161616"/>
          <bgColor rgb="FF161616"/>
        </patternFill>
      </fill>
      <border/>
    </dxf>
    <dxf>
      <font>
        <b/>
        <color rgb="FF00FFFF"/>
      </font>
      <fill>
        <patternFill patternType="solid">
          <fgColor rgb="FF0B5394"/>
          <bgColor rgb="FF0B5394"/>
        </patternFill>
      </fill>
      <border/>
    </dxf>
    <dxf>
      <font>
        <b/>
        <color rgb="FF00FF74"/>
      </font>
      <fill>
        <patternFill patternType="solid">
          <fgColor rgb="FF38761D"/>
          <bgColor rgb="FF38761D"/>
        </patternFill>
      </fill>
      <border/>
    </dxf>
    <dxf>
      <font>
        <b/>
        <color rgb="FFBFBFBF"/>
      </font>
      <fill>
        <patternFill patternType="solid">
          <fgColor rgb="FF434343"/>
          <bgColor rgb="FF434343"/>
        </patternFill>
      </fill>
      <border/>
    </dxf>
    <dxf>
      <font>
        <b/>
        <color rgb="FF990000"/>
      </font>
      <fill>
        <patternFill patternType="solid">
          <fgColor rgb="FFDD7E6B"/>
          <bgColor rgb="FFDD7E6B"/>
        </patternFill>
      </fill>
      <border/>
    </dxf>
    <dxf>
      <font>
        <b/>
        <color rgb="FF5B0F00"/>
      </font>
      <fill>
        <patternFill patternType="solid">
          <fgColor rgb="FFFFD966"/>
          <bgColor rgb="FFFFD966"/>
        </patternFill>
      </fill>
      <border/>
    </dxf>
    <dxf>
      <font>
        <b/>
        <color rgb="FF980000"/>
      </font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>
        <color rgb="FF5B0F00"/>
      </font>
      <fill>
        <patternFill patternType="solid">
          <fgColor rgb="FFFFD966"/>
          <bgColor rgb="FFFFD966"/>
        </patternFill>
      </fill>
      <border/>
    </dxf>
    <dxf>
      <font>
        <color rgb="FFF3F3F3"/>
      </font>
      <fill>
        <patternFill patternType="solid">
          <fgColor rgb="FF351C75"/>
          <bgColor rgb="FF351C75"/>
        </patternFill>
      </fill>
      <border/>
    </dxf>
    <dxf>
      <font>
        <color rgb="FFF3F3F3"/>
      </font>
      <fill>
        <patternFill patternType="solid">
          <fgColor rgb="FF31849B"/>
          <bgColor rgb="FF31849B"/>
        </patternFill>
      </fill>
      <border/>
    </dxf>
    <dxf>
      <font>
        <color rgb="FFF3F3F3"/>
      </font>
      <fill>
        <patternFill patternType="solid">
          <fgColor rgb="FF4F6228"/>
          <bgColor rgb="FF4F6228"/>
        </patternFill>
      </fill>
      <border/>
    </dxf>
    <dxf>
      <font>
        <color rgb="FFF3F3F3"/>
      </font>
      <fill>
        <patternFill patternType="solid">
          <fgColor rgb="FFB45F06"/>
          <bgColor rgb="FFB45F06"/>
        </patternFill>
      </fill>
      <border/>
    </dxf>
    <dxf>
      <font>
        <color rgb="FFF3F3F3"/>
      </font>
      <fill>
        <patternFill patternType="solid">
          <fgColor rgb="FF632523"/>
          <bgColor rgb="FF632523"/>
        </patternFill>
      </fill>
      <border/>
    </dxf>
    <dxf>
      <font>
        <b/>
        <color rgb="FFFF00FF"/>
      </font>
      <fill>
        <patternFill patternType="solid">
          <fgColor rgb="FF60497B"/>
          <bgColor rgb="FF60497B"/>
        </patternFill>
      </fill>
      <border/>
    </dxf>
    <dxf>
      <font>
        <color rgb="FFFFFFFF"/>
      </font>
      <fill>
        <patternFill patternType="solid">
          <fgColor rgb="FFB45F06"/>
          <bgColor rgb="FFB45F06"/>
        </patternFill>
      </fill>
      <border/>
    </dxf>
    <dxf>
      <font>
        <color rgb="FFEFEFEF"/>
      </font>
      <fill>
        <patternFill patternType="solid">
          <fgColor rgb="FF632523"/>
          <bgColor rgb="FF632523"/>
        </patternFill>
      </fill>
      <border/>
    </dxf>
    <dxf>
      <font>
        <b/>
        <color rgb="FFFFFFFF"/>
      </font>
      <fill>
        <patternFill patternType="solid">
          <fgColor rgb="FF161616"/>
          <bgColor rgb="FF16161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hyperlink" Target="https://i.imgur.com/ejAmyRP.png" TargetMode="External"/><Relationship Id="rId3" Type="http://schemas.openxmlformats.org/officeDocument/2006/relationships/drawing" Target="../drawings/drawing6.xml"/><Relationship Id="rId4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hyperlink" Target="https://i.imgur.com/Nw4xRWF.png" TargetMode="External"/><Relationship Id="rId3" Type="http://schemas.openxmlformats.org/officeDocument/2006/relationships/drawing" Target="../drawings/drawing7.xml"/><Relationship Id="rId4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://letitdie.gamepedia.com/Fire_Rod" TargetMode="External"/><Relationship Id="rId42" Type="http://schemas.openxmlformats.org/officeDocument/2006/relationships/hyperlink" Target="http://letitdie.gamepedia.com/Death's_Scythe" TargetMode="External"/><Relationship Id="rId41" Type="http://schemas.openxmlformats.org/officeDocument/2006/relationships/hyperlink" Target="http://letitdie.gamepedia.com/Shuriken" TargetMode="External"/><Relationship Id="rId44" Type="http://schemas.openxmlformats.org/officeDocument/2006/relationships/hyperlink" Target="http://letitdie.gamepedia.com/Thunder_Rod" TargetMode="External"/><Relationship Id="rId43" Type="http://schemas.openxmlformats.org/officeDocument/2006/relationships/hyperlink" Target="http://letitdie.gamepedia.com/Death's_Scythe" TargetMode="External"/><Relationship Id="rId46" Type="http://schemas.openxmlformats.org/officeDocument/2006/relationships/hyperlink" Target="http://letitdie.gamepedia.com/Head_of_Medusa" TargetMode="External"/><Relationship Id="rId45" Type="http://schemas.openxmlformats.org/officeDocument/2006/relationships/hyperlink" Target="http://letitdie.gamepedia.com/Vajra_of_Light" TargetMode="External"/><Relationship Id="rId1" Type="http://schemas.openxmlformats.org/officeDocument/2006/relationships/hyperlink" Target="http://letitdie.gamepedia.com/Fists" TargetMode="External"/><Relationship Id="rId2" Type="http://schemas.openxmlformats.org/officeDocument/2006/relationships/hyperlink" Target="http://letitdie.gamepedia.com/Beam_Katana" TargetMode="External"/><Relationship Id="rId3" Type="http://schemas.openxmlformats.org/officeDocument/2006/relationships/hyperlink" Target="http://letitdie.gamepedia.com/Buzzsaw" TargetMode="External"/><Relationship Id="rId4" Type="http://schemas.openxmlformats.org/officeDocument/2006/relationships/hyperlink" Target="http://letitdie.gamepedia.com/Hammer" TargetMode="External"/><Relationship Id="rId9" Type="http://schemas.openxmlformats.org/officeDocument/2006/relationships/hyperlink" Target="http://letitdie.gamepedia.com/Iron" TargetMode="External"/><Relationship Id="rId48" Type="http://schemas.openxmlformats.org/officeDocument/2006/relationships/hyperlink" Target="http://letitdie.gamepedia.com/Bat" TargetMode="External"/><Relationship Id="rId47" Type="http://schemas.openxmlformats.org/officeDocument/2006/relationships/hyperlink" Target="http://letitdie.gamepedia.com/Lion_Dance_Knuckles" TargetMode="External"/><Relationship Id="rId49" Type="http://schemas.openxmlformats.org/officeDocument/2006/relationships/hyperlink" Target="http://letitdie.gamepedia.com/Saber" TargetMode="External"/><Relationship Id="rId5" Type="http://schemas.openxmlformats.org/officeDocument/2006/relationships/hyperlink" Target="http://letitdie.gamepedia.com/Pickaxe" TargetMode="External"/><Relationship Id="rId6" Type="http://schemas.openxmlformats.org/officeDocument/2006/relationships/hyperlink" Target="http://letitdie.gamepedia.com/Nail_Gun" TargetMode="External"/><Relationship Id="rId7" Type="http://schemas.openxmlformats.org/officeDocument/2006/relationships/hyperlink" Target="http://letitdie.gamepedia.com/Welding_Gun" TargetMode="External"/><Relationship Id="rId8" Type="http://schemas.openxmlformats.org/officeDocument/2006/relationships/hyperlink" Target="http://letitdie.gamepedia.com/Drill" TargetMode="External"/><Relationship Id="rId31" Type="http://schemas.openxmlformats.org/officeDocument/2006/relationships/hyperlink" Target="http://letitdie.gamepedia.com/Stun_Gun" TargetMode="External"/><Relationship Id="rId30" Type="http://schemas.openxmlformats.org/officeDocument/2006/relationships/hyperlink" Target="http://letitdie.gamepedia.com/M2G-87" TargetMode="External"/><Relationship Id="rId33" Type="http://schemas.openxmlformats.org/officeDocument/2006/relationships/hyperlink" Target="http://letitdie.gamepedia.com/Crossbow" TargetMode="External"/><Relationship Id="rId32" Type="http://schemas.openxmlformats.org/officeDocument/2006/relationships/hyperlink" Target="http://letitdie.gamepedia.com/Axe" TargetMode="External"/><Relationship Id="rId35" Type="http://schemas.openxmlformats.org/officeDocument/2006/relationships/hyperlink" Target="http://letitdie.gamepedia.com/Katana" TargetMode="External"/><Relationship Id="rId34" Type="http://schemas.openxmlformats.org/officeDocument/2006/relationships/hyperlink" Target="http://letitdie.gamepedia.com/Spear" TargetMode="External"/><Relationship Id="rId37" Type="http://schemas.openxmlformats.org/officeDocument/2006/relationships/hyperlink" Target="http://letitdie.gamepedia.com/Longsword_RE" TargetMode="External"/><Relationship Id="rId36" Type="http://schemas.openxmlformats.org/officeDocument/2006/relationships/hyperlink" Target="http://letitdie.gamepedia.com/Sword" TargetMode="External"/><Relationship Id="rId39" Type="http://schemas.openxmlformats.org/officeDocument/2006/relationships/hyperlink" Target="http://letitdie.gamepedia.com/Flail" TargetMode="External"/><Relationship Id="rId38" Type="http://schemas.openxmlformats.org/officeDocument/2006/relationships/hyperlink" Target="http://letitdie.gamepedia.com/Claws" TargetMode="External"/><Relationship Id="rId62" Type="http://schemas.openxmlformats.org/officeDocument/2006/relationships/hyperlink" Target="http://letitdie.gamepedia.com/Jackal_Blaster" TargetMode="External"/><Relationship Id="rId61" Type="http://schemas.openxmlformats.org/officeDocument/2006/relationships/hyperlink" Target="http://letitdie.gamepedia.com/Jackal_Sword_D" TargetMode="External"/><Relationship Id="rId20" Type="http://schemas.openxmlformats.org/officeDocument/2006/relationships/hyperlink" Target="http://letitdie.gamepedia.com/Demon_Gun" TargetMode="External"/><Relationship Id="rId64" Type="http://schemas.openxmlformats.org/officeDocument/2006/relationships/hyperlink" Target="http://letitdie.gamepedia.com/Jackal_Yo-Yo" TargetMode="External"/><Relationship Id="rId63" Type="http://schemas.openxmlformats.org/officeDocument/2006/relationships/hyperlink" Target="http://letitdie.gamepedia.com/Jackal_Blaster_D" TargetMode="External"/><Relationship Id="rId22" Type="http://schemas.openxmlformats.org/officeDocument/2006/relationships/hyperlink" Target="http://letitdie.gamepedia.com/Shotgun" TargetMode="External"/><Relationship Id="rId66" Type="http://schemas.openxmlformats.org/officeDocument/2006/relationships/drawing" Target="../drawings/drawing8.xml"/><Relationship Id="rId21" Type="http://schemas.openxmlformats.org/officeDocument/2006/relationships/hyperlink" Target="http://letitdie.gamepedia.com/Stun_Rod" TargetMode="External"/><Relationship Id="rId65" Type="http://schemas.openxmlformats.org/officeDocument/2006/relationships/hyperlink" Target="http://letitdie.gamepedia.com/Jackal_Yo-Yo_D" TargetMode="External"/><Relationship Id="rId24" Type="http://schemas.openxmlformats.org/officeDocument/2006/relationships/hyperlink" Target="http://letitdie.gamepedia.com/GLIDER" TargetMode="External"/><Relationship Id="rId23" Type="http://schemas.openxmlformats.org/officeDocument/2006/relationships/hyperlink" Target="http://letitdie.gamepedia.com/Sniper_Rifle" TargetMode="External"/><Relationship Id="rId60" Type="http://schemas.openxmlformats.org/officeDocument/2006/relationships/hyperlink" Target="http://letitdie.gamepedia.com/Jackal_Sword" TargetMode="External"/><Relationship Id="rId26" Type="http://schemas.openxmlformats.org/officeDocument/2006/relationships/hyperlink" Target="http://letitdie.gamepedia.com/KAMAS-WoT_Assault_Rifle" TargetMode="External"/><Relationship Id="rId25" Type="http://schemas.openxmlformats.org/officeDocument/2006/relationships/hyperlink" Target="http://letitdie.gamepedia.com/Assault_Rifle" TargetMode="External"/><Relationship Id="rId28" Type="http://schemas.openxmlformats.org/officeDocument/2006/relationships/hyperlink" Target="http://letitdie.gamepedia.com/Shovel" TargetMode="External"/><Relationship Id="rId27" Type="http://schemas.openxmlformats.org/officeDocument/2006/relationships/hyperlink" Target="http://letitdie.gamepedia.com/KAMAS-A1_Assault_Rifle_RE" TargetMode="External"/><Relationship Id="rId29" Type="http://schemas.openxmlformats.org/officeDocument/2006/relationships/hyperlink" Target="http://letitdie.gamepedia.com/Rocket_Launcher" TargetMode="External"/><Relationship Id="rId51" Type="http://schemas.openxmlformats.org/officeDocument/2006/relationships/hyperlink" Target="http://letitdie.gamepedia.com/Boxing_Gloves" TargetMode="External"/><Relationship Id="rId50" Type="http://schemas.openxmlformats.org/officeDocument/2006/relationships/hyperlink" Target="http://letitdie.gamepedia.com/Pitching_Machine" TargetMode="External"/><Relationship Id="rId53" Type="http://schemas.openxmlformats.org/officeDocument/2006/relationships/hyperlink" Target="http://letitdie.gamepedia.com/Bowling_Ball" TargetMode="External"/><Relationship Id="rId52" Type="http://schemas.openxmlformats.org/officeDocument/2006/relationships/hyperlink" Target="http://letitdie.gamepedia.com/Brutal_Yo-Yo" TargetMode="External"/><Relationship Id="rId11" Type="http://schemas.openxmlformats.org/officeDocument/2006/relationships/hyperlink" Target="http://letitdie.gamepedia.com/Fireworks" TargetMode="External"/><Relationship Id="rId55" Type="http://schemas.openxmlformats.org/officeDocument/2006/relationships/hyperlink" Target="http://letitdie.gamepedia.com/Motorcycle" TargetMode="External"/><Relationship Id="rId10" Type="http://schemas.openxmlformats.org/officeDocument/2006/relationships/hyperlink" Target="http://letitdie.gamepedia.com/Chopper" TargetMode="External"/><Relationship Id="rId54" Type="http://schemas.openxmlformats.org/officeDocument/2006/relationships/hyperlink" Target="http://letitdie.gamepedia.com/Fire_Baton" TargetMode="External"/><Relationship Id="rId13" Type="http://schemas.openxmlformats.org/officeDocument/2006/relationships/hyperlink" Target="http://letitdie.gamepedia.com/Spike_Crusher" TargetMode="External"/><Relationship Id="rId57" Type="http://schemas.openxmlformats.org/officeDocument/2006/relationships/hyperlink" Target="http://letitdie.gamepedia.com/Hockey_Stick" TargetMode="External"/><Relationship Id="rId12" Type="http://schemas.openxmlformats.org/officeDocument/2006/relationships/hyperlink" Target="http://letitdie.gamepedia.com/Chainsaw" TargetMode="External"/><Relationship Id="rId56" Type="http://schemas.openxmlformats.org/officeDocument/2006/relationships/hyperlink" Target="http://letitdie.gamepedia.com/Executioner's_Ride_ZX" TargetMode="External"/><Relationship Id="rId15" Type="http://schemas.openxmlformats.org/officeDocument/2006/relationships/hyperlink" Target="http://letitdie.gamepedia.com/Timber" TargetMode="External"/><Relationship Id="rId59" Type="http://schemas.openxmlformats.org/officeDocument/2006/relationships/hyperlink" Target="http://letitdie.gamepedia.com/Mortal_Bobslayer" TargetMode="External"/><Relationship Id="rId14" Type="http://schemas.openxmlformats.org/officeDocument/2006/relationships/hyperlink" Target="http://letitdie.gamepedia.com/Static_Massager" TargetMode="External"/><Relationship Id="rId58" Type="http://schemas.openxmlformats.org/officeDocument/2006/relationships/hyperlink" Target="http://letitdie.gamepedia.com/Archer's_Bow" TargetMode="External"/><Relationship Id="rId17" Type="http://schemas.openxmlformats.org/officeDocument/2006/relationships/hyperlink" Target="http://letitdie.gamepedia.com/Knife" TargetMode="External"/><Relationship Id="rId16" Type="http://schemas.openxmlformats.org/officeDocument/2006/relationships/hyperlink" Target="http://letitdie.gamepedia.com/Machete" TargetMode="External"/><Relationship Id="rId19" Type="http://schemas.openxmlformats.org/officeDocument/2006/relationships/hyperlink" Target="http://letitdie.gamepedia.com/Magnum" TargetMode="External"/><Relationship Id="rId18" Type="http://schemas.openxmlformats.org/officeDocument/2006/relationships/hyperlink" Target="http://letitdie.gamepedia.com/Flamethrower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i.imgur.com/T0arBPo.png" TargetMode="External"/><Relationship Id="rId2" Type="http://schemas.openxmlformats.org/officeDocument/2006/relationships/hyperlink" Target="https://i.imgur.com/fkpDuQE.png" TargetMode="External"/><Relationship Id="rId3" Type="http://schemas.openxmlformats.org/officeDocument/2006/relationships/hyperlink" Target="https://i.imgur.com/BZ9Uubj.png" TargetMode="External"/><Relationship Id="rId4" Type="http://schemas.openxmlformats.org/officeDocument/2006/relationships/hyperlink" Target="https://i.imgur.com/T0arBPo.png" TargetMode="External"/><Relationship Id="rId9" Type="http://schemas.openxmlformats.org/officeDocument/2006/relationships/hyperlink" Target="https://static.wikia.nocookie.net/letitdie_gamepedia/images/4/49/SPLithium_I.png" TargetMode="External"/><Relationship Id="rId5" Type="http://schemas.openxmlformats.org/officeDocument/2006/relationships/hyperlink" Target="https://i.imgur.com/j28Zeu9.png" TargetMode="External"/><Relationship Id="rId6" Type="http://schemas.openxmlformats.org/officeDocument/2006/relationships/hyperlink" Target="https://i.imgur.com/ryNIgix.png" TargetMode="External"/><Relationship Id="rId7" Type="http://schemas.openxmlformats.org/officeDocument/2006/relationships/hyperlink" Target="https://i.imgur.com/BZ9Uubj.png" TargetMode="External"/><Relationship Id="rId8" Type="http://schemas.openxmlformats.org/officeDocument/2006/relationships/hyperlink" Target="https://static.wikia.nocookie.net/letitdie_gamepedia/images/4/47/Decal-King_Mantis.png" TargetMode="External"/><Relationship Id="rId20" Type="http://schemas.openxmlformats.org/officeDocument/2006/relationships/drawing" Target="../drawings/drawing10.xml"/><Relationship Id="rId11" Type="http://schemas.openxmlformats.org/officeDocument/2006/relationships/hyperlink" Target="https://static.wikia.nocookie.net/letitdie_gamepedia/images/0/07/Golden_Bird_2.png" TargetMode="External"/><Relationship Id="rId10" Type="http://schemas.openxmlformats.org/officeDocument/2006/relationships/hyperlink" Target="https://static.wikia.nocookie.net/letitdie_gamepedia/images/9/9a/Decal-Nitro_Boost.png" TargetMode="External"/><Relationship Id="rId13" Type="http://schemas.openxmlformats.org/officeDocument/2006/relationships/hyperlink" Target="https://static.wikia.nocookie.net/letitdie_gamepedia/images/7/72/Death_Metal_Render.png" TargetMode="External"/><Relationship Id="rId12" Type="http://schemas.openxmlformats.org/officeDocument/2006/relationships/hyperlink" Target="https://static.wikia.nocookie.net/letitdie_gamepedia/images/a/ae/Decal-Squeezer.png" TargetMode="External"/><Relationship Id="rId15" Type="http://schemas.openxmlformats.org/officeDocument/2006/relationships/hyperlink" Target="https://static.wikia.nocookie.net/letitdie_gamepedia/images/0/00/61_Splattershroom_2.png" TargetMode="External"/><Relationship Id="rId14" Type="http://schemas.openxmlformats.org/officeDocument/2006/relationships/hyperlink" Target="https://static.wikia.nocookie.net/letitdie_gamepedia/images/2/2c/Decal-Vitamin_XXX.png" TargetMode="External"/><Relationship Id="rId17" Type="http://schemas.openxmlformats.org/officeDocument/2006/relationships/hyperlink" Target="https://static.wikia.nocookie.net/letitdie_gamepedia/images/b/b5/Fun_Fungus_2.png" TargetMode="External"/><Relationship Id="rId16" Type="http://schemas.openxmlformats.org/officeDocument/2006/relationships/hyperlink" Target="https://static.wikia.nocookie.net/letitdie_gamepedia/images/4/41/Decal-Super_Long_Tail.png" TargetMode="External"/><Relationship Id="rId19" Type="http://schemas.openxmlformats.org/officeDocument/2006/relationships/hyperlink" Target="https://static.wikia.nocookie.net/letitdie_gamepedia/images/8/89/KillCoins_I.png" TargetMode="External"/><Relationship Id="rId18" Type="http://schemas.openxmlformats.org/officeDocument/2006/relationships/hyperlink" Target="https://static.wikia.nocookie.net/letitdie_gamepedia/images/f/f0/Decal-Golden_Lucky_Cat.png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ddit.com/5mxlvz/" TargetMode="External"/><Relationship Id="rId2" Type="http://schemas.openxmlformats.org/officeDocument/2006/relationships/hyperlink" Target="https://www.reddit.com/5mcmqo/" TargetMode="External"/><Relationship Id="rId3" Type="http://schemas.openxmlformats.org/officeDocument/2006/relationships/hyperlink" Target="https://www.reddit.com/5mlay8/" TargetMode="External"/><Relationship Id="rId4" Type="http://schemas.openxmlformats.org/officeDocument/2006/relationships/hyperlink" Target="https://www.reddit.com/5mq53q/" TargetMode="External"/><Relationship Id="rId5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7E6B"/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75"/>
  <cols>
    <col customWidth="1" min="1" max="1" width="3.14"/>
    <col customWidth="1" hidden="1" min="2" max="2" width="2.71"/>
    <col customWidth="1" min="3" max="3" width="15.29"/>
    <col customWidth="1" hidden="1" min="4" max="4" width="11.57"/>
    <col customWidth="1" min="5" max="7" width="4.43"/>
    <col customWidth="1" min="8" max="8" width="11.29"/>
    <col customWidth="1" min="9" max="9" width="4.43"/>
    <col customWidth="1" min="10" max="10" width="10.43"/>
    <col customWidth="1" min="11" max="12" width="6.57"/>
    <col customWidth="1" min="13" max="13" width="7.57"/>
    <col customWidth="1" min="14" max="15" width="14.43"/>
    <col customWidth="1" min="16" max="16" width="31.57"/>
    <col customWidth="1" min="17" max="17" width="14.43"/>
  </cols>
  <sheetData>
    <row r="1" ht="15.75" customHeight="1">
      <c r="A1" s="1" t="str">
        <f>text(Floor_data!$O$4,"ddddddddd")</f>
        <v>Monday</v>
      </c>
      <c r="D1" s="2">
        <f>Floor_data!$O$4</f>
        <v>2</v>
      </c>
      <c r="E1" s="3" t="s">
        <v>0</v>
      </c>
      <c r="I1" s="4" t="s">
        <v>1</v>
      </c>
      <c r="M1" s="5" t="s">
        <v>2</v>
      </c>
      <c r="N1" s="6" t="str">
        <f>VLOOKUP($D$1,Floor_data!$N$11:$P$17,3,FALSE)</f>
        <v>4F Kankamata: Kill Coins
</v>
      </c>
      <c r="Q1" s="7" t="s">
        <v>3</v>
      </c>
      <c r="R1" s="8" t="str">
        <f>VLOOKUP($D$1,Floor_data!$N$11:$Q$17,4,FALSE)</f>
        <v>https://i.imgur.com/fkpDuQE.png</v>
      </c>
    </row>
    <row r="2" ht="15.75" customHeight="1">
      <c r="I2" s="4" t="str">
        <f>""&amp;int(left(text(time(6,0,0)-now(),"HH:MM"),2))&amp;" hours and "&amp;int(right(text(time(6,0,0)-now(),"HH:MM"),2))&amp;" minutes"</f>
        <v>20 hours and 44 minutes</v>
      </c>
      <c r="Q2" s="9" t="str">
        <f>IMAGE(VLOOKUP($D$1,Floor_data!$N$11:$Q$17,4,FALSE),4,3520,1010)</f>
        <v/>
      </c>
    </row>
    <row r="3">
      <c r="A3" s="10" t="s">
        <v>4</v>
      </c>
      <c r="B3" s="10" t="s">
        <v>5</v>
      </c>
      <c r="C3" s="10" t="s">
        <v>6</v>
      </c>
      <c r="D3" s="10" t="s">
        <v>7</v>
      </c>
      <c r="E3" s="11" t="s">
        <v>8</v>
      </c>
      <c r="H3" s="10" t="s">
        <v>9</v>
      </c>
      <c r="I3" s="12" t="s">
        <v>10</v>
      </c>
      <c r="J3" s="13" t="s">
        <v>11</v>
      </c>
      <c r="K3" s="14" t="s">
        <v>12</v>
      </c>
      <c r="L3" s="15" t="s">
        <v>13</v>
      </c>
    </row>
    <row r="4">
      <c r="E4" s="16" t="s">
        <v>14</v>
      </c>
      <c r="F4" s="16" t="s">
        <v>15</v>
      </c>
      <c r="G4" s="16" t="s">
        <v>16</v>
      </c>
    </row>
    <row r="5" ht="6.0" customHeight="1">
      <c r="A5" s="17">
        <f>IFERROR(__xludf.DUMMYFUNCTION("QUERY(Floor_data!$A$2:$L$315,""select A,B,C,D,E,F,G,H,I,J,K,L where B=0 or B=""&amp;'Current Rotation'!$D$1&amp;"""")"),41.0)</f>
        <v>41</v>
      </c>
      <c r="B5" s="18">
        <f>IFERROR(__xludf.DUMMYFUNCTION("""COMPUTED_VALUE"""),0.0)</f>
        <v>0</v>
      </c>
      <c r="C5" s="19" t="str">
        <f>IFERROR(__xludf.DUMMYFUNCTION("""COMPUTED_VALUE"""),"Chojo")</f>
        <v>Chojo</v>
      </c>
      <c r="D5" s="18"/>
      <c r="E5" s="18"/>
      <c r="F5" s="18"/>
      <c r="G5" s="18"/>
      <c r="H5" s="18" t="str">
        <f>IFERROR(__xludf.DUMMYFUNCTION("""COMPUTED_VALUE"""),"×")</f>
        <v>×</v>
      </c>
      <c r="I5" s="18"/>
      <c r="J5" s="18"/>
      <c r="K5" s="18"/>
      <c r="L5" s="20" t="str">
        <f>IFERROR(__xludf.DUMMYFUNCTION("""COMPUTED_VALUE"""),"Final floor of the main game.")</f>
        <v>Final floor of the main game.</v>
      </c>
    </row>
    <row r="6" ht="12.75" customHeight="1">
      <c r="A6" s="17">
        <f>IFERROR(__xludf.DUMMYFUNCTION("""COMPUTED_VALUE"""),40.0)</f>
        <v>40</v>
      </c>
      <c r="B6" s="18">
        <f>IFERROR(__xludf.DUMMYFUNCTION("""COMPUTED_VALUE"""),0.0)</f>
        <v>0</v>
      </c>
      <c r="C6" s="19" t="str">
        <f>IFERROR(__xludf.DUMMYFUNCTION("""COMPUTED_VALUE"""),"Futagi")</f>
        <v>Futagi</v>
      </c>
      <c r="D6" s="18" t="str">
        <f>IFERROR(__xludf.DUMMYFUNCTION("""COMPUTED_VALUE"""),"M")</f>
        <v>M</v>
      </c>
      <c r="E6" s="18"/>
      <c r="F6" s="18">
        <f>IFERROR(__xludf.DUMMYFUNCTION("""COMPUTED_VALUE"""),4.6)</f>
        <v>4.6</v>
      </c>
      <c r="G6" s="18" t="str">
        <f>IFERROR(__xludf.DUMMYFUNCTION("""COMPUTED_VALUE"""),"●")</f>
        <v>●</v>
      </c>
      <c r="H6" s="18" t="str">
        <f>IFERROR(__xludf.DUMMYFUNCTION("""COMPUTED_VALUE"""),"×")</f>
        <v>×</v>
      </c>
      <c r="I6" s="18"/>
      <c r="J6" s="18" t="str">
        <f>IFERROR(__xludf.DUMMYFUNCTION("""COMPUTED_VALUE"""),"MILK Red")</f>
        <v>MILK Red</v>
      </c>
      <c r="K6" s="18"/>
      <c r="L6" s="20" t="str">
        <f>IFERROR(__xludf.DUMMYFUNCTION("""COMPUTED_VALUE"""),"BOSS: Taro Gunkanyama. Must kill 38F JIN-DIE to unlock the floor.")</f>
        <v>BOSS: Taro Gunkanyama. Must kill 38F JIN-DIE to unlock the floor.</v>
      </c>
    </row>
    <row r="7" ht="9.75" customHeight="1">
      <c r="A7" s="17">
        <f>IFERROR(__xludf.DUMMYFUNCTION("""COMPUTED_VALUE"""),39.0)</f>
        <v>39</v>
      </c>
      <c r="B7" s="18">
        <f>IFERROR(__xludf.DUMMYFUNCTION("""COMPUTED_VALUE"""),0.0)</f>
        <v>0</v>
      </c>
      <c r="C7" s="19" t="str">
        <f>IFERROR(__xludf.DUMMYFUNCTION("""COMPUTED_VALUE"""),"Nakasaki")</f>
        <v>Nakasaki</v>
      </c>
      <c r="D7" s="18" t="str">
        <f>IFERROR(__xludf.DUMMYFUNCTION("""COMPUTED_VALUE"""),"M")</f>
        <v>M</v>
      </c>
      <c r="E7" s="18"/>
      <c r="F7" s="18"/>
      <c r="G7" s="18"/>
      <c r="H7" s="18" t="str">
        <f>IFERROR(__xludf.DUMMYFUNCTION("""COMPUTED_VALUE"""),"Iron")</f>
        <v>Iron</v>
      </c>
      <c r="I7" s="18"/>
      <c r="J7" s="18"/>
      <c r="K7" s="18"/>
      <c r="L7" s="20"/>
    </row>
    <row r="8">
      <c r="A8" s="17">
        <f>IFERROR(__xludf.DUMMYFUNCTION("""COMPUTED_VALUE"""),39.0)</f>
        <v>39</v>
      </c>
      <c r="B8" s="18">
        <f>IFERROR(__xludf.DUMMYFUNCTION("""COMPUTED_VALUE"""),0.0)</f>
        <v>0</v>
      </c>
      <c r="C8" s="19" t="str">
        <f>IFERROR(__xludf.DUMMYFUNCTION("""COMPUTED_VALUE"""),"Haratsuka")</f>
        <v>Haratsuka</v>
      </c>
      <c r="D8" s="18"/>
      <c r="E8" s="18"/>
      <c r="F8" s="18">
        <f>IFERROR(__xludf.DUMMYFUNCTION("""COMPUTED_VALUE"""),4.5)</f>
        <v>4.5</v>
      </c>
      <c r="G8" s="18"/>
      <c r="H8" s="18" t="str">
        <f>IFERROR(__xludf.DUMMYFUNCTION("""COMPUTED_VALUE"""),"Oil")</f>
        <v>Oil</v>
      </c>
      <c r="I8" s="18" t="str">
        <f>IFERROR(__xludf.DUMMYFUNCTION("""COMPUTED_VALUE"""),"G")</f>
        <v>G</v>
      </c>
      <c r="J8" s="18"/>
      <c r="K8" s="18"/>
      <c r="L8" s="20" t="str">
        <f>IFERROR(__xludf.DUMMYFUNCTION("""COMPUTED_VALUE"""),"Gyakufunsha can appear. Three Mk-5 Bullet Tubers.")</f>
        <v>Gyakufunsha can appear. Three Mk-5 Bullet Tubers.</v>
      </c>
    </row>
    <row r="9">
      <c r="A9" s="17">
        <f>IFERROR(__xludf.DUMMYFUNCTION("""COMPUTED_VALUE"""),39.0)</f>
        <v>39</v>
      </c>
      <c r="B9" s="18">
        <f>IFERROR(__xludf.DUMMYFUNCTION("""COMPUTED_VALUE"""),2.0)</f>
        <v>2</v>
      </c>
      <c r="C9" s="19" t="str">
        <f>IFERROR(__xludf.DUMMYFUNCTION("""COMPUTED_VALUE"""),"Shinkawa")</f>
        <v>Shinkawa</v>
      </c>
      <c r="D9" s="18"/>
      <c r="E9" s="18"/>
      <c r="F9" s="18"/>
      <c r="G9" s="18"/>
      <c r="H9" s="18" t="str">
        <f>IFERROR(__xludf.DUMMYFUNCTION("""COMPUTED_VALUE"""),"Iron")</f>
        <v>Iron</v>
      </c>
      <c r="I9" s="18"/>
      <c r="J9" s="18"/>
      <c r="K9" s="18"/>
      <c r="L9" s="20" t="str">
        <f>IFERROR(__xludf.DUMMYFUNCTION("""COMPUTED_VALUE"""),"One Mk-5 Bullet Tuber.")</f>
        <v>One Mk-5 Bullet Tuber.</v>
      </c>
    </row>
    <row r="10">
      <c r="A10" s="17">
        <f>IFERROR(__xludf.DUMMYFUNCTION("""COMPUTED_VALUE"""),38.0)</f>
        <v>38</v>
      </c>
      <c r="B10" s="18">
        <f>IFERROR(__xludf.DUMMYFUNCTION("""COMPUTED_VALUE"""),0.0)</f>
        <v>0</v>
      </c>
      <c r="C10" s="19" t="str">
        <f>IFERROR(__xludf.DUMMYFUNCTION("""COMPUTED_VALUE"""),"Yataka-Cho")</f>
        <v>Yataka-Cho</v>
      </c>
      <c r="D10" s="18"/>
      <c r="E10" s="18"/>
      <c r="F10" s="18"/>
      <c r="G10" s="18"/>
      <c r="H10" s="18" t="str">
        <f>IFERROR(__xludf.DUMMYFUNCTION("""COMPUTED_VALUE"""),"Fiber")</f>
        <v>Fiber</v>
      </c>
      <c r="I10" s="18"/>
      <c r="J10" s="18"/>
      <c r="K10" s="18" t="str">
        <f>IFERROR(__xludf.DUMMYFUNCTION("""COMPUTED_VALUE"""),"Red")</f>
        <v>Red</v>
      </c>
      <c r="L10" s="20" t="str">
        <f>IFERROR(__xludf.DUMMYFUNCTION("""COMPUTED_VALUE"""),"TRAP: Red or Black Metals. Five Screamers one after another.")</f>
        <v>TRAP: Red or Black Metals. Five Screamers one after another.</v>
      </c>
    </row>
    <row r="11">
      <c r="A11" s="17">
        <f>IFERROR(__xludf.DUMMYFUNCTION("""COMPUTED_VALUE"""),38.0)</f>
        <v>38</v>
      </c>
      <c r="B11" s="18">
        <f>IFERROR(__xludf.DUMMYFUNCTION("""COMPUTED_VALUE"""),0.0)</f>
        <v>0</v>
      </c>
      <c r="C11" s="19" t="str">
        <f>IFERROR(__xludf.DUMMYFUNCTION("""COMPUTED_VALUE"""),"Ebata")</f>
        <v>Ebata</v>
      </c>
      <c r="D11" s="18"/>
      <c r="E11" s="18"/>
      <c r="F11" s="18">
        <f>IFERROR(__xludf.DUMMYFUNCTION("""COMPUTED_VALUE"""),4.4)</f>
        <v>4.4</v>
      </c>
      <c r="G11" s="18"/>
      <c r="H11" s="18" t="str">
        <f>IFERROR(__xludf.DUMMYFUNCTION("""COMPUTED_VALUE"""),"Aluminum")</f>
        <v>Aluminum</v>
      </c>
      <c r="I11" s="18"/>
      <c r="J11" s="18" t="str">
        <f>IFERROR(__xludf.DUMMYFUNCTION("""COMPUTED_VALUE"""),"WE Red")</f>
        <v>WE Red</v>
      </c>
      <c r="K11" s="18"/>
      <c r="L11" s="20" t="str">
        <f>IFERROR(__xludf.DUMMYFUNCTION("""COMPUTED_VALUE"""),"BOSS: JIN-DIE. Drops War Ensemble Red Metal. Two Mk-5 Bullet Tubers.")</f>
        <v>BOSS: JIN-DIE. Drops War Ensemble Red Metal. Two Mk-5 Bullet Tubers.</v>
      </c>
    </row>
    <row r="12">
      <c r="A12" s="17">
        <f>IFERROR(__xludf.DUMMYFUNCTION("""COMPUTED_VALUE"""),38.0)</f>
        <v>38</v>
      </c>
      <c r="B12" s="18">
        <f>IFERROR(__xludf.DUMMYFUNCTION("""COMPUTED_VALUE"""),2.0)</f>
        <v>2</v>
      </c>
      <c r="C12" s="19" t="str">
        <f>IFERROR(__xludf.DUMMYFUNCTION("""COMPUTED_VALUE"""),"Ibakoen")</f>
        <v>Ibakoen</v>
      </c>
      <c r="D12" s="18"/>
      <c r="E12" s="18"/>
      <c r="F12" s="18"/>
      <c r="G12" s="18"/>
      <c r="H12" s="18" t="str">
        <f>IFERROR(__xludf.DUMMYFUNCTION("""COMPUTED_VALUE"""),"Oil")</f>
        <v>Oil</v>
      </c>
      <c r="I12" s="18"/>
      <c r="J12" s="18"/>
      <c r="K12" s="18"/>
      <c r="L12" s="20" t="str">
        <f>IFERROR(__xludf.DUMMYFUNCTION("""COMPUTED_VALUE"""),"Two Mk-5 Bullet Tubers.")</f>
        <v>Two Mk-5 Bullet Tubers.</v>
      </c>
    </row>
    <row r="13">
      <c r="A13" s="17">
        <f>IFERROR(__xludf.DUMMYFUNCTION("""COMPUTED_VALUE"""),38.0)</f>
        <v>38</v>
      </c>
      <c r="B13" s="18">
        <f>IFERROR(__xludf.DUMMYFUNCTION("""COMPUTED_VALUE"""),2.0)</f>
        <v>2</v>
      </c>
      <c r="C13" s="19" t="str">
        <f>IFERROR(__xludf.DUMMYFUNCTION("""COMPUTED_VALUE"""),"Ibamura")</f>
        <v>Ibamura</v>
      </c>
      <c r="D13" s="18"/>
      <c r="E13" s="18"/>
      <c r="F13" s="18"/>
      <c r="G13" s="18"/>
      <c r="H13" s="18" t="str">
        <f>IFERROR(__xludf.DUMMYFUNCTION("""COMPUTED_VALUE"""),"Fiber")</f>
        <v>Fiber</v>
      </c>
      <c r="I13" s="18"/>
      <c r="J13" s="18"/>
      <c r="K13" s="18"/>
      <c r="L13" s="20" t="str">
        <f>IFERROR(__xludf.DUMMYFUNCTION("""COMPUTED_VALUE"""),"Many Silk spawns (about 4-6).")</f>
        <v>Many Silk spawns (about 4-6).</v>
      </c>
    </row>
    <row r="14">
      <c r="A14" s="17">
        <f>IFERROR(__xludf.DUMMYFUNCTION("""COMPUTED_VALUE"""),37.0)</f>
        <v>37</v>
      </c>
      <c r="B14" s="18">
        <f>IFERROR(__xludf.DUMMYFUNCTION("""COMPUTED_VALUE"""),0.0)</f>
        <v>0</v>
      </c>
      <c r="C14" s="19" t="str">
        <f>IFERROR(__xludf.DUMMYFUNCTION("""COMPUTED_VALUE"""),"Hiromatsu")</f>
        <v>Hiromatsu</v>
      </c>
      <c r="D14" s="18" t="str">
        <f>IFERROR(__xludf.DUMMYFUNCTION("""COMPUTED_VALUE"""),"M")</f>
        <v>M</v>
      </c>
      <c r="E14" s="18"/>
      <c r="F14" s="18">
        <f>IFERROR(__xludf.DUMMYFUNCTION("""COMPUTED_VALUE"""),4.3)</f>
        <v>4.3</v>
      </c>
      <c r="G14" s="18"/>
      <c r="H14" s="18" t="str">
        <f>IFERROR(__xludf.DUMMYFUNCTION("""COMPUTED_VALUE"""),"All")</f>
        <v>All</v>
      </c>
      <c r="I14" s="18"/>
      <c r="J14" s="18"/>
      <c r="K14" s="18"/>
      <c r="L14" s="20" t="str">
        <f>IFERROR(__xludf.DUMMYFUNCTION("""COMPUTED_VALUE"""),"Must unlock from 36F Itanodai.")</f>
        <v>Must unlock from 36F Itanodai.</v>
      </c>
    </row>
    <row r="15">
      <c r="A15" s="17">
        <f>IFERROR(__xludf.DUMMYFUNCTION("""COMPUTED_VALUE"""),37.0)</f>
        <v>37</v>
      </c>
      <c r="B15" s="18">
        <f>IFERROR(__xludf.DUMMYFUNCTION("""COMPUTED_VALUE"""),0.0)</f>
        <v>0</v>
      </c>
      <c r="C15" s="19" t="str">
        <f>IFERROR(__xludf.DUMMYFUNCTION("""COMPUTED_VALUE"""),"Mitsuba")</f>
        <v>Mitsuba</v>
      </c>
      <c r="D15" s="18"/>
      <c r="E15" s="18"/>
      <c r="F15" s="18"/>
      <c r="G15" s="18"/>
      <c r="H15" s="18" t="str">
        <f>IFERROR(__xludf.DUMMYFUNCTION("""COMPUTED_VALUE"""),"Oil")</f>
        <v>Oil</v>
      </c>
      <c r="I15" s="18"/>
      <c r="J15" s="18"/>
      <c r="K15" s="18"/>
      <c r="L15" s="20"/>
    </row>
    <row r="16">
      <c r="A16" s="17">
        <f>IFERROR(__xludf.DUMMYFUNCTION("""COMPUTED_VALUE"""),37.0)</f>
        <v>37</v>
      </c>
      <c r="B16" s="18">
        <f>IFERROR(__xludf.DUMMYFUNCTION("""COMPUTED_VALUE"""),2.0)</f>
        <v>2</v>
      </c>
      <c r="C16" s="19" t="str">
        <f>IFERROR(__xludf.DUMMYFUNCTION("""COMPUTED_VALUE"""),"Konagi")</f>
        <v>Konagi</v>
      </c>
      <c r="D16" s="18"/>
      <c r="E16" s="18"/>
      <c r="F16" s="18"/>
      <c r="G16" s="18"/>
      <c r="H16" s="18" t="str">
        <f>IFERROR(__xludf.DUMMYFUNCTION("""COMPUTED_VALUE"""),"Iron")</f>
        <v>Iron</v>
      </c>
      <c r="I16" s="18"/>
      <c r="J16" s="18"/>
      <c r="K16" s="18"/>
      <c r="L16" s="20"/>
    </row>
    <row r="17">
      <c r="A17" s="17">
        <f>IFERROR(__xludf.DUMMYFUNCTION("""COMPUTED_VALUE"""),37.0)</f>
        <v>37</v>
      </c>
      <c r="B17" s="18">
        <f>IFERROR(__xludf.DUMMYFUNCTION("""COMPUTED_VALUE"""),2.0)</f>
        <v>2</v>
      </c>
      <c r="C17" s="19" t="str">
        <f>IFERROR(__xludf.DUMMYFUNCTION("""COMPUTED_VALUE"""),"Atagi")</f>
        <v>Atagi</v>
      </c>
      <c r="D17" s="18"/>
      <c r="E17" s="18"/>
      <c r="F17" s="18"/>
      <c r="G17" s="18"/>
      <c r="H17" s="18" t="str">
        <f>IFERROR(__xludf.DUMMYFUNCTION("""COMPUTED_VALUE"""),"Aluminum")</f>
        <v>Aluminum</v>
      </c>
      <c r="I17" s="18"/>
      <c r="J17" s="18"/>
      <c r="K17" s="18"/>
      <c r="L17" s="20" t="str">
        <f>IFERROR(__xludf.DUMMYFUNCTION("""COMPUTED_VALUE"""),"Two Mk-5 Bullet Tubers.")</f>
        <v>Two Mk-5 Bullet Tubers.</v>
      </c>
    </row>
    <row r="18">
      <c r="A18" s="17">
        <f>IFERROR(__xludf.DUMMYFUNCTION("""COMPUTED_VALUE"""),36.0)</f>
        <v>36</v>
      </c>
      <c r="B18" s="18">
        <f>IFERROR(__xludf.DUMMYFUNCTION("""COMPUTED_VALUE"""),0.0)</f>
        <v>0</v>
      </c>
      <c r="C18" s="19" t="str">
        <f>IFERROR(__xludf.DUMMYFUNCTION("""COMPUTED_VALUE"""),"Yatsuo")</f>
        <v>Yatsuo</v>
      </c>
      <c r="D18" s="18" t="str">
        <f>IFERROR(__xludf.DUMMYFUNCTION("""COMPUTED_VALUE"""),"M")</f>
        <v>M</v>
      </c>
      <c r="E18" s="18">
        <f>IFERROR(__xludf.DUMMYFUNCTION("""COMPUTED_VALUE"""),8.0)</f>
        <v>8</v>
      </c>
      <c r="F18" s="18"/>
      <c r="G18" s="18" t="str">
        <f>IFERROR(__xludf.DUMMYFUNCTION("""COMPUTED_VALUE"""),"●")</f>
        <v>●</v>
      </c>
      <c r="H18" s="18" t="str">
        <f>IFERROR(__xludf.DUMMYFUNCTION("""COMPUTED_VALUE"""),"All")</f>
        <v>All</v>
      </c>
      <c r="I18" s="18"/>
      <c r="J18" s="18"/>
      <c r="K18" s="18"/>
      <c r="L18" s="20" t="str">
        <f>IFERROR(__xludf.DUMMYFUNCTION("""COMPUTED_VALUE"""),"Only properly connects to 35F Wakaba on Monday.")</f>
        <v>Only properly connects to 35F Wakaba on Monday.</v>
      </c>
    </row>
    <row r="19">
      <c r="A19" s="17">
        <f>IFERROR(__xludf.DUMMYFUNCTION("""COMPUTED_VALUE"""),36.0)</f>
        <v>36</v>
      </c>
      <c r="B19" s="18">
        <f>IFERROR(__xludf.DUMMYFUNCTION("""COMPUTED_VALUE"""),0.0)</f>
        <v>0</v>
      </c>
      <c r="C19" s="19" t="str">
        <f>IFERROR(__xludf.DUMMYFUNCTION("""COMPUTED_VALUE"""),"Itanodai")</f>
        <v>Itanodai</v>
      </c>
      <c r="D19" s="18"/>
      <c r="E19" s="18"/>
      <c r="F19" s="18">
        <f>IFERROR(__xludf.DUMMYFUNCTION("""COMPUTED_VALUE"""),4.2)</f>
        <v>4.2</v>
      </c>
      <c r="G19" s="18"/>
      <c r="H19" s="18" t="str">
        <f>IFERROR(__xludf.DUMMYFUNCTION("""COMPUTED_VALUE"""),"Wood")</f>
        <v>Wood</v>
      </c>
      <c r="I19" s="18"/>
      <c r="J19" s="18" t="str">
        <f>IFERROR(__xludf.DUMMYFUNCTION("""COMPUTED_VALUE"""),"CW Red ")</f>
        <v>CW Red </v>
      </c>
      <c r="K19" s="18"/>
      <c r="L19" s="20" t="str">
        <f>IFERROR(__xludf.DUMMYFUNCTION("""COMPUTED_VALUE"""),"BOSS: GOTO-9. Drops Candle Wolf Red Metal.")</f>
        <v>BOSS: GOTO-9. Drops Candle Wolf Red Metal.</v>
      </c>
    </row>
    <row r="20">
      <c r="A20" s="17">
        <f>IFERROR(__xludf.DUMMYFUNCTION("""COMPUTED_VALUE"""),36.0)</f>
        <v>36</v>
      </c>
      <c r="B20" s="18">
        <f>IFERROR(__xludf.DUMMYFUNCTION("""COMPUTED_VALUE"""),0.0)</f>
        <v>0</v>
      </c>
      <c r="C20" s="19" t="str">
        <f>IFERROR(__xludf.DUMMYFUNCTION("""COMPUTED_VALUE"""),"Hiranuma")</f>
        <v>Hiranuma</v>
      </c>
      <c r="D20" s="18"/>
      <c r="E20" s="18"/>
      <c r="F20" s="18"/>
      <c r="G20" s="18"/>
      <c r="H20" s="18" t="str">
        <f>IFERROR(__xludf.DUMMYFUNCTION("""COMPUTED_VALUE"""),"Copper")</f>
        <v>Copper</v>
      </c>
      <c r="I20" s="18"/>
      <c r="J20" s="18"/>
      <c r="K20" s="18"/>
      <c r="L20" s="20"/>
    </row>
    <row r="21">
      <c r="A21" s="17">
        <f>IFERROR(__xludf.DUMMYFUNCTION("""COMPUTED_VALUE"""),36.0)</f>
        <v>36</v>
      </c>
      <c r="B21" s="18">
        <f>IFERROR(__xludf.DUMMYFUNCTION("""COMPUTED_VALUE"""),2.0)</f>
        <v>2</v>
      </c>
      <c r="C21" s="19" t="str">
        <f>IFERROR(__xludf.DUMMYFUNCTION("""COMPUTED_VALUE"""),"Senbashi")</f>
        <v>Senbashi</v>
      </c>
      <c r="D21" s="18"/>
      <c r="E21" s="18"/>
      <c r="F21" s="18"/>
      <c r="G21" s="18"/>
      <c r="H21" s="18" t="str">
        <f>IFERROR(__xludf.DUMMYFUNCTION("""COMPUTED_VALUE"""),"Wood")</f>
        <v>Wood</v>
      </c>
      <c r="I21" s="18"/>
      <c r="J21" s="18"/>
      <c r="K21" s="18"/>
      <c r="L21" s="20" t="str">
        <f>IFERROR(__xludf.DUMMYFUNCTION("""COMPUTED_VALUE"""),"One Mk-5 Reversal, three Mk-5 Bullet Tubers.")</f>
        <v>One Mk-5 Reversal, three Mk-5 Bullet Tubers.</v>
      </c>
    </row>
    <row r="22">
      <c r="A22" s="17">
        <f>IFERROR(__xludf.DUMMYFUNCTION("""COMPUTED_VALUE"""),35.0)</f>
        <v>35</v>
      </c>
      <c r="B22" s="18">
        <f>IFERROR(__xludf.DUMMYFUNCTION("""COMPUTED_VALUE"""),0.0)</f>
        <v>0</v>
      </c>
      <c r="C22" s="19" t="str">
        <f>IFERROR(__xludf.DUMMYFUNCTION("""COMPUTED_VALUE"""),"Shina-Yama")</f>
        <v>Shina-Yama</v>
      </c>
      <c r="D22" s="18"/>
      <c r="E22" s="18"/>
      <c r="F22" s="18">
        <f>IFERROR(__xludf.DUMMYFUNCTION("""COMPUTED_VALUE"""),4.1)</f>
        <v>4.1</v>
      </c>
      <c r="G22" s="18"/>
      <c r="H22" s="18" t="str">
        <f>IFERROR(__xludf.DUMMYFUNCTION("""COMPUTED_VALUE"""),"Aluminum")</f>
        <v>Aluminum</v>
      </c>
      <c r="I22" s="18"/>
      <c r="J22" s="18"/>
      <c r="K22" s="18"/>
      <c r="L22" s="20" t="str">
        <f>IFERROR(__xludf.DUMMYFUNCTION("""COMPUTED_VALUE"""),"Must unlock from 34F Nitanda.")</f>
        <v>Must unlock from 34F Nitanda.</v>
      </c>
    </row>
    <row r="23">
      <c r="A23" s="17">
        <f>IFERROR(__xludf.DUMMYFUNCTION("""COMPUTED_VALUE"""),35.0)</f>
        <v>35</v>
      </c>
      <c r="B23" s="18">
        <f>IFERROR(__xludf.DUMMYFUNCTION("""COMPUTED_VALUE"""),0.0)</f>
        <v>0</v>
      </c>
      <c r="C23" s="19" t="str">
        <f>IFERROR(__xludf.DUMMYFUNCTION("""COMPUTED_VALUE"""),"Wakaba")</f>
        <v>Wakaba</v>
      </c>
      <c r="D23" s="18"/>
      <c r="E23" s="18">
        <f>IFERROR(__xludf.DUMMYFUNCTION("""COMPUTED_VALUE"""),7.0)</f>
        <v>7</v>
      </c>
      <c r="F23" s="18"/>
      <c r="G23" s="18" t="str">
        <f>IFERROR(__xludf.DUMMYFUNCTION("""COMPUTED_VALUE"""),"●")</f>
        <v>●</v>
      </c>
      <c r="H23" s="18" t="str">
        <f>IFERROR(__xludf.DUMMYFUNCTION("""COMPUTED_VALUE"""),"Iron")</f>
        <v>Iron</v>
      </c>
      <c r="I23" s="18"/>
      <c r="J23" s="18"/>
      <c r="K23" s="18" t="str">
        <f>IFERROR(__xludf.DUMMYFUNCTION("""COMPUTED_VALUE"""),"Red")</f>
        <v>Red</v>
      </c>
      <c r="L23" s="20" t="str">
        <f>IFERROR(__xludf.DUMMYFUNCTION("""COMPUTED_VALUE"""),"TRAP: Red or Black Metals. 4 Mk-5 Scratch, Mk-5 Hover, a Screamer.
Gate in the garden locks automatically; cannot approach from Nagazaka/Sengoku.")</f>
        <v>TRAP: Red or Black Metals. 4 Mk-5 Scratch, Mk-5 Hover, a Screamer.
Gate in the garden locks automatically; cannot approach from Nagazaka/Sengoku.</v>
      </c>
    </row>
    <row r="24">
      <c r="A24" s="17">
        <f>IFERROR(__xludf.DUMMYFUNCTION("""COMPUTED_VALUE"""),34.0)</f>
        <v>34</v>
      </c>
      <c r="B24" s="18">
        <f>IFERROR(__xludf.DUMMYFUNCTION("""COMPUTED_VALUE"""),0.0)</f>
        <v>0</v>
      </c>
      <c r="C24" s="19" t="str">
        <f>IFERROR(__xludf.DUMMYFUNCTION("""COMPUTED_VALUE"""),"Nitanda")</f>
        <v>Nitanda</v>
      </c>
      <c r="D24" s="18"/>
      <c r="E24" s="18"/>
      <c r="F24" s="18"/>
      <c r="G24" s="18" t="str">
        <f>IFERROR(__xludf.DUMMYFUNCTION("""COMPUTED_VALUE"""),"●")</f>
        <v>●</v>
      </c>
      <c r="H24" s="18" t="str">
        <f>IFERROR(__xludf.DUMMYFUNCTION("""COMPUTED_VALUE"""),"×")</f>
        <v>×</v>
      </c>
      <c r="I24" s="18"/>
      <c r="J24" s="18" t="str">
        <f>IFERROR(__xludf.DUMMYFUNCTION("""COMPUTED_VALUE"""),"DOD Red")</f>
        <v>DOD Red</v>
      </c>
      <c r="K24" s="18"/>
      <c r="L24" s="20" t="str">
        <f>IFERROR(__xludf.DUMMYFUNCTION("""COMPUTED_VALUE"""),"BOSS: COEN. Drops DOD ARMS Red Metal.")</f>
        <v>BOSS: COEN. Drops DOD ARMS Red Metal.</v>
      </c>
    </row>
    <row r="25">
      <c r="A25" s="17">
        <f>IFERROR(__xludf.DUMMYFUNCTION("""COMPUTED_VALUE"""),34.0)</f>
        <v>34</v>
      </c>
      <c r="B25" s="18">
        <f>IFERROR(__xludf.DUMMYFUNCTION("""COMPUTED_VALUE"""),2.0)</f>
        <v>2</v>
      </c>
      <c r="C25" s="19" t="str">
        <f>IFERROR(__xludf.DUMMYFUNCTION("""COMPUTED_VALUE"""),"Azaba")</f>
        <v>Azaba</v>
      </c>
      <c r="D25" s="18"/>
      <c r="E25" s="18"/>
      <c r="F25" s="18"/>
      <c r="G25" s="18"/>
      <c r="H25" s="18" t="str">
        <f>IFERROR(__xludf.DUMMYFUNCTION("""COMPUTED_VALUE"""),"Fiber")</f>
        <v>Fiber</v>
      </c>
      <c r="I25" s="18"/>
      <c r="J25" s="18"/>
      <c r="K25" s="18"/>
      <c r="L25" s="20"/>
    </row>
    <row r="26">
      <c r="A26" s="17">
        <f>IFERROR(__xludf.DUMMYFUNCTION("""COMPUTED_VALUE"""),34.0)</f>
        <v>34</v>
      </c>
      <c r="B26" s="18">
        <f>IFERROR(__xludf.DUMMYFUNCTION("""COMPUTED_VALUE"""),2.0)</f>
        <v>2</v>
      </c>
      <c r="C26" s="19" t="str">
        <f>IFERROR(__xludf.DUMMYFUNCTION("""COMPUTED_VALUE"""),"Nagazaka")</f>
        <v>Nagazaka</v>
      </c>
      <c r="D26" s="18"/>
      <c r="E26" s="18"/>
      <c r="F26" s="18"/>
      <c r="G26" s="18"/>
      <c r="H26" s="18" t="str">
        <f>IFERROR(__xludf.DUMMYFUNCTION("""COMPUTED_VALUE"""),"Copper")</f>
        <v>Copper</v>
      </c>
      <c r="I26" s="18"/>
      <c r="J26" s="18"/>
      <c r="K26" s="18"/>
      <c r="L26" s="20"/>
    </row>
    <row r="27">
      <c r="A27" s="17">
        <f>IFERROR(__xludf.DUMMYFUNCTION("""COMPUTED_VALUE"""),33.0)</f>
        <v>33</v>
      </c>
      <c r="B27" s="18">
        <f>IFERROR(__xludf.DUMMYFUNCTION("""COMPUTED_VALUE"""),0.0)</f>
        <v>0</v>
      </c>
      <c r="C27" s="19" t="str">
        <f>IFERROR(__xludf.DUMMYFUNCTION("""COMPUTED_VALUE"""),"Togose")</f>
        <v>Togose</v>
      </c>
      <c r="D27" s="18" t="str">
        <f>IFERROR(__xludf.DUMMYFUNCTION("""COMPUTED_VALUE"""),"M")</f>
        <v>M</v>
      </c>
      <c r="E27" s="18"/>
      <c r="F27" s="18"/>
      <c r="G27" s="18"/>
      <c r="H27" s="18" t="str">
        <f>IFERROR(__xludf.DUMMYFUNCTION("""COMPUTED_VALUE"""),"All")</f>
        <v>All</v>
      </c>
      <c r="I27" s="18"/>
      <c r="J27" s="18"/>
      <c r="K27" s="18"/>
      <c r="L27" s="20"/>
    </row>
    <row r="28">
      <c r="A28" s="17">
        <f>IFERROR(__xludf.DUMMYFUNCTION("""COMPUTED_VALUE"""),33.0)</f>
        <v>33</v>
      </c>
      <c r="B28" s="18">
        <f>IFERROR(__xludf.DUMMYFUNCTION("""COMPUTED_VALUE"""),0.0)</f>
        <v>0</v>
      </c>
      <c r="C28" s="19" t="str">
        <f>IFERROR(__xludf.DUMMYFUNCTION("""COMPUTED_VALUE"""),"Uchinobu")</f>
        <v>Uchinobu</v>
      </c>
      <c r="D28" s="18"/>
      <c r="E28" s="18"/>
      <c r="F28" s="18"/>
      <c r="G28" s="18"/>
      <c r="H28" s="18" t="str">
        <f>IFERROR(__xludf.DUMMYFUNCTION("""COMPUTED_VALUE"""),"Fiber")</f>
        <v>Fiber</v>
      </c>
      <c r="I28" s="18" t="str">
        <f>IFERROR(__xludf.DUMMYFUNCTION("""COMPUTED_VALUE"""),"G")</f>
        <v>G</v>
      </c>
      <c r="J28" s="18"/>
      <c r="K28" s="18"/>
      <c r="L28" s="20"/>
    </row>
    <row r="29" ht="1.5" customHeight="1">
      <c r="A29" s="17">
        <f>IFERROR(__xludf.DUMMYFUNCTION("""COMPUTED_VALUE"""),33.0)</f>
        <v>33</v>
      </c>
      <c r="B29" s="18">
        <f>IFERROR(__xludf.DUMMYFUNCTION("""COMPUTED_VALUE"""),2.0)</f>
        <v>2</v>
      </c>
      <c r="C29" s="19" t="str">
        <f>IFERROR(__xludf.DUMMYFUNCTION("""COMPUTED_VALUE"""),"Midorisaka")</f>
        <v>Midorisaka</v>
      </c>
      <c r="D29" s="18"/>
      <c r="E29" s="18"/>
      <c r="F29" s="18"/>
      <c r="G29" s="18" t="str">
        <f>IFERROR(__xludf.DUMMYFUNCTION("""COMPUTED_VALUE"""),"●")</f>
        <v>●</v>
      </c>
      <c r="H29" s="18" t="str">
        <f>IFERROR(__xludf.DUMMYFUNCTION("""COMPUTED_VALUE"""),"×")</f>
        <v>×</v>
      </c>
      <c r="I29" s="18"/>
      <c r="J29" s="18"/>
      <c r="K29" s="18"/>
      <c r="L29" s="20" t="str">
        <f>IFERROR(__xludf.DUMMYFUNCTION("""COMPUTED_VALUE"""),"Two Mk-4 Bullet Tubers.")</f>
        <v>Two Mk-4 Bullet Tubers.</v>
      </c>
    </row>
    <row r="30" ht="1.5" customHeight="1">
      <c r="A30" s="17">
        <f>IFERROR(__xludf.DUMMYFUNCTION("""COMPUTED_VALUE"""),32.0)</f>
        <v>32</v>
      </c>
      <c r="B30" s="18">
        <f>IFERROR(__xludf.DUMMYFUNCTION("""COMPUTED_VALUE"""),0.0)</f>
        <v>0</v>
      </c>
      <c r="C30" s="19" t="str">
        <f>IFERROR(__xludf.DUMMYFUNCTION("""COMPUTED_VALUE"""),"Koshi-Yama")</f>
        <v>Koshi-Yama</v>
      </c>
      <c r="D30" s="18"/>
      <c r="E30" s="18"/>
      <c r="F30" s="18"/>
      <c r="G30" s="18"/>
      <c r="H30" s="18" t="str">
        <f>IFERROR(__xludf.DUMMYFUNCTION("""COMPUTED_VALUE"""),"Iron")</f>
        <v>Iron</v>
      </c>
      <c r="I30" s="18"/>
      <c r="J30" s="18"/>
      <c r="K30" s="18" t="str">
        <f>IFERROR(__xludf.DUMMYFUNCTION("""COMPUTED_VALUE"""),"Red")</f>
        <v>Red</v>
      </c>
      <c r="L30" s="20" t="str">
        <f>IFERROR(__xludf.DUMMYFUNCTION("""COMPUTED_VALUE"""),"TRAP: Red or Black Metals. Mk-4 Bone Tuber, two Screamers. Unlock from 33F Uchinobu.")</f>
        <v>TRAP: Red or Black Metals. Mk-4 Bone Tuber, two Screamers. Unlock from 33F Uchinobu.</v>
      </c>
    </row>
    <row r="31" ht="1.5" customHeight="1">
      <c r="A31" s="17">
        <f>IFERROR(__xludf.DUMMYFUNCTION("""COMPUTED_VALUE"""),32.0)</f>
        <v>32</v>
      </c>
      <c r="B31" s="18">
        <f>IFERROR(__xludf.DUMMYFUNCTION("""COMPUTED_VALUE"""),0.0)</f>
        <v>0</v>
      </c>
      <c r="C31" s="19" t="str">
        <f>IFERROR(__xludf.DUMMYFUNCTION("""COMPUTED_VALUE"""),"Katsuma")</f>
        <v>Katsuma</v>
      </c>
      <c r="D31" s="18"/>
      <c r="E31" s="18"/>
      <c r="F31" s="18"/>
      <c r="G31" s="18" t="str">
        <f>IFERROR(__xludf.DUMMYFUNCTION("""COMPUTED_VALUE"""),"●")</f>
        <v>●</v>
      </c>
      <c r="H31" s="18" t="str">
        <f>IFERROR(__xludf.DUMMYFUNCTION("""COMPUTED_VALUE"""),"Oil")</f>
        <v>Oil</v>
      </c>
      <c r="I31" s="18"/>
      <c r="J31" s="18" t="str">
        <f>IFERROR(__xludf.DUMMYFUNCTION("""COMPUTED_VALUE"""),"MILK Red")</f>
        <v>MILK Red</v>
      </c>
      <c r="K31" s="18"/>
      <c r="L31" s="20" t="str">
        <f>IFERROR(__xludf.DUMMYFUNCTION("""COMPUTED_VALUE"""),"BOSS: U-10. Drops MILK Red Metal.")</f>
        <v>BOSS: U-10. Drops MILK Red Metal.</v>
      </c>
    </row>
    <row r="32" ht="1.5" customHeight="1">
      <c r="A32" s="17">
        <f>IFERROR(__xludf.DUMMYFUNCTION("""COMPUTED_VALUE"""),32.0)</f>
        <v>32</v>
      </c>
      <c r="B32" s="18">
        <f>IFERROR(__xludf.DUMMYFUNCTION("""COMPUTED_VALUE"""),0.0)</f>
        <v>0</v>
      </c>
      <c r="C32" s="19" t="str">
        <f>IFERROR(__xludf.DUMMYFUNCTION("""COMPUTED_VALUE"""),"Osuki")</f>
        <v>Osuki</v>
      </c>
      <c r="D32" s="18"/>
      <c r="E32" s="18"/>
      <c r="F32" s="18"/>
      <c r="G32" s="18"/>
      <c r="H32" s="18" t="str">
        <f>IFERROR(__xludf.DUMMYFUNCTION("""COMPUTED_VALUE"""),"Copper")</f>
        <v>Copper</v>
      </c>
      <c r="I32" s="18"/>
      <c r="J32" s="18"/>
      <c r="K32" s="18"/>
      <c r="L32" s="20"/>
    </row>
    <row r="33">
      <c r="A33" s="17">
        <f>IFERROR(__xludf.DUMMYFUNCTION("""COMPUTED_VALUE"""),31.0)</f>
        <v>31</v>
      </c>
      <c r="B33" s="18">
        <f>IFERROR(__xludf.DUMMYFUNCTION("""COMPUTED_VALUE"""),0.0)</f>
        <v>0</v>
      </c>
      <c r="C33" s="19" t="str">
        <f>IFERROR(__xludf.DUMMYFUNCTION("""COMPUTED_VALUE"""),"Obara")</f>
        <v>Obara</v>
      </c>
      <c r="D33" s="18" t="str">
        <f>IFERROR(__xludf.DUMMYFUNCTION("""COMPUTED_VALUE"""),"M")</f>
        <v>M</v>
      </c>
      <c r="E33" s="18"/>
      <c r="F33" s="18"/>
      <c r="G33" s="18" t="str">
        <f>IFERROR(__xludf.DUMMYFUNCTION("""COMPUTED_VALUE"""),"●")</f>
        <v>●</v>
      </c>
      <c r="H33" s="18" t="str">
        <f>IFERROR(__xludf.DUMMYFUNCTION("""COMPUTED_VALUE"""),"All")</f>
        <v>All</v>
      </c>
      <c r="I33" s="18"/>
      <c r="J33" s="18"/>
      <c r="K33" s="18"/>
      <c r="L33" s="20"/>
    </row>
    <row r="34">
      <c r="A34" s="17">
        <f>IFERROR(__xludf.DUMMYFUNCTION("""COMPUTED_VALUE"""),31.0)</f>
        <v>31</v>
      </c>
      <c r="B34" s="18">
        <f>IFERROR(__xludf.DUMMYFUNCTION("""COMPUTED_VALUE"""),0.0)</f>
        <v>0</v>
      </c>
      <c r="C34" s="19" t="str">
        <f>IFERROR(__xludf.DUMMYFUNCTION("""COMPUTED_VALUE"""),"Koi")</f>
        <v>Koi</v>
      </c>
      <c r="D34" s="18"/>
      <c r="E34" s="18"/>
      <c r="F34" s="18"/>
      <c r="G34" s="18"/>
      <c r="H34" s="18" t="str">
        <f>IFERROR(__xludf.DUMMYFUNCTION("""COMPUTED_VALUE"""),"×")</f>
        <v>×</v>
      </c>
      <c r="I34" s="18"/>
      <c r="J34" s="18"/>
      <c r="K34" s="18"/>
      <c r="L34" s="20" t="str">
        <f>IFERROR(__xludf.DUMMYFUNCTION("""COMPUTED_VALUE"""),"One Mk-4 Reversal Tuber in a dead-end trap room.")</f>
        <v>One Mk-4 Reversal Tuber in a dead-end trap room.</v>
      </c>
    </row>
    <row r="35">
      <c r="A35" s="17">
        <f>IFERROR(__xludf.DUMMYFUNCTION("""COMPUTED_VALUE"""),30.0)</f>
        <v>30</v>
      </c>
      <c r="B35" s="18">
        <f>IFERROR(__xludf.DUMMYFUNCTION("""COMPUTED_VALUE"""),0.0)</f>
        <v>0</v>
      </c>
      <c r="C35" s="19" t="str">
        <f>IFERROR(__xludf.DUMMYFUNCTION("""COMPUTED_VALUE"""),"Towada")</f>
        <v>Towada</v>
      </c>
      <c r="D35" s="18"/>
      <c r="E35" s="18"/>
      <c r="F35" s="18"/>
      <c r="G35" s="18"/>
      <c r="H35" s="18" t="str">
        <f>IFERROR(__xludf.DUMMYFUNCTION("""COMPUTED_VALUE"""),"All")</f>
        <v>All</v>
      </c>
      <c r="I35" s="18"/>
      <c r="J35" s="18"/>
      <c r="K35" s="18"/>
      <c r="L35" s="20"/>
    </row>
    <row r="36">
      <c r="A36" s="17">
        <f>IFERROR(__xludf.DUMMYFUNCTION("""COMPUTED_VALUE"""),30.0)</f>
        <v>30</v>
      </c>
      <c r="B36" s="18">
        <f>IFERROR(__xludf.DUMMYFUNCTION("""COMPUTED_VALUE"""),0.0)</f>
        <v>0</v>
      </c>
      <c r="C36" s="19" t="str">
        <f>IFERROR(__xludf.DUMMYFUNCTION("""COMPUTED_VALUE"""),"Saigetsu")</f>
        <v>Saigetsu</v>
      </c>
      <c r="D36" s="18" t="str">
        <f>IFERROR(__xludf.DUMMYFUNCTION("""COMPUTED_VALUE"""),"M")</f>
        <v>M</v>
      </c>
      <c r="E36" s="18"/>
      <c r="F36" s="18">
        <f>IFERROR(__xludf.DUMMYFUNCTION("""COMPUTED_VALUE"""),3.6)</f>
        <v>3.6</v>
      </c>
      <c r="G36" s="18" t="str">
        <f>IFERROR(__xludf.DUMMYFUNCTION("""COMPUTED_VALUE"""),"●")</f>
        <v>●</v>
      </c>
      <c r="H36" s="18" t="str">
        <f>IFERROR(__xludf.DUMMYFUNCTION("""COMPUTED_VALUE"""),"×")</f>
        <v>×</v>
      </c>
      <c r="I36" s="18"/>
      <c r="J36" s="18" t="str">
        <f>IFERROR(__xludf.DUMMYFUNCTION("""COMPUTED_VALUE"""),"CW Black")</f>
        <v>CW Black</v>
      </c>
      <c r="K36" s="18"/>
      <c r="L36" s="20" t="str">
        <f>IFERROR(__xludf.DUMMYFUNCTION("""COMPUTED_VALUE"""),"BOSS: Mr. Crowley.")</f>
        <v>BOSS: Mr. Crowley.</v>
      </c>
    </row>
    <row r="37">
      <c r="A37" s="17">
        <f>IFERROR(__xludf.DUMMYFUNCTION("""COMPUTED_VALUE"""),29.0)</f>
        <v>29</v>
      </c>
      <c r="B37" s="18">
        <f>IFERROR(__xludf.DUMMYFUNCTION("""COMPUTED_VALUE"""),0.0)</f>
        <v>0</v>
      </c>
      <c r="C37" s="19" t="str">
        <f>IFERROR(__xludf.DUMMYFUNCTION("""COMPUTED_VALUE"""),"Hashidaka")</f>
        <v>Hashidaka</v>
      </c>
      <c r="D37" s="18"/>
      <c r="E37" s="18"/>
      <c r="F37" s="18">
        <f>IFERROR(__xludf.DUMMYFUNCTION("""COMPUTED_VALUE"""),3.5)</f>
        <v>3.5</v>
      </c>
      <c r="G37" s="18" t="str">
        <f>IFERROR(__xludf.DUMMYFUNCTION("""COMPUTED_VALUE"""),"●")</f>
        <v>●</v>
      </c>
      <c r="H37" s="18" t="str">
        <f>IFERROR(__xludf.DUMMYFUNCTION("""COMPUTED_VALUE"""),"Iron")</f>
        <v>Iron</v>
      </c>
      <c r="I37" s="18"/>
      <c r="J37" s="18"/>
      <c r="K37" s="18"/>
      <c r="L37" s="20" t="str">
        <f>IFERROR(__xludf.DUMMYFUNCTION("""COMPUTED_VALUE"""),"Unlock from 28F Hyakkoku and/or Hyakuda. One Mk-4 Reversal Tuber.")</f>
        <v>Unlock from 28F Hyakkoku and/or Hyakuda. One Mk-4 Reversal Tuber.</v>
      </c>
    </row>
    <row r="38">
      <c r="A38" s="17">
        <f>IFERROR(__xludf.DUMMYFUNCTION("""COMPUTED_VALUE"""),29.0)</f>
        <v>29</v>
      </c>
      <c r="B38" s="18">
        <f>IFERROR(__xludf.DUMMYFUNCTION("""COMPUTED_VALUE"""),2.0)</f>
        <v>2</v>
      </c>
      <c r="C38" s="19" t="str">
        <f>IFERROR(__xludf.DUMMYFUNCTION("""COMPUTED_VALUE"""),"Tatekawa")</f>
        <v>Tatekawa</v>
      </c>
      <c r="D38" s="18"/>
      <c r="E38" s="18"/>
      <c r="F38" s="18"/>
      <c r="G38" s="18"/>
      <c r="H38" s="18" t="str">
        <f>IFERROR(__xludf.DUMMYFUNCTION("""COMPUTED_VALUE"""),"Iron")</f>
        <v>Iron</v>
      </c>
      <c r="I38" s="18"/>
      <c r="J38" s="18"/>
      <c r="K38" s="18"/>
      <c r="L38" s="20" t="str">
        <f>IFERROR(__xludf.DUMMYFUNCTION("""COMPUTED_VALUE"""),"Clearing the trap room unlocks one of three gates on 22F Fukuiki.")</f>
        <v>Clearing the trap room unlocks one of three gates on 22F Fukuiki.</v>
      </c>
    </row>
    <row r="39">
      <c r="A39" s="17">
        <f>IFERROR(__xludf.DUMMYFUNCTION("""COMPUTED_VALUE"""),29.0)</f>
        <v>29</v>
      </c>
      <c r="B39" s="18">
        <f>IFERROR(__xludf.DUMMYFUNCTION("""COMPUTED_VALUE"""),2.0)</f>
        <v>2</v>
      </c>
      <c r="C39" s="19" t="str">
        <f>IFERROR(__xludf.DUMMYFUNCTION("""COMPUTED_VALUE"""),"Temae-Jima")</f>
        <v>Temae-Jima</v>
      </c>
      <c r="D39" s="18"/>
      <c r="E39" s="18">
        <f>IFERROR(__xludf.DUMMYFUNCTION("""COMPUTED_VALUE"""),6.0)</f>
        <v>6</v>
      </c>
      <c r="F39" s="18"/>
      <c r="G39" s="18"/>
      <c r="H39" s="18" t="str">
        <f>IFERROR(__xludf.DUMMYFUNCTION("""COMPUTED_VALUE"""),"Fiber")</f>
        <v>Fiber</v>
      </c>
      <c r="I39" s="18" t="str">
        <f>IFERROR(__xludf.DUMMYFUNCTION("""COMPUTED_VALUE"""),"G")</f>
        <v>G</v>
      </c>
      <c r="J39" s="18"/>
      <c r="K39" s="18"/>
      <c r="L39" s="20" t="str">
        <f>IFERROR(__xludf.DUMMYFUNCTION("""COMPUTED_VALUE"""),"Monday only. The Yotsuyama Bionics page here is the only one on a day-exclusive floor.")</f>
        <v>Monday only. The Yotsuyama Bionics page here is the only one on a day-exclusive floor.</v>
      </c>
    </row>
    <row r="40">
      <c r="A40" s="17">
        <f>IFERROR(__xludf.DUMMYFUNCTION("""COMPUTED_VALUE"""),28.0)</f>
        <v>28</v>
      </c>
      <c r="B40" s="18">
        <f>IFERROR(__xludf.DUMMYFUNCTION("""COMPUTED_VALUE"""),0.0)</f>
        <v>0</v>
      </c>
      <c r="C40" s="19" t="str">
        <f>IFERROR(__xludf.DUMMYFUNCTION("""COMPUTED_VALUE"""),"Hyakkoku")</f>
        <v>Hyakkoku</v>
      </c>
      <c r="D40" s="18"/>
      <c r="E40" s="18"/>
      <c r="F40" s="18"/>
      <c r="G40" s="18"/>
      <c r="H40" s="18" t="str">
        <f>IFERROR(__xludf.DUMMYFUNCTION("""COMPUTED_VALUE"""),"All")</f>
        <v>All</v>
      </c>
      <c r="I40" s="18"/>
      <c r="J40" s="18"/>
      <c r="K40" s="18" t="str">
        <f>IFERROR(__xludf.DUMMYFUNCTION("""COMPUTED_VALUE"""),"Black")</f>
        <v>Black</v>
      </c>
      <c r="L40" s="20" t="str">
        <f>IFERROR(__xludf.DUMMYFUNCTION("""COMPUTED_VALUE"""),"TRAP: Black or Green Metals. Four Mk-4 Scratch, one Mk-4 Hover, spear Screamer.")</f>
        <v>TRAP: Black or Green Metals. Four Mk-4 Scratch, one Mk-4 Hover, spear Screamer.</v>
      </c>
    </row>
    <row r="41">
      <c r="A41" s="17">
        <f>IFERROR(__xludf.DUMMYFUNCTION("""COMPUTED_VALUE"""),28.0)</f>
        <v>28</v>
      </c>
      <c r="B41" s="18">
        <f>IFERROR(__xludf.DUMMYFUNCTION("""COMPUTED_VALUE"""),0.0)</f>
        <v>0</v>
      </c>
      <c r="C41" s="19" t="str">
        <f>IFERROR(__xludf.DUMMYFUNCTION("""COMPUTED_VALUE"""),"Hyakuda")</f>
        <v>Hyakuda</v>
      </c>
      <c r="D41" s="18"/>
      <c r="E41" s="18"/>
      <c r="F41" s="18"/>
      <c r="G41" s="18" t="str">
        <f>IFERROR(__xludf.DUMMYFUNCTION("""COMPUTED_VALUE"""),"●")</f>
        <v>●</v>
      </c>
      <c r="H41" s="18" t="str">
        <f>IFERROR(__xludf.DUMMYFUNCTION("""COMPUTED_VALUE"""),"Fiber")</f>
        <v>Fiber</v>
      </c>
      <c r="I41" s="18"/>
      <c r="J41" s="18"/>
      <c r="K41" s="18" t="str">
        <f>IFERROR(__xludf.DUMMYFUNCTION("""COMPUTED_VALUE"""),"Black")</f>
        <v>Black</v>
      </c>
      <c r="L41" s="20" t="str">
        <f>IFERROR(__xludf.DUMMYFUNCTION("""COMPUTED_VALUE"""),"TRAP: Black or Green Metals. Five Screamers, one at a time.")</f>
        <v>TRAP: Black or Green Metals. Five Screamers, one at a time.</v>
      </c>
    </row>
    <row r="42">
      <c r="A42" s="17">
        <f>IFERROR(__xludf.DUMMYFUNCTION("""COMPUTED_VALUE"""),27.0)</f>
        <v>27</v>
      </c>
      <c r="B42" s="18">
        <f>IFERROR(__xludf.DUMMYFUNCTION("""COMPUTED_VALUE"""),0.0)</f>
        <v>0</v>
      </c>
      <c r="C42" s="19" t="str">
        <f>IFERROR(__xludf.DUMMYFUNCTION("""COMPUTED_VALUE"""),"Shinko-Bashi")</f>
        <v>Shinko-Bashi</v>
      </c>
      <c r="D42" s="18" t="str">
        <f>IFERROR(__xludf.DUMMYFUNCTION("""COMPUTED_VALUE"""),"M")</f>
        <v>M</v>
      </c>
      <c r="E42" s="18"/>
      <c r="F42" s="18">
        <f>IFERROR(__xludf.DUMMYFUNCTION("""COMPUTED_VALUE"""),3.4)</f>
        <v>3.4</v>
      </c>
      <c r="G42" s="18"/>
      <c r="H42" s="18" t="str">
        <f>IFERROR(__xludf.DUMMYFUNCTION("""COMPUTED_VALUE"""),"Fiber")</f>
        <v>Fiber</v>
      </c>
      <c r="I42" s="18"/>
      <c r="J42" s="18"/>
      <c r="K42" s="18"/>
      <c r="L42" s="20" t="str">
        <f>IFERROR(__xludf.DUMMYFUNCTION("""COMPUTED_VALUE"""),"Elevator is locked behind two gates until both 26F COEN and 26F JIN-DIE are defeated.")</f>
        <v>Elevator is locked behind two gates until both 26F COEN and 26F JIN-DIE are defeated.</v>
      </c>
    </row>
    <row r="43">
      <c r="A43" s="17">
        <f>IFERROR(__xludf.DUMMYFUNCTION("""COMPUTED_VALUE"""),27.0)</f>
        <v>27</v>
      </c>
      <c r="B43" s="18">
        <f>IFERROR(__xludf.DUMMYFUNCTION("""COMPUTED_VALUE"""),2.0)</f>
        <v>2</v>
      </c>
      <c r="C43" s="19" t="str">
        <f>IFERROR(__xludf.DUMMYFUNCTION("""COMPUTED_VALUE"""),"Rikka")</f>
        <v>Rikka</v>
      </c>
      <c r="D43" s="18"/>
      <c r="E43" s="18"/>
      <c r="F43" s="18"/>
      <c r="G43" s="18"/>
      <c r="H43" s="18" t="str">
        <f>IFERROR(__xludf.DUMMYFUNCTION("""COMPUTED_VALUE"""),"Fiber")</f>
        <v>Fiber</v>
      </c>
      <c r="I43" s="18"/>
      <c r="J43" s="18"/>
      <c r="K43" s="18"/>
      <c r="L43" s="20" t="str">
        <f>IFERROR(__xludf.DUMMYFUNCTION("""COMPUTED_VALUE"""),"Clearing the trap room unlocks one of three gates on F22 Fukuiki.")</f>
        <v>Clearing the trap room unlocks one of three gates on F22 Fukuiki.</v>
      </c>
    </row>
    <row r="44">
      <c r="A44" s="17">
        <f>IFERROR(__xludf.DUMMYFUNCTION("""COMPUTED_VALUE"""),27.0)</f>
        <v>27</v>
      </c>
      <c r="B44" s="18">
        <f>IFERROR(__xludf.DUMMYFUNCTION("""COMPUTED_VALUE"""),2.0)</f>
        <v>2</v>
      </c>
      <c r="C44" s="19" t="str">
        <f>IFERROR(__xludf.DUMMYFUNCTION("""COMPUTED_VALUE"""),"Shichi-Fugu")</f>
        <v>Shichi-Fugu</v>
      </c>
      <c r="D44" s="18"/>
      <c r="E44" s="18"/>
      <c r="F44" s="18"/>
      <c r="G44" s="18"/>
      <c r="H44" s="18" t="str">
        <f>IFERROR(__xludf.DUMMYFUNCTION("""COMPUTED_VALUE"""),"All")</f>
        <v>All</v>
      </c>
      <c r="I44" s="18"/>
      <c r="J44" s="18"/>
      <c r="K44" s="18"/>
      <c r="L44" s="20" t="str">
        <f>IFERROR(__xludf.DUMMYFUNCTION("""COMPUTED_VALUE"""),"Four Mk-3 Bullet Tubers.")</f>
        <v>Four Mk-3 Bullet Tubers.</v>
      </c>
    </row>
    <row r="45">
      <c r="A45" s="17">
        <f>IFERROR(__xludf.DUMMYFUNCTION("""COMPUTED_VALUE"""),26.0)</f>
        <v>26</v>
      </c>
      <c r="B45" s="18">
        <f>IFERROR(__xludf.DUMMYFUNCTION("""COMPUTED_VALUE"""),0.0)</f>
        <v>0</v>
      </c>
      <c r="C45" s="19" t="str">
        <f>IFERROR(__xludf.DUMMYFUNCTION("""COMPUTED_VALUE"""),"Oshimi")</f>
        <v>Oshimi</v>
      </c>
      <c r="D45" s="18"/>
      <c r="E45" s="18"/>
      <c r="F45" s="18"/>
      <c r="G45" s="18"/>
      <c r="H45" s="18" t="str">
        <f>IFERROR(__xludf.DUMMYFUNCTION("""COMPUTED_VALUE"""),"Copper")</f>
        <v>Copper</v>
      </c>
      <c r="I45" s="18"/>
      <c r="J45" s="18" t="str">
        <f>IFERROR(__xludf.DUMMYFUNCTION("""COMPUTED_VALUE"""),"DOD Black")</f>
        <v>DOD Black</v>
      </c>
      <c r="K45" s="18"/>
      <c r="L45" s="20" t="str">
        <f>IFERROR(__xludf.DUMMYFUNCTION("""COMPUTED_VALUE"""),"BOSS: COEN. Drops DOD ARMS Black Metal. Unlocks one of the gates to the 27F Elevator.")</f>
        <v>BOSS: COEN. Drops DOD ARMS Black Metal. Unlocks one of the gates to the 27F Elevator.</v>
      </c>
    </row>
    <row r="46">
      <c r="A46" s="17">
        <f>IFERROR(__xludf.DUMMYFUNCTION("""COMPUTED_VALUE"""),26.0)</f>
        <v>26</v>
      </c>
      <c r="B46" s="18">
        <f>IFERROR(__xludf.DUMMYFUNCTION("""COMPUTED_VALUE"""),0.0)</f>
        <v>0</v>
      </c>
      <c r="C46" s="19" t="str">
        <f>IFERROR(__xludf.DUMMYFUNCTION("""COMPUTED_VALUE"""),"Shimomeno")</f>
        <v>Shimomeno</v>
      </c>
      <c r="D46" s="18"/>
      <c r="E46" s="18"/>
      <c r="F46" s="18"/>
      <c r="G46" s="18"/>
      <c r="H46" s="18" t="str">
        <f>IFERROR(__xludf.DUMMYFUNCTION("""COMPUTED_VALUE"""),"Oil")</f>
        <v>Oil</v>
      </c>
      <c r="I46" s="18"/>
      <c r="J46" s="18" t="str">
        <f>IFERROR(__xludf.DUMMYFUNCTION("""COMPUTED_VALUE"""),"WE Black")</f>
        <v>WE Black</v>
      </c>
      <c r="K46" s="18"/>
      <c r="L46" s="20" t="str">
        <f>IFERROR(__xludf.DUMMYFUNCTION("""COMPUTED_VALUE"""),"BOSS: JIN-DIE. Drops War Ensemble Black Metal. Unlocks one of the gates to the 27F Elevator.")</f>
        <v>BOSS: JIN-DIE. Drops War Ensemble Black Metal. Unlocks one of the gates to the 27F Elevator.</v>
      </c>
    </row>
    <row r="47">
      <c r="A47" s="17">
        <f>IFERROR(__xludf.DUMMYFUNCTION("""COMPUTED_VALUE"""),25.0)</f>
        <v>25</v>
      </c>
      <c r="B47" s="18">
        <f>IFERROR(__xludf.DUMMYFUNCTION("""COMPUTED_VALUE"""),0.0)</f>
        <v>0</v>
      </c>
      <c r="C47" s="19" t="str">
        <f>IFERROR(__xludf.DUMMYFUNCTION("""COMPUTED_VALUE"""),"Kanie")</f>
        <v>Kanie</v>
      </c>
      <c r="D47" s="18" t="str">
        <f>IFERROR(__xludf.DUMMYFUNCTION("""COMPUTED_VALUE"""),"M")</f>
        <v>M</v>
      </c>
      <c r="E47" s="18"/>
      <c r="F47" s="18">
        <f>IFERROR(__xludf.DUMMYFUNCTION("""COMPUTED_VALUE"""),3.3)</f>
        <v>3.3</v>
      </c>
      <c r="G47" s="18"/>
      <c r="H47" s="18" t="str">
        <f>IFERROR(__xludf.DUMMYFUNCTION("""COMPUTED_VALUE"""),"All")</f>
        <v>All</v>
      </c>
      <c r="I47" s="18"/>
      <c r="J47" s="18"/>
      <c r="K47" s="18"/>
      <c r="L47" s="20"/>
    </row>
    <row r="48">
      <c r="A48" s="17">
        <f>IFERROR(__xludf.DUMMYFUNCTION("""COMPUTED_VALUE"""),25.0)</f>
        <v>25</v>
      </c>
      <c r="B48" s="18">
        <f>IFERROR(__xludf.DUMMYFUNCTION("""COMPUTED_VALUE"""),2.0)</f>
        <v>2</v>
      </c>
      <c r="C48" s="19" t="str">
        <f>IFERROR(__xludf.DUMMYFUNCTION("""COMPUTED_VALUE"""),"Furu-Iwaba")</f>
        <v>Furu-Iwaba</v>
      </c>
      <c r="D48" s="18"/>
      <c r="E48" s="18"/>
      <c r="F48" s="18"/>
      <c r="G48" s="18"/>
      <c r="H48" s="18" t="str">
        <f>IFERROR(__xludf.DUMMYFUNCTION("""COMPUTED_VALUE"""),"Copper")</f>
        <v>Copper</v>
      </c>
      <c r="I48" s="18"/>
      <c r="J48" s="18"/>
      <c r="K48" s="18"/>
      <c r="L48" s="20" t="str">
        <f>IFERROR(__xludf.DUMMYFUNCTION("""COMPUTED_VALUE"""),"Clearing the trap room unlocks one of three gates on 22F Fukuiki.")</f>
        <v>Clearing the trap room unlocks one of three gates on 22F Fukuiki.</v>
      </c>
    </row>
    <row r="49">
      <c r="A49" s="17">
        <f>IFERROR(__xludf.DUMMYFUNCTION("""COMPUTED_VALUE"""),25.0)</f>
        <v>25</v>
      </c>
      <c r="B49" s="18">
        <f>IFERROR(__xludf.DUMMYFUNCTION("""COMPUTED_VALUE"""),2.0)</f>
        <v>2</v>
      </c>
      <c r="C49" s="19" t="str">
        <f>IFERROR(__xludf.DUMMYFUNCTION("""COMPUTED_VALUE"""),"Tsubaki")</f>
        <v>Tsubaki</v>
      </c>
      <c r="D49" s="18"/>
      <c r="E49" s="18"/>
      <c r="F49" s="18"/>
      <c r="G49" s="18" t="str">
        <f>IFERROR(__xludf.DUMMYFUNCTION("""COMPUTED_VALUE"""),"●")</f>
        <v>●</v>
      </c>
      <c r="H49" s="18" t="str">
        <f>IFERROR(__xludf.DUMMYFUNCTION("""COMPUTED_VALUE"""),"Fiber")</f>
        <v>Fiber</v>
      </c>
      <c r="I49" s="18"/>
      <c r="J49" s="18"/>
      <c r="K49" s="18"/>
      <c r="L49" s="20" t="str">
        <f>IFERROR(__xludf.DUMMYFUNCTION("""COMPUTED_VALUE"""),"Up to three Golden Turtles.")</f>
        <v>Up to three Golden Turtles.</v>
      </c>
    </row>
    <row r="50">
      <c r="A50" s="17">
        <f>IFERROR(__xludf.DUMMYFUNCTION("""COMPUTED_VALUE"""),24.0)</f>
        <v>24</v>
      </c>
      <c r="B50" s="18">
        <f>IFERROR(__xludf.DUMMYFUNCTION("""COMPUTED_VALUE"""),0.0)</f>
        <v>0</v>
      </c>
      <c r="C50" s="19" t="str">
        <f>IFERROR(__xludf.DUMMYFUNCTION("""COMPUTED_VALUE"""),"Moriba")</f>
        <v>Moriba</v>
      </c>
      <c r="D50" s="18"/>
      <c r="E50" s="18"/>
      <c r="F50" s="18"/>
      <c r="G50" s="18"/>
      <c r="H50" s="18" t="str">
        <f>IFERROR(__xludf.DUMMYFUNCTION("""COMPUTED_VALUE"""),"×")</f>
        <v>×</v>
      </c>
      <c r="I50" s="18" t="str">
        <f>IFERROR(__xludf.DUMMYFUNCTION("""COMPUTED_VALUE"""),"G")</f>
        <v>G</v>
      </c>
      <c r="J50" s="18"/>
      <c r="K50" s="18"/>
      <c r="L50" s="20" t="str">
        <f>IFERROR(__xludf.DUMMYFUNCTION("""COMPUTED_VALUE"""),"Gyakufunsha can appear. Small area with a single Hater - good for farming CHARGERS.")</f>
        <v>Gyakufunsha can appear. Small area with a single Hater - good for farming CHARGERS.</v>
      </c>
    </row>
    <row r="51">
      <c r="A51" s="17">
        <f>IFERROR(__xludf.DUMMYFUNCTION("""COMPUTED_VALUE"""),24.0)</f>
        <v>24</v>
      </c>
      <c r="B51" s="18">
        <f>IFERROR(__xludf.DUMMYFUNCTION("""COMPUTED_VALUE"""),0.0)</f>
        <v>0</v>
      </c>
      <c r="C51" s="19" t="str">
        <f>IFERROR(__xludf.DUMMYFUNCTION("""COMPUTED_VALUE"""),"Sumikiyo")</f>
        <v>Sumikiyo</v>
      </c>
      <c r="D51" s="18"/>
      <c r="E51" s="18"/>
      <c r="F51" s="18">
        <f>IFERROR(__xludf.DUMMYFUNCTION("""COMPUTED_VALUE"""),3.2)</f>
        <v>3.2</v>
      </c>
      <c r="G51" s="18"/>
      <c r="H51" s="18" t="str">
        <f>IFERROR(__xludf.DUMMYFUNCTION("""COMPUTED_VALUE"""),"Iron")</f>
        <v>Iron</v>
      </c>
      <c r="I51" s="18"/>
      <c r="J51" s="18"/>
      <c r="K51" s="18"/>
      <c r="L51" s="20" t="str">
        <f>IFERROR(__xludf.DUMMYFUNCTION("""COMPUTED_VALUE"""),"Unlock from 23F Echizen-Jima.")</f>
        <v>Unlock from 23F Echizen-Jima.</v>
      </c>
    </row>
    <row r="52">
      <c r="A52" s="17">
        <f>IFERROR(__xludf.DUMMYFUNCTION("""COMPUTED_VALUE"""),24.0)</f>
        <v>24</v>
      </c>
      <c r="B52" s="18">
        <f>IFERROR(__xludf.DUMMYFUNCTION("""COMPUTED_VALUE"""),0.0)</f>
        <v>0</v>
      </c>
      <c r="C52" s="19" t="str">
        <f>IFERROR(__xludf.DUMMYFUNCTION("""COMPUTED_VALUE"""),"Agasu")</f>
        <v>Agasu</v>
      </c>
      <c r="D52" s="18"/>
      <c r="E52" s="18"/>
      <c r="F52" s="18"/>
      <c r="G52" s="18" t="str">
        <f>IFERROR(__xludf.DUMMYFUNCTION("""COMPUTED_VALUE"""),"●")</f>
        <v>●</v>
      </c>
      <c r="H52" s="18" t="str">
        <f>IFERROR(__xludf.DUMMYFUNCTION("""COMPUTED_VALUE"""),"Wood")</f>
        <v>Wood</v>
      </c>
      <c r="I52" s="18"/>
      <c r="J52" s="18"/>
      <c r="K52" s="18"/>
      <c r="L52" s="20" t="str">
        <f>IFERROR(__xludf.DUMMYFUNCTION("""COMPUTED_VALUE"""),"Unlock from 23F Echizen-Jima.")</f>
        <v>Unlock from 23F Echizen-Jima.</v>
      </c>
    </row>
    <row r="53" ht="1.5" customHeight="1">
      <c r="A53" s="17">
        <f>IFERROR(__xludf.DUMMYFUNCTION("""COMPUTED_VALUE"""),23.0)</f>
        <v>23</v>
      </c>
      <c r="B53" s="18">
        <f>IFERROR(__xludf.DUMMYFUNCTION("""COMPUTED_VALUE"""),0.0)</f>
        <v>0</v>
      </c>
      <c r="C53" s="19" t="str">
        <f>IFERROR(__xludf.DUMMYFUNCTION("""COMPUTED_VALUE"""),"Echizen-Jima")</f>
        <v>Echizen-Jima</v>
      </c>
      <c r="D53" s="18" t="str">
        <f>IFERROR(__xludf.DUMMYFUNCTION("""COMPUTED_VALUE"""),"M")</f>
        <v>M</v>
      </c>
      <c r="E53" s="18"/>
      <c r="F53" s="18"/>
      <c r="G53" s="18"/>
      <c r="H53" s="18" t="str">
        <f>IFERROR(__xludf.DUMMYFUNCTION("""COMPUTED_VALUE"""),"Fiber")</f>
        <v>Fiber</v>
      </c>
      <c r="I53" s="18"/>
      <c r="J53" s="18" t="str">
        <f>IFERROR(__xludf.DUMMYFUNCTION("""COMPUTED_VALUE"""),"CW Black")</f>
        <v>CW Black</v>
      </c>
      <c r="K53" s="18"/>
      <c r="L53" s="20" t="str">
        <f>IFERROR(__xludf.DUMMYFUNCTION("""COMPUTED_VALUE"""),"BOSS: GOTO-9. Drops Candle Wolf Black Metals.")</f>
        <v>BOSS: GOTO-9. Drops Candle Wolf Black Metals.</v>
      </c>
    </row>
    <row r="54" ht="1.5" customHeight="1">
      <c r="A54" s="17">
        <f>IFERROR(__xludf.DUMMYFUNCTION("""COMPUTED_VALUE"""),23.0)</f>
        <v>23</v>
      </c>
      <c r="B54" s="18">
        <f>IFERROR(__xludf.DUMMYFUNCTION("""COMPUTED_VALUE"""),0.0)</f>
        <v>0</v>
      </c>
      <c r="C54" s="19" t="str">
        <f>IFERROR(__xludf.DUMMYFUNCTION("""COMPUTED_VALUE"""),"Honkawa")</f>
        <v>Honkawa</v>
      </c>
      <c r="D54" s="18"/>
      <c r="E54" s="18">
        <f>IFERROR(__xludf.DUMMYFUNCTION("""COMPUTED_VALUE"""),5.0)</f>
        <v>5</v>
      </c>
      <c r="F54" s="18"/>
      <c r="G54" s="18"/>
      <c r="H54" s="18" t="str">
        <f>IFERROR(__xludf.DUMMYFUNCTION("""COMPUTED_VALUE"""),"Aluminum")</f>
        <v>Aluminum</v>
      </c>
      <c r="I54" s="18"/>
      <c r="J54" s="18"/>
      <c r="K54" s="18"/>
      <c r="L54" s="20" t="str">
        <f>IFERROR(__xludf.DUMMYFUNCTION("""COMPUTED_VALUE"""),"Chance for a Golden Scorpion.")</f>
        <v>Chance for a Golden Scorpion.</v>
      </c>
    </row>
    <row r="55" ht="1.5" customHeight="1">
      <c r="A55" s="17">
        <f>IFERROR(__xludf.DUMMYFUNCTION("""COMPUTED_VALUE"""),22.0)</f>
        <v>22</v>
      </c>
      <c r="B55" s="18">
        <f>IFERROR(__xludf.DUMMYFUNCTION("""COMPUTED_VALUE"""),0.0)</f>
        <v>0</v>
      </c>
      <c r="C55" s="19" t="str">
        <f>IFERROR(__xludf.DUMMYFUNCTION("""COMPUTED_VALUE"""),"Kawabe")</f>
        <v>Kawabe</v>
      </c>
      <c r="D55" s="18"/>
      <c r="E55" s="18"/>
      <c r="F55" s="18">
        <f>IFERROR(__xludf.DUMMYFUNCTION("""COMPUTED_VALUE"""),3.1)</f>
        <v>3.1</v>
      </c>
      <c r="G55" s="18" t="str">
        <f>IFERROR(__xludf.DUMMYFUNCTION("""COMPUTED_VALUE"""),"●")</f>
        <v>●</v>
      </c>
      <c r="H55" s="18" t="str">
        <f>IFERROR(__xludf.DUMMYFUNCTION("""COMPUTED_VALUE"""),"All")</f>
        <v>All</v>
      </c>
      <c r="I55" s="18"/>
      <c r="J55" s="18"/>
      <c r="K55" s="18" t="str">
        <f>IFERROR(__xludf.DUMMYFUNCTION("""COMPUTED_VALUE"""),"Black")</f>
        <v>Black</v>
      </c>
      <c r="L55" s="20" t="str">
        <f>IFERROR(__xludf.DUMMYFUNCTION("""COMPUTED_VALUE"""),"TRAP: Black or Green Metals. Two Mk-3 Bone, one axe Screamer.")</f>
        <v>TRAP: Black or Green Metals. Two Mk-3 Bone, one axe Screamer.</v>
      </c>
    </row>
    <row r="56" ht="1.5" customHeight="1">
      <c r="A56" s="17">
        <f>IFERROR(__xludf.DUMMYFUNCTION("""COMPUTED_VALUE"""),22.0)</f>
        <v>22</v>
      </c>
      <c r="B56" s="18">
        <f>IFERROR(__xludf.DUMMYFUNCTION("""COMPUTED_VALUE"""),2.0)</f>
        <v>2</v>
      </c>
      <c r="C56" s="19" t="str">
        <f>IFERROR(__xludf.DUMMYFUNCTION("""COMPUTED_VALUE"""),"Fukuiki")</f>
        <v>Fukuiki</v>
      </c>
      <c r="D56" s="18"/>
      <c r="E56" s="18"/>
      <c r="F56" s="18"/>
      <c r="G56" s="18"/>
      <c r="H56" s="18" t="str">
        <f>IFERROR(__xludf.DUMMYFUNCTION("""COMPUTED_VALUE"""),"×")</f>
        <v>×</v>
      </c>
      <c r="I56" s="18"/>
      <c r="J56" s="18"/>
      <c r="K56" s="18"/>
      <c r="L56" s="20" t="str">
        <f>IFERROR(__xludf.DUMMYFUNCTION("""COMPUTED_VALUE"""),"Single Hater. Clearing trap rooms on connected floors 25, 27 &amp; 29 unlocks gates.")</f>
        <v>Single Hater. Clearing trap rooms on connected floors 25, 27 &amp; 29 unlocks gates.</v>
      </c>
    </row>
    <row r="57">
      <c r="A57" s="17">
        <f>IFERROR(__xludf.DUMMYFUNCTION("""COMPUTED_VALUE"""),21.0)</f>
        <v>21</v>
      </c>
      <c r="B57" s="18">
        <f>IFERROR(__xludf.DUMMYFUNCTION("""COMPUTED_VALUE"""),0.0)</f>
        <v>0</v>
      </c>
      <c r="C57" s="19" t="str">
        <f>IFERROR(__xludf.DUMMYFUNCTION("""COMPUTED_VALUE"""),"Akami")</f>
        <v>Akami</v>
      </c>
      <c r="D57" s="18" t="str">
        <f>IFERROR(__xludf.DUMMYFUNCTION("""COMPUTED_VALUE"""),"M")</f>
        <v>M</v>
      </c>
      <c r="E57" s="18"/>
      <c r="F57" s="18"/>
      <c r="G57" s="18" t="str">
        <f>IFERROR(__xludf.DUMMYFUNCTION("""COMPUTED_VALUE"""),"●")</f>
        <v>●</v>
      </c>
      <c r="H57" s="18" t="str">
        <f>IFERROR(__xludf.DUMMYFUNCTION("""COMPUTED_VALUE"""),"All")</f>
        <v>All</v>
      </c>
      <c r="I57" s="18"/>
      <c r="J57" s="18"/>
      <c r="K57" s="18"/>
      <c r="L57" s="20"/>
    </row>
    <row r="58">
      <c r="A58" s="17">
        <f>IFERROR(__xludf.DUMMYFUNCTION("""COMPUTED_VALUE"""),21.0)</f>
        <v>21</v>
      </c>
      <c r="B58" s="18">
        <f>IFERROR(__xludf.DUMMYFUNCTION("""COMPUTED_VALUE"""),0.0)</f>
        <v>0</v>
      </c>
      <c r="C58" s="19" t="str">
        <f>IFERROR(__xludf.DUMMYFUNCTION("""COMPUTED_VALUE"""),"Arigure")</f>
        <v>Arigure</v>
      </c>
      <c r="D58" s="18"/>
      <c r="E58" s="18"/>
      <c r="F58" s="18"/>
      <c r="G58" s="18"/>
      <c r="H58" s="18" t="str">
        <f>IFERROR(__xludf.DUMMYFUNCTION("""COMPUTED_VALUE"""),"All")</f>
        <v>All</v>
      </c>
      <c r="I58" s="18"/>
      <c r="J58" s="18"/>
      <c r="K58" s="18"/>
      <c r="L58" s="20"/>
    </row>
    <row r="59">
      <c r="A59" s="17">
        <f>IFERROR(__xludf.DUMMYFUNCTION("""COMPUTED_VALUE"""),20.0)</f>
        <v>20</v>
      </c>
      <c r="B59" s="18">
        <f>IFERROR(__xludf.DUMMYFUNCTION("""COMPUTED_VALUE"""),0.0)</f>
        <v>0</v>
      </c>
      <c r="C59" s="19" t="str">
        <f>IFERROR(__xludf.DUMMYFUNCTION("""COMPUTED_VALUE"""),"Nora")</f>
        <v>Nora</v>
      </c>
      <c r="D59" s="18"/>
      <c r="E59" s="18"/>
      <c r="F59" s="18"/>
      <c r="G59" s="18"/>
      <c r="H59" s="18" t="str">
        <f>IFERROR(__xludf.DUMMYFUNCTION("""COMPUTED_VALUE"""),"Copper")</f>
        <v>Copper</v>
      </c>
      <c r="I59" s="18"/>
      <c r="J59" s="18"/>
      <c r="K59" s="18"/>
      <c r="L59" s="20"/>
    </row>
    <row r="60">
      <c r="A60" s="17">
        <f>IFERROR(__xludf.DUMMYFUNCTION("""COMPUTED_VALUE"""),20.0)</f>
        <v>20</v>
      </c>
      <c r="B60" s="18">
        <f>IFERROR(__xludf.DUMMYFUNCTION("""COMPUTED_VALUE"""),0.0)</f>
        <v>0</v>
      </c>
      <c r="C60" s="19" t="str">
        <f>IFERROR(__xludf.DUMMYFUNCTION("""COMPUTED_VALUE"""),"Monegi")</f>
        <v>Monegi</v>
      </c>
      <c r="D60" s="18"/>
      <c r="E60" s="18"/>
      <c r="F60" s="18"/>
      <c r="G60" s="18"/>
      <c r="H60" s="18" t="str">
        <f>IFERROR(__xludf.DUMMYFUNCTION("""COMPUTED_VALUE"""),"All")</f>
        <v>All</v>
      </c>
      <c r="I60" s="18"/>
      <c r="J60" s="18"/>
      <c r="K60" s="18"/>
      <c r="L60" s="20"/>
    </row>
    <row r="61">
      <c r="A61" s="17">
        <f>IFERROR(__xludf.DUMMYFUNCTION("""COMPUTED_VALUE"""),20.0)</f>
        <v>20</v>
      </c>
      <c r="B61" s="18">
        <f>IFERROR(__xludf.DUMMYFUNCTION("""COMPUTED_VALUE"""),0.0)</f>
        <v>0</v>
      </c>
      <c r="C61" s="19" t="str">
        <f>IFERROR(__xludf.DUMMYFUNCTION("""COMPUTED_VALUE"""),"Hachiyanma")</f>
        <v>Hachiyanma</v>
      </c>
      <c r="D61" s="18" t="str">
        <f>IFERROR(__xludf.DUMMYFUNCTION("""COMPUTED_VALUE"""),"M")</f>
        <v>M</v>
      </c>
      <c r="E61" s="18"/>
      <c r="F61" s="18"/>
      <c r="G61" s="18" t="str">
        <f>IFERROR(__xludf.DUMMYFUNCTION("""COMPUTED_VALUE"""),"●")</f>
        <v>●</v>
      </c>
      <c r="H61" s="18" t="str">
        <f>IFERROR(__xludf.DUMMYFUNCTION("""COMPUTED_VALUE"""),"×")</f>
        <v>×</v>
      </c>
      <c r="I61" s="18"/>
      <c r="J61" s="18" t="str">
        <f>IFERROR(__xludf.DUMMYFUNCTION("""COMPUTED_VALUE"""),"WE Green")</f>
        <v>WE Green</v>
      </c>
      <c r="K61" s="18"/>
      <c r="L61" s="20" t="str">
        <f>IFERROR(__xludf.DUMMYFUNCTION("""COMPUTED_VALUE"""),"BOSS: Colonel Jackson.")</f>
        <v>BOSS: Colonel Jackson.</v>
      </c>
    </row>
    <row r="62">
      <c r="A62" s="17">
        <f>IFERROR(__xludf.DUMMYFUNCTION("""COMPUTED_VALUE"""),19.0)</f>
        <v>19</v>
      </c>
      <c r="B62" s="18">
        <f>IFERROR(__xludf.DUMMYFUNCTION("""COMPUTED_VALUE"""),0.0)</f>
        <v>0</v>
      </c>
      <c r="C62" s="19" t="str">
        <f>IFERROR(__xludf.DUMMYFUNCTION("""COMPUTED_VALUE"""),"Daida")</f>
        <v>Daida</v>
      </c>
      <c r="D62" s="18" t="str">
        <f>IFERROR(__xludf.DUMMYFUNCTION("""COMPUTED_VALUE"""),"M")</f>
        <v>M</v>
      </c>
      <c r="E62" s="18"/>
      <c r="F62" s="18"/>
      <c r="G62" s="18"/>
      <c r="H62" s="18" t="str">
        <f>IFERROR(__xludf.DUMMYFUNCTION("""COMPUTED_VALUE"""),"All")</f>
        <v>All</v>
      </c>
      <c r="I62" s="18"/>
      <c r="J62" s="18"/>
      <c r="K62" s="18"/>
      <c r="L62" s="20" t="str">
        <f>IFERROR(__xludf.DUMMYFUNCTION("""COMPUTED_VALUE"""),"One Mk-2 Reversal Tuber.")</f>
        <v>One Mk-2 Reversal Tuber.</v>
      </c>
    </row>
    <row r="63">
      <c r="A63" s="17">
        <f>IFERROR(__xludf.DUMMYFUNCTION("""COMPUTED_VALUE"""),19.0)</f>
        <v>19</v>
      </c>
      <c r="B63" s="18">
        <f>IFERROR(__xludf.DUMMYFUNCTION("""COMPUTED_VALUE"""),2.0)</f>
        <v>2</v>
      </c>
      <c r="C63" s="19" t="str">
        <f>IFERROR(__xludf.DUMMYFUNCTION("""COMPUTED_VALUE"""),"Chitose-Mei")</f>
        <v>Chitose-Mei</v>
      </c>
      <c r="D63" s="18"/>
      <c r="E63" s="18"/>
      <c r="F63" s="18">
        <f>IFERROR(__xludf.DUMMYFUNCTION("""COMPUTED_VALUE"""),2.6)</f>
        <v>2.6</v>
      </c>
      <c r="G63" s="18"/>
      <c r="H63" s="18" t="str">
        <f>IFERROR(__xludf.DUMMYFUNCTION("""COMPUTED_VALUE"""),"Aluminum")</f>
        <v>Aluminum</v>
      </c>
      <c r="I63" s="18"/>
      <c r="J63" s="18"/>
      <c r="K63" s="18" t="str">
        <f>IFERROR(__xludf.DUMMYFUNCTION("""COMPUTED_VALUE"""),"Green")</f>
        <v>Green</v>
      </c>
      <c r="L63" s="20" t="str">
        <f>IFERROR(__xludf.DUMMYFUNCTION("""COMPUTED_VALUE"""),"TRAP: Green or Blue Metals. 5 Screamers. Not active on Thursdays.")</f>
        <v>TRAP: Green or Blue Metals. 5 Screamers. Not active on Thursdays.</v>
      </c>
    </row>
    <row r="64">
      <c r="A64" s="17">
        <f>IFERROR(__xludf.DUMMYFUNCTION("""COMPUTED_VALUE"""),19.0)</f>
        <v>19</v>
      </c>
      <c r="B64" s="18">
        <f>IFERROR(__xludf.DUMMYFUNCTION("""COMPUTED_VALUE"""),2.0)</f>
        <v>2</v>
      </c>
      <c r="C64" s="19" t="str">
        <f>IFERROR(__xludf.DUMMYFUNCTION("""COMPUTED_VALUE"""),"Mekamachi")</f>
        <v>Mekamachi</v>
      </c>
      <c r="D64" s="18"/>
      <c r="E64" s="18"/>
      <c r="F64" s="18"/>
      <c r="G64" s="18"/>
      <c r="H64" s="18" t="str">
        <f>IFERROR(__xludf.DUMMYFUNCTION("""COMPUTED_VALUE"""),"All")</f>
        <v>All</v>
      </c>
      <c r="I64" s="18"/>
      <c r="J64" s="18"/>
      <c r="K64" s="18"/>
      <c r="L64" s="20"/>
    </row>
    <row r="65">
      <c r="A65" s="17">
        <f>IFERROR(__xludf.DUMMYFUNCTION("""COMPUTED_VALUE"""),18.0)</f>
        <v>18</v>
      </c>
      <c r="B65" s="18">
        <f>IFERROR(__xludf.DUMMYFUNCTION("""COMPUTED_VALUE"""),0.0)</f>
        <v>0</v>
      </c>
      <c r="C65" s="19" t="str">
        <f>IFERROR(__xludf.DUMMYFUNCTION("""COMPUTED_VALUE"""),"Temo-Uma")</f>
        <v>Temo-Uma</v>
      </c>
      <c r="D65" s="18"/>
      <c r="E65" s="18"/>
      <c r="F65" s="18">
        <f>IFERROR(__xludf.DUMMYFUNCTION("""COMPUTED_VALUE"""),2.5)</f>
        <v>2.5</v>
      </c>
      <c r="G65" s="18"/>
      <c r="H65" s="18" t="str">
        <f>IFERROR(__xludf.DUMMYFUNCTION("""COMPUTED_VALUE"""),"All")</f>
        <v>All</v>
      </c>
      <c r="I65" s="18"/>
      <c r="J65" s="18"/>
      <c r="K65" s="18" t="str">
        <f>IFERROR(__xludf.DUMMYFUNCTION("""COMPUTED_VALUE"""),"Green")</f>
        <v>Green</v>
      </c>
      <c r="L65" s="21" t="str">
        <f>IFERROR(__xludf.DUMMYFUNCTION("""COMPUTED_VALUE"""),"TRAP: Green or Blue Metals. Mk-3 Bullet, Bone Tuber, Screamer.")</f>
        <v>TRAP: Green or Blue Metals. Mk-3 Bullet, Bone Tuber, Screamer.</v>
      </c>
    </row>
    <row r="66">
      <c r="A66" s="17">
        <f>IFERROR(__xludf.DUMMYFUNCTION("""COMPUTED_VALUE"""),18.0)</f>
        <v>18</v>
      </c>
      <c r="B66" s="18">
        <f>IFERROR(__xludf.DUMMYFUNCTION("""COMPUTED_VALUE"""),0.0)</f>
        <v>0</v>
      </c>
      <c r="C66" s="19" t="str">
        <f>IFERROR(__xludf.DUMMYFUNCTION("""COMPUTED_VALUE"""),"Tata")</f>
        <v>Tata</v>
      </c>
      <c r="D66" s="18"/>
      <c r="E66" s="18"/>
      <c r="F66" s="18"/>
      <c r="G66" s="18"/>
      <c r="H66" s="18" t="str">
        <f>IFERROR(__xludf.DUMMYFUNCTION("""COMPUTED_VALUE"""),"All")</f>
        <v>All</v>
      </c>
      <c r="I66" s="18"/>
      <c r="J66" s="18"/>
      <c r="K66" s="18"/>
      <c r="L66" s="20"/>
    </row>
    <row r="67">
      <c r="A67" s="17">
        <f>IFERROR(__xludf.DUMMYFUNCTION("""COMPUTED_VALUE"""),18.0)</f>
        <v>18</v>
      </c>
      <c r="B67" s="18">
        <f>IFERROR(__xludf.DUMMYFUNCTION("""COMPUTED_VALUE"""),2.0)</f>
        <v>2</v>
      </c>
      <c r="C67" s="19" t="str">
        <f>IFERROR(__xludf.DUMMYFUNCTION("""COMPUTED_VALUE"""),"Bo-Tsutsumi")</f>
        <v>Bo-Tsutsumi</v>
      </c>
      <c r="D67" s="18"/>
      <c r="E67" s="18"/>
      <c r="F67" s="18"/>
      <c r="G67" s="18" t="str">
        <f>IFERROR(__xludf.DUMMYFUNCTION("""COMPUTED_VALUE"""),"●")</f>
        <v>●</v>
      </c>
      <c r="H67" s="18" t="str">
        <f>IFERROR(__xludf.DUMMYFUNCTION("""COMPUTED_VALUE"""),"Iron")</f>
        <v>Iron</v>
      </c>
      <c r="I67" s="18"/>
      <c r="J67" s="18"/>
      <c r="K67" s="18"/>
      <c r="L67" s="20" t="str">
        <f>IFERROR(__xludf.DUMMYFUNCTION("""COMPUTED_VALUE"""),"One Mk-2 Reversal Tuber.")</f>
        <v>One Mk-2 Reversal Tuber.</v>
      </c>
    </row>
    <row r="68">
      <c r="A68" s="17">
        <f>IFERROR(__xludf.DUMMYFUNCTION("""COMPUTED_VALUE"""),17.0)</f>
        <v>17</v>
      </c>
      <c r="B68" s="18">
        <f>IFERROR(__xludf.DUMMYFUNCTION("""COMPUTED_VALUE"""),0.0)</f>
        <v>0</v>
      </c>
      <c r="C68" s="19" t="str">
        <f>IFERROR(__xludf.DUMMYFUNCTION("""COMPUTED_VALUE"""),"Kinutamin")</f>
        <v>Kinutamin</v>
      </c>
      <c r="D68" s="18"/>
      <c r="E68" s="18"/>
      <c r="F68" s="18">
        <f>IFERROR(__xludf.DUMMYFUNCTION("""COMPUTED_VALUE"""),2.4)</f>
        <v>2.4</v>
      </c>
      <c r="G68" s="18" t="str">
        <f>IFERROR(__xludf.DUMMYFUNCTION("""COMPUTED_VALUE"""),"●")</f>
        <v>●</v>
      </c>
      <c r="H68" s="18" t="str">
        <f>IFERROR(__xludf.DUMMYFUNCTION("""COMPUTED_VALUE"""),"Oil")</f>
        <v>Oil</v>
      </c>
      <c r="I68" s="18"/>
      <c r="J68" s="18"/>
      <c r="K68" s="18"/>
      <c r="L68" s="20"/>
    </row>
    <row r="69">
      <c r="A69" s="17">
        <f>IFERROR(__xludf.DUMMYFUNCTION("""COMPUTED_VALUE"""),17.0)</f>
        <v>17</v>
      </c>
      <c r="B69" s="18">
        <f>IFERROR(__xludf.DUMMYFUNCTION("""COMPUTED_VALUE"""),2.0)</f>
        <v>2</v>
      </c>
      <c r="C69" s="19" t="str">
        <f>IFERROR(__xludf.DUMMYFUNCTION("""COMPUTED_VALUE"""),"Nutakoen")</f>
        <v>Nutakoen</v>
      </c>
      <c r="D69" s="18"/>
      <c r="E69" s="18"/>
      <c r="F69" s="18"/>
      <c r="G69" s="18"/>
      <c r="H69" s="18" t="str">
        <f>IFERROR(__xludf.DUMMYFUNCTION("""COMPUTED_VALUE"""),"×")</f>
        <v>×</v>
      </c>
      <c r="I69" s="18" t="str">
        <f>IFERROR(__xludf.DUMMYFUNCTION("""COMPUTED_VALUE"""),"G")</f>
        <v>G</v>
      </c>
      <c r="J69" s="18"/>
      <c r="K69" s="18"/>
      <c r="L69" s="20" t="str">
        <f>IFERROR(__xludf.DUMMYFUNCTION("""COMPUTED_VALUE"""),"Gyakufunsha can appear.")</f>
        <v>Gyakufunsha can appear.</v>
      </c>
    </row>
    <row r="70">
      <c r="A70" s="17">
        <f>IFERROR(__xludf.DUMMYFUNCTION("""COMPUTED_VALUE"""),17.0)</f>
        <v>17</v>
      </c>
      <c r="B70" s="18">
        <f>IFERROR(__xludf.DUMMYFUNCTION("""COMPUTED_VALUE"""),2.0)</f>
        <v>2</v>
      </c>
      <c r="C70" s="19" t="str">
        <f>IFERROR(__xludf.DUMMYFUNCTION("""COMPUTED_VALUE"""),"Hoshi-Josui")</f>
        <v>Hoshi-Josui</v>
      </c>
      <c r="D70" s="18"/>
      <c r="E70" s="18"/>
      <c r="F70" s="18"/>
      <c r="G70" s="18"/>
      <c r="H70" s="18" t="str">
        <f>IFERROR(__xludf.DUMMYFUNCTION("""COMPUTED_VALUE"""),"Oil")</f>
        <v>Oil</v>
      </c>
      <c r="I70" s="18"/>
      <c r="J70" s="18"/>
      <c r="K70" s="18"/>
      <c r="L70" s="20"/>
    </row>
    <row r="71">
      <c r="A71" s="17">
        <f>IFERROR(__xludf.DUMMYFUNCTION("""COMPUTED_VALUE"""),16.0)</f>
        <v>16</v>
      </c>
      <c r="B71" s="18">
        <f>IFERROR(__xludf.DUMMYFUNCTION("""COMPUTED_VALUE"""),0.0)</f>
        <v>0</v>
      </c>
      <c r="C71" s="19" t="str">
        <f>IFERROR(__xludf.DUMMYFUNCTION("""COMPUTED_VALUE"""),"Kaga")</f>
        <v>Kaga</v>
      </c>
      <c r="D71" s="18" t="str">
        <f>IFERROR(__xludf.DUMMYFUNCTION("""COMPUTED_VALUE"""),"M")</f>
        <v>M</v>
      </c>
      <c r="E71" s="18">
        <f>IFERROR(__xludf.DUMMYFUNCTION("""COMPUTED_VALUE"""),4.0)</f>
        <v>4</v>
      </c>
      <c r="F71" s="18"/>
      <c r="G71" s="18" t="str">
        <f>IFERROR(__xludf.DUMMYFUNCTION("""COMPUTED_VALUE"""),"●")</f>
        <v>●</v>
      </c>
      <c r="H71" s="18" t="str">
        <f>IFERROR(__xludf.DUMMYFUNCTION("""COMPUTED_VALUE"""),"Wood")</f>
        <v>Wood</v>
      </c>
      <c r="I71" s="18"/>
      <c r="J71" s="18" t="str">
        <f>IFERROR(__xludf.DUMMYFUNCTION("""COMPUTED_VALUE"""),"WE Green")</f>
        <v>WE Green</v>
      </c>
      <c r="K71" s="18"/>
      <c r="L71" s="20" t="str">
        <f>IFERROR(__xludf.DUMMYFUNCTION("""COMPUTED_VALUE"""),"BOSS: JIN-DIE. Drops War Ensemble Green Metal.")</f>
        <v>BOSS: JIN-DIE. Drops War Ensemble Green Metal.</v>
      </c>
    </row>
    <row r="72">
      <c r="A72" s="17">
        <f>IFERROR(__xludf.DUMMYFUNCTION("""COMPUTED_VALUE"""),16.0)</f>
        <v>16</v>
      </c>
      <c r="B72" s="18">
        <f>IFERROR(__xludf.DUMMYFUNCTION("""COMPUTED_VALUE"""),2.0)</f>
        <v>2</v>
      </c>
      <c r="C72" s="19" t="str">
        <f>IFERROR(__xludf.DUMMYFUNCTION("""COMPUTED_VALUE"""),"Kitamin")</f>
        <v>Kitamin</v>
      </c>
      <c r="D72" s="18"/>
      <c r="E72" s="18"/>
      <c r="F72" s="18"/>
      <c r="G72" s="18"/>
      <c r="H72" s="18" t="str">
        <f>IFERROR(__xludf.DUMMYFUNCTION("""COMPUTED_VALUE"""),"Wood")</f>
        <v>Wood</v>
      </c>
      <c r="I72" s="18"/>
      <c r="J72" s="18"/>
      <c r="K72" s="18"/>
      <c r="L72" s="20"/>
    </row>
    <row r="73">
      <c r="A73" s="17">
        <f>IFERROR(__xludf.DUMMYFUNCTION("""COMPUTED_VALUE"""),15.0)</f>
        <v>15</v>
      </c>
      <c r="B73" s="18">
        <f>IFERROR(__xludf.DUMMYFUNCTION("""COMPUTED_VALUE"""),0.0)</f>
        <v>0</v>
      </c>
      <c r="C73" s="19" t="str">
        <f>IFERROR(__xludf.DUMMYFUNCTION("""COMPUTED_VALUE"""),"Usogaya")</f>
        <v>Usogaya</v>
      </c>
      <c r="D73" s="18"/>
      <c r="E73" s="18"/>
      <c r="F73" s="18">
        <f>IFERROR(__xludf.DUMMYFUNCTION("""COMPUTED_VALUE"""),2.3)</f>
        <v>2.3</v>
      </c>
      <c r="G73" s="18" t="str">
        <f>IFERROR(__xludf.DUMMYFUNCTION("""COMPUTED_VALUE"""),"●")</f>
        <v>●</v>
      </c>
      <c r="H73" s="18" t="str">
        <f>IFERROR(__xludf.DUMMYFUNCTION("""COMPUTED_VALUE"""),"Iron")</f>
        <v>Iron</v>
      </c>
      <c r="I73" s="18"/>
      <c r="J73" s="18"/>
      <c r="K73" s="18"/>
      <c r="L73" s="20"/>
    </row>
    <row r="74">
      <c r="A74" s="17">
        <f>IFERROR(__xludf.DUMMYFUNCTION("""COMPUTED_VALUE"""),15.0)</f>
        <v>15</v>
      </c>
      <c r="B74" s="18">
        <f>IFERROR(__xludf.DUMMYFUNCTION("""COMPUTED_VALUE"""),0.0)</f>
        <v>0</v>
      </c>
      <c r="C74" s="19" t="str">
        <f>IFERROR(__xludf.DUMMYFUNCTION("""COMPUTED_VALUE"""),"Uge")</f>
        <v>Uge</v>
      </c>
      <c r="D74" s="18"/>
      <c r="E74" s="18"/>
      <c r="F74" s="18"/>
      <c r="G74" s="18"/>
      <c r="H74" s="18" t="str">
        <f>IFERROR(__xludf.DUMMYFUNCTION("""COMPUTED_VALUE"""),"Copper")</f>
        <v>Copper</v>
      </c>
      <c r="I74" s="18"/>
      <c r="J74" s="18"/>
      <c r="K74" s="18"/>
      <c r="L74" s="20"/>
    </row>
    <row r="75">
      <c r="A75" s="17">
        <f>IFERROR(__xludf.DUMMYFUNCTION("""COMPUTED_VALUE"""),14.0)</f>
        <v>14</v>
      </c>
      <c r="B75" s="18">
        <f>IFERROR(__xludf.DUMMYFUNCTION("""COMPUTED_VALUE"""),0.0)</f>
        <v>0</v>
      </c>
      <c r="C75" s="19" t="str">
        <f>IFERROR(__xludf.DUMMYFUNCTION("""COMPUTED_VALUE"""),"Yamadai")</f>
        <v>Yamadai</v>
      </c>
      <c r="D75" s="18"/>
      <c r="E75" s="18"/>
      <c r="F75" s="18">
        <f>IFERROR(__xludf.DUMMYFUNCTION("""COMPUTED_VALUE"""),2.2)</f>
        <v>2.2</v>
      </c>
      <c r="G75" s="18"/>
      <c r="H75" s="18" t="str">
        <f>IFERROR(__xludf.DUMMYFUNCTION("""COMPUTED_VALUE"""),"Fiber")</f>
        <v>Fiber</v>
      </c>
      <c r="I75" s="18"/>
      <c r="J75" s="18"/>
      <c r="K75" s="18"/>
      <c r="L75" s="20" t="str">
        <f>IFERROR(__xludf.DUMMYFUNCTION("""COMPUTED_VALUE"""),"Many Hemp spawns (about 3-6).")</f>
        <v>Many Hemp spawns (about 3-6).</v>
      </c>
    </row>
    <row r="76">
      <c r="A76" s="17">
        <f>IFERROR(__xludf.DUMMYFUNCTION("""COMPUTED_VALUE"""),14.0)</f>
        <v>14</v>
      </c>
      <c r="B76" s="18">
        <f>IFERROR(__xludf.DUMMYFUNCTION("""COMPUTED_VALUE"""),2.0)</f>
        <v>2</v>
      </c>
      <c r="C76" s="19" t="str">
        <f>IFERROR(__xludf.DUMMYFUNCTION("""COMPUTED_VALUE"""),"Koshi-Tagawa")</f>
        <v>Koshi-Tagawa</v>
      </c>
      <c r="D76" s="18"/>
      <c r="E76" s="18"/>
      <c r="F76" s="18"/>
      <c r="G76" s="18"/>
      <c r="H76" s="18" t="str">
        <f>IFERROR(__xludf.DUMMYFUNCTION("""COMPUTED_VALUE"""),"×")</f>
        <v>×</v>
      </c>
      <c r="I76" s="18" t="str">
        <f>IFERROR(__xludf.DUMMYFUNCTION("""COMPUTED_VALUE"""),"G")</f>
        <v>G</v>
      </c>
      <c r="J76" s="18"/>
      <c r="K76" s="18"/>
      <c r="L76" s="20" t="str">
        <f>IFERROR(__xludf.DUMMYFUNCTION("""COMPUTED_VALUE"""),"Gyakufunsha can appear. Floor is active every day, except Friday.")</f>
        <v>Gyakufunsha can appear. Floor is active every day, except Friday.</v>
      </c>
    </row>
    <row r="77">
      <c r="A77" s="17">
        <f>IFERROR(__xludf.DUMMYFUNCTION("""COMPUTED_VALUE"""),13.0)</f>
        <v>13</v>
      </c>
      <c r="B77" s="18">
        <f>IFERROR(__xludf.DUMMYFUNCTION("""COMPUTED_VALUE"""),0.0)</f>
        <v>0</v>
      </c>
      <c r="C77" s="19" t="str">
        <f>IFERROR(__xludf.DUMMYFUNCTION("""COMPUTED_VALUE"""),"Kamoto")</f>
        <v>Kamoto</v>
      </c>
      <c r="D77" s="18" t="str">
        <f>IFERROR(__xludf.DUMMYFUNCTION("""COMPUTED_VALUE"""),"M")</f>
        <v>M</v>
      </c>
      <c r="E77" s="18">
        <f>IFERROR(__xludf.DUMMYFUNCTION("""COMPUTED_VALUE"""),3.0)</f>
        <v>3</v>
      </c>
      <c r="F77" s="18"/>
      <c r="G77" s="18"/>
      <c r="H77" s="18" t="str">
        <f>IFERROR(__xludf.DUMMYFUNCTION("""COMPUTED_VALUE"""),"All")</f>
        <v>All</v>
      </c>
      <c r="I77" s="18"/>
      <c r="J77" s="18"/>
      <c r="K77" s="18"/>
      <c r="L77" s="20"/>
    </row>
    <row r="78" ht="1.5" customHeight="1">
      <c r="A78" s="17">
        <f>IFERROR(__xludf.DUMMYFUNCTION("""COMPUTED_VALUE"""),13.0)</f>
        <v>13</v>
      </c>
      <c r="B78" s="18">
        <f>IFERROR(__xludf.DUMMYFUNCTION("""COMPUTED_VALUE"""),0.0)</f>
        <v>0</v>
      </c>
      <c r="C78" s="19" t="str">
        <f>IFERROR(__xludf.DUMMYFUNCTION("""COMPUTED_VALUE"""),"Momohara")</f>
        <v>Momohara</v>
      </c>
      <c r="D78" s="18"/>
      <c r="E78" s="18"/>
      <c r="F78" s="18">
        <f>IFERROR(__xludf.DUMMYFUNCTION("""COMPUTED_VALUE"""),2.1)</f>
        <v>2.1</v>
      </c>
      <c r="G78" s="18"/>
      <c r="H78" s="18" t="str">
        <f>IFERROR(__xludf.DUMMYFUNCTION("""COMPUTED_VALUE"""),"All")</f>
        <v>All</v>
      </c>
      <c r="I78" s="18"/>
      <c r="J78" s="18"/>
      <c r="K78" s="18"/>
      <c r="L78" s="20"/>
    </row>
    <row r="79" ht="1.5" customHeight="1">
      <c r="A79" s="17">
        <f>IFERROR(__xludf.DUMMYFUNCTION("""COMPUTED_VALUE"""),12.0)</f>
        <v>12</v>
      </c>
      <c r="B79" s="18">
        <f>IFERROR(__xludf.DUMMYFUNCTION("""COMPUTED_VALUE"""),0.0)</f>
        <v>0</v>
      </c>
      <c r="C79" s="19" t="str">
        <f>IFERROR(__xludf.DUMMYFUNCTION("""COMPUTED_VALUE"""),"Ukongaoka")</f>
        <v>Ukongaoka</v>
      </c>
      <c r="D79" s="18" t="str">
        <f>IFERROR(__xludf.DUMMYFUNCTION("""COMPUTED_VALUE"""),"M")</f>
        <v>M</v>
      </c>
      <c r="E79" s="18"/>
      <c r="F79" s="18"/>
      <c r="G79" s="18" t="str">
        <f>IFERROR(__xludf.DUMMYFUNCTION("""COMPUTED_VALUE"""),"●")</f>
        <v>●</v>
      </c>
      <c r="H79" s="18" t="str">
        <f>IFERROR(__xludf.DUMMYFUNCTION("""COMPUTED_VALUE"""),"Fiber")</f>
        <v>Fiber</v>
      </c>
      <c r="I79" s="18"/>
      <c r="J79" s="18"/>
      <c r="K79" s="18"/>
      <c r="L79" s="20"/>
    </row>
    <row r="80" ht="1.5" customHeight="1">
      <c r="A80" s="17">
        <f>IFERROR(__xludf.DUMMYFUNCTION("""COMPUTED_VALUE"""),12.0)</f>
        <v>12</v>
      </c>
      <c r="B80" s="18">
        <f>IFERROR(__xludf.DUMMYFUNCTION("""COMPUTED_VALUE"""),0.0)</f>
        <v>0</v>
      </c>
      <c r="C80" s="19" t="str">
        <f>IFERROR(__xludf.DUMMYFUNCTION("""COMPUTED_VALUE"""),"Seyane")</f>
        <v>Seyane</v>
      </c>
      <c r="D80" s="18"/>
      <c r="E80" s="18"/>
      <c r="F80" s="18"/>
      <c r="G80" s="18"/>
      <c r="H80" s="18" t="str">
        <f>IFERROR(__xludf.DUMMYFUNCTION("""COMPUTED_VALUE"""),"All")</f>
        <v>All</v>
      </c>
      <c r="I80" s="18"/>
      <c r="J80" s="18"/>
      <c r="K80" s="18"/>
      <c r="L80" s="20" t="str">
        <f>IFERROR(__xludf.DUMMYFUNCTION("""COMPUTED_VALUE"""),"Unlock from 14F Yamadai.")</f>
        <v>Unlock from 14F Yamadai.</v>
      </c>
    </row>
    <row r="81" ht="1.5" customHeight="1">
      <c r="A81" s="17">
        <f>IFERROR(__xludf.DUMMYFUNCTION("""COMPUTED_VALUE"""),11.0)</f>
        <v>11</v>
      </c>
      <c r="B81" s="18">
        <f>IFERROR(__xludf.DUMMYFUNCTION("""COMPUTED_VALUE"""),0.0)</f>
        <v>0</v>
      </c>
      <c r="C81" s="19" t="str">
        <f>IFERROR(__xludf.DUMMYFUNCTION("""COMPUTED_VALUE"""),"Maka-Tsutsumi")</f>
        <v>Maka-Tsutsumi</v>
      </c>
      <c r="D81" s="18" t="str">
        <f>IFERROR(__xludf.DUMMYFUNCTION("""COMPUTED_VALUE"""),"M")</f>
        <v>M</v>
      </c>
      <c r="E81" s="18"/>
      <c r="F81" s="18"/>
      <c r="G81" s="18"/>
      <c r="H81" s="18" t="str">
        <f>IFERROR(__xludf.DUMMYFUNCTION("""COMPUTED_VALUE"""),"×")</f>
        <v>×</v>
      </c>
      <c r="I81" s="18"/>
      <c r="J81" s="18" t="str">
        <f>IFERROR(__xludf.DUMMYFUNCTION("""COMPUTED_VALUE"""),"CW Green")</f>
        <v>CW Green</v>
      </c>
      <c r="K81" s="18"/>
      <c r="L81" s="20" t="str">
        <f>IFERROR(__xludf.DUMMYFUNCTION("""COMPUTED_VALUE"""),"BOSS: GOTO-9. Drops Candle Wolf Green Metal.")</f>
        <v>BOSS: GOTO-9. Drops Candle Wolf Green Metal.</v>
      </c>
    </row>
    <row r="82" ht="1.5" customHeight="1">
      <c r="A82" s="17">
        <f>IFERROR(__xludf.DUMMYFUNCTION("""COMPUTED_VALUE"""),11.0)</f>
        <v>11</v>
      </c>
      <c r="B82" s="18">
        <f>IFERROR(__xludf.DUMMYFUNCTION("""COMPUTED_VALUE"""),2.0)</f>
        <v>2</v>
      </c>
      <c r="C82" s="19" t="str">
        <f>IFERROR(__xludf.DUMMYFUNCTION("""COMPUTED_VALUE"""),"Nokejiri")</f>
        <v>Nokejiri</v>
      </c>
      <c r="D82" s="18"/>
      <c r="E82" s="18"/>
      <c r="F82" s="18"/>
      <c r="G82" s="18" t="str">
        <f>IFERROR(__xludf.DUMMYFUNCTION("""COMPUTED_VALUE"""),"●")</f>
        <v>●</v>
      </c>
      <c r="H82" s="18" t="str">
        <f>IFERROR(__xludf.DUMMYFUNCTION("""COMPUTED_VALUE"""),"All")</f>
        <v>All</v>
      </c>
      <c r="I82" s="18"/>
      <c r="J82" s="18"/>
      <c r="K82" s="18" t="str">
        <f>IFERROR(__xludf.DUMMYFUNCTION("""COMPUTED_VALUE"""),"Green")</f>
        <v>Green</v>
      </c>
      <c r="L82" s="20" t="str">
        <f>IFERROR(__xludf.DUMMYFUNCTION("""COMPUTED_VALUE"""),"TRAP: Green or Blue Metals. Not active on Tue/Wed/Sat/Sun. 2 Bone Tubers, 1 Screamer.")</f>
        <v>TRAP: Green or Blue Metals. Not active on Tue/Wed/Sat/Sun. 2 Bone Tubers, 1 Screamer.</v>
      </c>
    </row>
    <row r="83">
      <c r="A83" s="17">
        <f>IFERROR(__xludf.DUMMYFUNCTION("""COMPUTED_VALUE"""),10.0)</f>
        <v>10</v>
      </c>
      <c r="B83" s="18">
        <f>IFERROR(__xludf.DUMMYFUNCTION("""COMPUTED_VALUE"""),0.0)</f>
        <v>0</v>
      </c>
      <c r="C83" s="19" t="str">
        <f>IFERROR(__xludf.DUMMYFUNCTION("""COMPUTED_VALUE"""),"Shimo-Omeno")</f>
        <v>Shimo-Omeno</v>
      </c>
      <c r="D83" s="18"/>
      <c r="E83" s="18"/>
      <c r="F83" s="18"/>
      <c r="G83" s="18"/>
      <c r="H83" s="18" t="str">
        <f>IFERROR(__xludf.DUMMYFUNCTION("""COMPUTED_VALUE"""),"Fiber")</f>
        <v>Fiber</v>
      </c>
      <c r="I83" s="18"/>
      <c r="J83" s="18"/>
      <c r="K83" s="18"/>
      <c r="L83" s="20"/>
    </row>
    <row r="84">
      <c r="A84" s="17">
        <f>IFERROR(__xludf.DUMMYFUNCTION("""COMPUTED_VALUE"""),10.0)</f>
        <v>10</v>
      </c>
      <c r="B84" s="18">
        <f>IFERROR(__xludf.DUMMYFUNCTION("""COMPUTED_VALUE"""),2.0)</f>
        <v>2</v>
      </c>
      <c r="C84" s="19" t="str">
        <f>IFERROR(__xludf.DUMMYFUNCTION("""COMPUTED_VALUE"""),"Omeno-Toichi")</f>
        <v>Omeno-Toichi</v>
      </c>
      <c r="D84" s="18"/>
      <c r="E84" s="18"/>
      <c r="F84" s="18"/>
      <c r="G84" s="18"/>
      <c r="H84" s="18" t="str">
        <f>IFERROR(__xludf.DUMMYFUNCTION("""COMPUTED_VALUE"""),"Wood")</f>
        <v>Wood</v>
      </c>
      <c r="I84" s="18"/>
      <c r="J84" s="18"/>
      <c r="K84" s="18"/>
      <c r="L84" s="20" t="str">
        <f>IFERROR(__xludf.DUMMYFUNCTION("""COMPUTED_VALUE"""),"Four Mk-2 Hover Tubers.")</f>
        <v>Four Mk-2 Hover Tubers.</v>
      </c>
    </row>
    <row r="85">
      <c r="A85" s="17">
        <f>IFERROR(__xludf.DUMMYFUNCTION("""COMPUTED_VALUE"""),10.0)</f>
        <v>10</v>
      </c>
      <c r="B85" s="18">
        <f>IFERROR(__xludf.DUMMYFUNCTION("""COMPUTED_VALUE"""),0.0)</f>
        <v>0</v>
      </c>
      <c r="C85" s="19" t="str">
        <f>IFERROR(__xludf.DUMMYFUNCTION("""COMPUTED_VALUE"""),"Omeno-Soto")</f>
        <v>Omeno-Soto</v>
      </c>
      <c r="D85" s="18" t="str">
        <f>IFERROR(__xludf.DUMMYFUNCTION("""COMPUTED_VALUE"""),"M")</f>
        <v>M</v>
      </c>
      <c r="E85" s="18"/>
      <c r="F85" s="18"/>
      <c r="G85" s="18" t="str">
        <f>IFERROR(__xludf.DUMMYFUNCTION("""COMPUTED_VALUE"""),"●")</f>
        <v>●</v>
      </c>
      <c r="H85" s="18" t="str">
        <f>IFERROR(__xludf.DUMMYFUNCTION("""COMPUTED_VALUE"""),"×")</f>
        <v>×</v>
      </c>
      <c r="I85" s="18"/>
      <c r="J85" s="18" t="str">
        <f>IFERROR(__xludf.DUMMYFUNCTION("""COMPUTED_VALUE"""),"DOD Blue")</f>
        <v>DOD Blue</v>
      </c>
      <c r="K85" s="18"/>
      <c r="L85" s="20" t="str">
        <f>IFERROR(__xludf.DUMMYFUNCTION("""COMPUTED_VALUE"""),"BOSS: Max Sharp.")</f>
        <v>BOSS: Max Sharp.</v>
      </c>
    </row>
    <row r="86">
      <c r="A86" s="17">
        <f>IFERROR(__xludf.DUMMYFUNCTION("""COMPUTED_VALUE"""),9.0)</f>
        <v>9</v>
      </c>
      <c r="B86" s="18">
        <f>IFERROR(__xludf.DUMMYFUNCTION("""COMPUTED_VALUE"""),0.0)</f>
        <v>0</v>
      </c>
      <c r="C86" s="19" t="str">
        <f>IFERROR(__xludf.DUMMYFUNCTION("""COMPUTED_VALUE"""),"Nashiyoguchi")</f>
        <v>Nashiyoguchi</v>
      </c>
      <c r="D86" s="18" t="str">
        <f>IFERROR(__xludf.DUMMYFUNCTION("""COMPUTED_VALUE"""),"M")</f>
        <v>M</v>
      </c>
      <c r="E86" s="18"/>
      <c r="F86" s="18"/>
      <c r="G86" s="18" t="str">
        <f>IFERROR(__xludf.DUMMYFUNCTION("""COMPUTED_VALUE"""),"●")</f>
        <v>●</v>
      </c>
      <c r="H86" s="18" t="str">
        <f>IFERROR(__xludf.DUMMYFUNCTION("""COMPUTED_VALUE"""),"Copper")</f>
        <v>Copper</v>
      </c>
      <c r="I86" s="18"/>
      <c r="J86" s="18"/>
      <c r="K86" s="18"/>
      <c r="L86" s="20"/>
    </row>
    <row r="87">
      <c r="A87" s="17">
        <f>IFERROR(__xludf.DUMMYFUNCTION("""COMPUTED_VALUE"""),9.0)</f>
        <v>9</v>
      </c>
      <c r="B87" s="18">
        <f>IFERROR(__xludf.DUMMYFUNCTION("""COMPUTED_VALUE"""),0.0)</f>
        <v>0</v>
      </c>
      <c r="C87" s="19" t="str">
        <f>IFERROR(__xludf.DUMMYFUNCTION("""COMPUTED_VALUE"""),"Yoneguchi")</f>
        <v>Yoneguchi</v>
      </c>
      <c r="D87" s="18"/>
      <c r="E87" s="18"/>
      <c r="F87" s="18"/>
      <c r="G87" s="18"/>
      <c r="H87" s="18" t="str">
        <f>IFERROR(__xludf.DUMMYFUNCTION("""COMPUTED_VALUE"""),"All")</f>
        <v>All</v>
      </c>
      <c r="I87" s="18" t="str">
        <f>IFERROR(__xludf.DUMMYFUNCTION("""COMPUTED_VALUE"""),"G")</f>
        <v>G</v>
      </c>
      <c r="J87" s="18"/>
      <c r="K87" s="18"/>
      <c r="L87" s="20" t="str">
        <f>IFERROR(__xludf.DUMMYFUNCTION("""COMPUTED_VALUE"""),"Gyakufunsha can appear.")</f>
        <v>Gyakufunsha can appear.</v>
      </c>
    </row>
    <row r="88">
      <c r="A88" s="17">
        <f>IFERROR(__xludf.DUMMYFUNCTION("""COMPUTED_VALUE"""),9.0)</f>
        <v>9</v>
      </c>
      <c r="B88" s="18">
        <f>IFERROR(__xludf.DUMMYFUNCTION("""COMPUTED_VALUE"""),0.0)</f>
        <v>0</v>
      </c>
      <c r="C88" s="19" t="str">
        <f>IFERROR(__xludf.DUMMYFUNCTION("""COMPUTED_VALUE"""),"Yoshiki-Dani")</f>
        <v>Yoshiki-Dani</v>
      </c>
      <c r="D88" s="18"/>
      <c r="E88" s="18"/>
      <c r="F88" s="18">
        <f>IFERROR(__xludf.DUMMYFUNCTION("""COMPUTED_VALUE"""),1.6)</f>
        <v>1.6</v>
      </c>
      <c r="G88" s="18"/>
      <c r="H88" s="18" t="str">
        <f>IFERROR(__xludf.DUMMYFUNCTION("""COMPUTED_VALUE"""),"Fiber")</f>
        <v>Fiber</v>
      </c>
      <c r="I88" s="18"/>
      <c r="J88" s="18"/>
      <c r="K88" s="18"/>
      <c r="L88" s="20" t="str">
        <f>IFERROR(__xludf.DUMMYFUNCTION("""COMPUTED_VALUE"""),"One Mk-1 Reversal Tuber.")</f>
        <v>One Mk-1 Reversal Tuber.</v>
      </c>
    </row>
    <row r="89">
      <c r="A89" s="17">
        <f>IFERROR(__xludf.DUMMYFUNCTION("""COMPUTED_VALUE"""),9.0)</f>
        <v>9</v>
      </c>
      <c r="B89" s="18">
        <f>IFERROR(__xludf.DUMMYFUNCTION("""COMPUTED_VALUE"""),2.0)</f>
        <v>2</v>
      </c>
      <c r="C89" s="19" t="str">
        <f>IFERROR(__xludf.DUMMYFUNCTION("""COMPUTED_VALUE"""),"Omeno-Kita")</f>
        <v>Omeno-Kita</v>
      </c>
      <c r="D89" s="18"/>
      <c r="E89" s="18"/>
      <c r="F89" s="18"/>
      <c r="G89" s="18"/>
      <c r="H89" s="18" t="str">
        <f>IFERROR(__xludf.DUMMYFUNCTION("""COMPUTED_VALUE"""),"Wood")</f>
        <v>Wood</v>
      </c>
      <c r="I89" s="18"/>
      <c r="J89" s="18"/>
      <c r="K89" s="18"/>
      <c r="L89" s="20"/>
    </row>
    <row r="90">
      <c r="A90" s="17">
        <f>IFERROR(__xludf.DUMMYFUNCTION("""COMPUTED_VALUE"""),8.0)</f>
        <v>8</v>
      </c>
      <c r="B90" s="18">
        <f>IFERROR(__xludf.DUMMYFUNCTION("""COMPUTED_VALUE"""),0.0)</f>
        <v>0</v>
      </c>
      <c r="C90" s="19" t="str">
        <f>IFERROR(__xludf.DUMMYFUNCTION("""COMPUTED_VALUE"""),"Niko-Senzoku")</f>
        <v>Niko-Senzoku</v>
      </c>
      <c r="D90" s="18" t="str">
        <f>IFERROR(__xludf.DUMMYFUNCTION("""COMPUTED_VALUE"""),"M")</f>
        <v>M</v>
      </c>
      <c r="E90" s="18"/>
      <c r="F90" s="18"/>
      <c r="G90" s="18"/>
      <c r="H90" s="18" t="str">
        <f>IFERROR(__xludf.DUMMYFUNCTION("""COMPUTED_VALUE"""),"Aluminum")</f>
        <v>Aluminum</v>
      </c>
      <c r="I90" s="18"/>
      <c r="J90" s="18"/>
      <c r="K90" s="18"/>
      <c r="L90" s="20" t="str">
        <f>IFERROR(__xludf.DUMMYFUNCTION("""COMPUTED_VALUE"""),"Unlock from 6F Mekaroku-Go. One Mk-1 Bullet Tuber.")</f>
        <v>Unlock from 6F Mekaroku-Go. One Mk-1 Bullet Tuber.</v>
      </c>
    </row>
    <row r="91">
      <c r="A91" s="17">
        <f>IFERROR(__xludf.DUMMYFUNCTION("""COMPUTED_VALUE"""),8.0)</f>
        <v>8</v>
      </c>
      <c r="B91" s="18">
        <f>IFERROR(__xludf.DUMMYFUNCTION("""COMPUTED_VALUE"""),0.0)</f>
        <v>0</v>
      </c>
      <c r="C91" s="19" t="str">
        <f>IFERROR(__xludf.DUMMYFUNCTION("""COMPUTED_VALUE"""),"Meta-Koya")</f>
        <v>Meta-Koya</v>
      </c>
      <c r="D91" s="18"/>
      <c r="E91" s="18"/>
      <c r="F91" s="22"/>
      <c r="G91" s="18"/>
      <c r="H91" s="18" t="str">
        <f>IFERROR(__xludf.DUMMYFUNCTION("""COMPUTED_VALUE"""),"Fiber")</f>
        <v>Fiber</v>
      </c>
      <c r="I91" s="18"/>
      <c r="J91" s="18"/>
      <c r="K91" s="18"/>
      <c r="L91" s="20"/>
    </row>
    <row r="92">
      <c r="A92" s="17">
        <f>IFERROR(__xludf.DUMMYFUNCTION("""COMPUTED_VALUE"""),7.0)</f>
        <v>7</v>
      </c>
      <c r="B92" s="18">
        <f>IFERROR(__xludf.DUMMYFUNCTION("""COMPUTED_VALUE"""),0.0)</f>
        <v>0</v>
      </c>
      <c r="C92" s="19" t="str">
        <f>IFERROR(__xludf.DUMMYFUNCTION("""COMPUTED_VALUE"""),"Daneda")</f>
        <v>Daneda</v>
      </c>
      <c r="D92" s="18"/>
      <c r="E92" s="18"/>
      <c r="F92" s="18"/>
      <c r="G92" s="18"/>
      <c r="H92" s="18" t="str">
        <f>IFERROR(__xludf.DUMMYFUNCTION("""COMPUTED_VALUE"""),"Oil")</f>
        <v>Oil</v>
      </c>
      <c r="I92" s="18"/>
      <c r="J92" s="18"/>
      <c r="K92" s="18"/>
      <c r="L92" s="20" t="str">
        <f>IFERROR(__xludf.DUMMYFUNCTION("""COMPUTED_VALUE"""),"Unlock from Niko-Senzoku Lots of Snails.")</f>
        <v>Unlock from Niko-Senzoku Lots of Snails.</v>
      </c>
    </row>
    <row r="93">
      <c r="A93" s="17">
        <f>IFERROR(__xludf.DUMMYFUNCTION("""COMPUTED_VALUE"""),7.0)</f>
        <v>7</v>
      </c>
      <c r="B93" s="18">
        <f>IFERROR(__xludf.DUMMYFUNCTION("""COMPUTED_VALUE"""),0.0)</f>
        <v>0</v>
      </c>
      <c r="C93" s="19" t="str">
        <f>IFERROR(__xludf.DUMMYFUNCTION("""COMPUTED_VALUE"""),"Yuki")</f>
        <v>Yuki</v>
      </c>
      <c r="D93" s="18"/>
      <c r="E93" s="18"/>
      <c r="F93" s="18">
        <f>IFERROR(__xludf.DUMMYFUNCTION("""COMPUTED_VALUE"""),1.5)</f>
        <v>1.5</v>
      </c>
      <c r="G93" s="18" t="str">
        <f>IFERROR(__xludf.DUMMYFUNCTION("""COMPUTED_VALUE"""),"●")</f>
        <v>●</v>
      </c>
      <c r="H93" s="18" t="str">
        <f>IFERROR(__xludf.DUMMYFUNCTION("""COMPUTED_VALUE"""),"Fiber")</f>
        <v>Fiber</v>
      </c>
      <c r="I93" s="18"/>
      <c r="J93" s="18"/>
      <c r="K93" s="18"/>
      <c r="L93" s="20" t="str">
        <f>IFERROR(__xludf.DUMMYFUNCTION("""COMPUTED_VALUE"""),"Unlocked from HYAKUDORI (after Jin-Die Kill) Three Mk-1 Bullet Tubers.")</f>
        <v>Unlocked from HYAKUDORI (after Jin-Die Kill) Three Mk-1 Bullet Tubers.</v>
      </c>
    </row>
    <row r="94">
      <c r="A94" s="17">
        <f>IFERROR(__xludf.DUMMYFUNCTION("""COMPUTED_VALUE"""),7.0)</f>
        <v>7</v>
      </c>
      <c r="B94" s="18">
        <f>IFERROR(__xludf.DUMMYFUNCTION("""COMPUTED_VALUE"""),2.0)</f>
        <v>2</v>
      </c>
      <c r="C94" s="19" t="str">
        <f>IFERROR(__xludf.DUMMYFUNCTION("""COMPUTED_VALUE"""),"Shimine-Machi")</f>
        <v>Shimine-Machi</v>
      </c>
      <c r="D94" s="18"/>
      <c r="E94" s="18"/>
      <c r="F94" s="18"/>
      <c r="G94" s="18"/>
      <c r="H94" s="18" t="str">
        <f>IFERROR(__xludf.DUMMYFUNCTION("""COMPUTED_VALUE"""),"Wood")</f>
        <v>Wood</v>
      </c>
      <c r="I94" s="18"/>
      <c r="J94" s="18"/>
      <c r="K94" s="18"/>
      <c r="L94" s="20" t="str">
        <f>IFERROR(__xludf.DUMMYFUNCTION("""COMPUTED_VALUE"""),"Eight Mk-1 Bone Tubers.")</f>
        <v>Eight Mk-1 Bone Tubers.</v>
      </c>
    </row>
    <row r="95">
      <c r="A95" s="17">
        <f>IFERROR(__xludf.DUMMYFUNCTION("""COMPUTED_VALUE"""),7.0)</f>
        <v>7</v>
      </c>
      <c r="B95" s="18">
        <f>IFERROR(__xludf.DUMMYFUNCTION("""COMPUTED_VALUE"""),2.0)</f>
        <v>2</v>
      </c>
      <c r="C95" s="19" t="str">
        <f>IFERROR(__xludf.DUMMYFUNCTION("""COMPUTED_VALUE"""),"Megashi-Koya")</f>
        <v>Megashi-Koya</v>
      </c>
      <c r="D95" s="18"/>
      <c r="E95" s="18"/>
      <c r="F95" s="18"/>
      <c r="G95" s="18"/>
      <c r="H95" s="18" t="str">
        <f>IFERROR(__xludf.DUMMYFUNCTION("""COMPUTED_VALUE"""),"Fiber")</f>
        <v>Fiber</v>
      </c>
      <c r="I95" s="18" t="str">
        <f>IFERROR(__xludf.DUMMYFUNCTION("""COMPUTED_VALUE"""),"G")</f>
        <v>G</v>
      </c>
      <c r="J95" s="18"/>
      <c r="K95" s="18"/>
      <c r="L95" s="20" t="str">
        <f>IFERROR(__xludf.DUMMYFUNCTION("""COMPUTED_VALUE"""),"Gyakufunsha can appear.")</f>
        <v>Gyakufunsha can appear.</v>
      </c>
    </row>
    <row r="96">
      <c r="A96" s="17">
        <f>IFERROR(__xludf.DUMMYFUNCTION("""COMPUTED_VALUE"""),6.0)</f>
        <v>6</v>
      </c>
      <c r="B96" s="18">
        <f>IFERROR(__xludf.DUMMYFUNCTION("""COMPUTED_VALUE"""),2.0)</f>
        <v>2</v>
      </c>
      <c r="C96" s="19" t="str">
        <f>IFERROR(__xludf.DUMMYFUNCTION("""COMPUTED_VALUE"""),"Moka-Magome")</f>
        <v>Moka-Magome</v>
      </c>
      <c r="D96" s="18" t="str">
        <f>IFERROR(__xludf.DUMMYFUNCTION("""COMPUTED_VALUE"""),"M")</f>
        <v>M</v>
      </c>
      <c r="E96" s="18"/>
      <c r="F96" s="18">
        <f>IFERROR(__xludf.DUMMYFUNCTION("""COMPUTED_VALUE"""),1.4)</f>
        <v>1.4</v>
      </c>
      <c r="G96" s="18"/>
      <c r="H96" s="18" t="str">
        <f>IFERROR(__xludf.DUMMYFUNCTION("""COMPUTED_VALUE"""),"Iron")</f>
        <v>Iron</v>
      </c>
      <c r="I96" s="18"/>
      <c r="J96" s="18" t="str">
        <f>IFERROR(__xludf.DUMMYFUNCTION("""COMPUTED_VALUE"""),"WE Blue")</f>
        <v>WE Blue</v>
      </c>
      <c r="K96" s="18"/>
      <c r="L96" s="20" t="str">
        <f>IFERROR(__xludf.DUMMYFUNCTION("""COMPUTED_VALUE"""),"BOSS: JIN-DIE. Drops War Ensemble Blue Metal. Trap not active Mondays &amp; Thursdays.")</f>
        <v>BOSS: JIN-DIE. Drops War Ensemble Blue Metal. Trap not active Mondays &amp; Thursdays.</v>
      </c>
    </row>
    <row r="97">
      <c r="A97" s="17">
        <f>IFERROR(__xludf.DUMMYFUNCTION("""COMPUTED_VALUE"""),6.0)</f>
        <v>6</v>
      </c>
      <c r="B97" s="18">
        <f>IFERROR(__xludf.DUMMYFUNCTION("""COMPUTED_VALUE"""),0.0)</f>
        <v>0</v>
      </c>
      <c r="C97" s="19" t="str">
        <f>IFERROR(__xludf.DUMMYFUNCTION("""COMPUTED_VALUE"""),"Mekaroku-Go")</f>
        <v>Mekaroku-Go</v>
      </c>
      <c r="D97" s="18"/>
      <c r="E97" s="18"/>
      <c r="F97" s="18"/>
      <c r="G97" s="18"/>
      <c r="H97" s="18" t="str">
        <f>IFERROR(__xludf.DUMMYFUNCTION("""COMPUTED_VALUE"""),"All")</f>
        <v>All</v>
      </c>
      <c r="I97" s="18"/>
      <c r="J97" s="18"/>
      <c r="K97" s="18"/>
      <c r="L97" s="20" t="str">
        <f>IFERROR(__xludf.DUMMYFUNCTION("""COMPUTED_VALUE"""),"Four Mk-1 Bullet Tubers, three of them in one room.")</f>
        <v>Four Mk-1 Bullet Tubers, three of them in one room.</v>
      </c>
    </row>
    <row r="98">
      <c r="A98" s="17">
        <f>IFERROR(__xludf.DUMMYFUNCTION("""COMPUTED_VALUE"""),5.0)</f>
        <v>5</v>
      </c>
      <c r="B98" s="18">
        <f>IFERROR(__xludf.DUMMYFUNCTION("""COMPUTED_VALUE"""),0.0)</f>
        <v>0</v>
      </c>
      <c r="C98" s="19" t="str">
        <f>IFERROR(__xludf.DUMMYFUNCTION("""COMPUTED_VALUE"""),"Hyakudori")</f>
        <v>Hyakudori</v>
      </c>
      <c r="D98" s="18" t="str">
        <f>IFERROR(__xludf.DUMMYFUNCTION("""COMPUTED_VALUE"""),"M")</f>
        <v>M</v>
      </c>
      <c r="E98" s="18"/>
      <c r="F98" s="18">
        <f>IFERROR(__xludf.DUMMYFUNCTION("""COMPUTED_VALUE"""),1.3)</f>
        <v>1.3</v>
      </c>
      <c r="G98" s="18" t="str">
        <f>IFERROR(__xludf.DUMMYFUNCTION("""COMPUTED_VALUE"""),"●")</f>
        <v>●</v>
      </c>
      <c r="H98" s="18" t="str">
        <f>IFERROR(__xludf.DUMMYFUNCTION("""COMPUTED_VALUE"""),"Fiber")</f>
        <v>Fiber</v>
      </c>
      <c r="I98" s="18"/>
      <c r="J98" s="18"/>
      <c r="K98" s="18"/>
      <c r="L98" s="20" t="str">
        <f>IFERROR(__xludf.DUMMYFUNCTION("""COMPUTED_VALUE"""),"Unlock from 3F Kami-Ikedoi.")</f>
        <v>Unlock from 3F Kami-Ikedoi.</v>
      </c>
    </row>
    <row r="99">
      <c r="A99" s="17">
        <f>IFERROR(__xludf.DUMMYFUNCTION("""COMPUTED_VALUE"""),5.0)</f>
        <v>5</v>
      </c>
      <c r="B99" s="18">
        <f>IFERROR(__xludf.DUMMYFUNCTION("""COMPUTED_VALUE"""),0.0)</f>
        <v>0</v>
      </c>
      <c r="C99" s="19" t="str">
        <f>IFERROR(__xludf.DUMMYFUNCTION("""COMPUTED_VALUE"""),"Joten-Jima")</f>
        <v>Joten-Jima</v>
      </c>
      <c r="D99" s="18"/>
      <c r="E99" s="18"/>
      <c r="F99" s="18"/>
      <c r="G99" s="18"/>
      <c r="H99" s="18" t="str">
        <f>IFERROR(__xludf.DUMMYFUNCTION("""COMPUTED_VALUE"""),"Wood")</f>
        <v>Wood</v>
      </c>
      <c r="I99" s="18"/>
      <c r="J99" s="18"/>
      <c r="K99" s="18"/>
      <c r="L99" s="20"/>
    </row>
    <row r="100">
      <c r="A100" s="17">
        <f>IFERROR(__xludf.DUMMYFUNCTION("""COMPUTED_VALUE"""),4.0)</f>
        <v>4</v>
      </c>
      <c r="B100" s="18">
        <f>IFERROR(__xludf.DUMMYFUNCTION("""COMPUTED_VALUE"""),0.0)</f>
        <v>0</v>
      </c>
      <c r="C100" s="19" t="str">
        <f>IFERROR(__xludf.DUMMYFUNCTION("""COMPUTED_VALUE"""),"Tagahara")</f>
        <v>Tagahara</v>
      </c>
      <c r="D100" s="18" t="str">
        <f>IFERROR(__xludf.DUMMYFUNCTION("""COMPUTED_VALUE"""),"M")</f>
        <v>M</v>
      </c>
      <c r="E100" s="18"/>
      <c r="F100" s="18"/>
      <c r="G100" s="18" t="str">
        <f>IFERROR(__xludf.DUMMYFUNCTION("""COMPUTED_VALUE"""),"●")</f>
        <v>●</v>
      </c>
      <c r="H100" s="18" t="str">
        <f>IFERROR(__xludf.DUMMYFUNCTION("""COMPUTED_VALUE"""),"Iron")</f>
        <v>Iron</v>
      </c>
      <c r="I100" s="18"/>
      <c r="J100" s="18"/>
      <c r="K100" s="18"/>
      <c r="L100" s="20"/>
    </row>
    <row r="101">
      <c r="A101" s="17">
        <f>IFERROR(__xludf.DUMMYFUNCTION("""COMPUTED_VALUE"""),4.0)</f>
        <v>4</v>
      </c>
      <c r="B101" s="18">
        <f>IFERROR(__xludf.DUMMYFUNCTION("""COMPUTED_VALUE"""),2.0)</f>
        <v>2</v>
      </c>
      <c r="C101" s="19" t="str">
        <f>IFERROR(__xludf.DUMMYFUNCTION("""COMPUTED_VALUE"""),"Kankamata")</f>
        <v>Kankamata</v>
      </c>
      <c r="D101" s="18"/>
      <c r="E101" s="18"/>
      <c r="F101" s="18"/>
      <c r="G101" s="18"/>
      <c r="H101" s="18" t="str">
        <f>IFERROR(__xludf.DUMMYFUNCTION("""COMPUTED_VALUE"""),"Oil")</f>
        <v>Oil</v>
      </c>
      <c r="I101" s="18"/>
      <c r="J101" s="18"/>
      <c r="K101" s="18"/>
      <c r="L101" s="20" t="str">
        <f>IFERROR(__xludf.DUMMYFUNCTION("""COMPUTED_VALUE"""),"Unlock from 9F Omeno-Kira. Many chests containing Kill Coins, 25-30k KC total.")</f>
        <v>Unlock from 9F Omeno-Kira. Many chests containing Kill Coins, 25-30k KC total.</v>
      </c>
    </row>
    <row r="102">
      <c r="A102" s="17">
        <f>IFERROR(__xludf.DUMMYFUNCTION("""COMPUTED_VALUE"""),3.0)</f>
        <v>3</v>
      </c>
      <c r="B102" s="18">
        <f>IFERROR(__xludf.DUMMYFUNCTION("""COMPUTED_VALUE"""),0.0)</f>
        <v>0</v>
      </c>
      <c r="C102" s="19" t="str">
        <f>IFERROR(__xludf.DUMMYFUNCTION("""COMPUTED_VALUE"""),"Tamata")</f>
        <v>Tamata</v>
      </c>
      <c r="D102" s="18" t="str">
        <f>IFERROR(__xludf.DUMMYFUNCTION("""COMPUTED_VALUE"""),"M")</f>
        <v>M</v>
      </c>
      <c r="E102" s="18"/>
      <c r="F102" s="18">
        <f>IFERROR(__xludf.DUMMYFUNCTION("""COMPUTED_VALUE"""),1.2)</f>
        <v>1.2</v>
      </c>
      <c r="G102" s="18"/>
      <c r="H102" s="18" t="str">
        <f>IFERROR(__xludf.DUMMYFUNCTION("""COMPUTED_VALUE"""),"Fiber")</f>
        <v>Fiber</v>
      </c>
      <c r="I102" s="18"/>
      <c r="J102" s="18" t="str">
        <f>IFERROR(__xludf.DUMMYFUNCTION("""COMPUTED_VALUE"""),"DOD Blue")</f>
        <v>DOD Blue</v>
      </c>
      <c r="K102" s="18" t="str">
        <f>IFERROR(__xludf.DUMMYFUNCTION("""COMPUTED_VALUE"""),"Blue")</f>
        <v>Blue</v>
      </c>
      <c r="L102" s="20" t="str">
        <f>IFERROR(__xludf.DUMMYFUNCTION("""COMPUTED_VALUE"""),"BOSS: COEN. Drops DOD ARMS Blue Metal. TRAP: Blue Metals, only active Mon / Thu / Fri.")</f>
        <v>BOSS: COEN. Drops DOD ARMS Blue Metal. TRAP: Blue Metals, only active Mon / Thu / Fri.</v>
      </c>
    </row>
    <row r="103">
      <c r="A103" s="17">
        <f>IFERROR(__xludf.DUMMYFUNCTION("""COMPUTED_VALUE"""),3.0)</f>
        <v>3</v>
      </c>
      <c r="B103" s="18">
        <f>IFERROR(__xludf.DUMMYFUNCTION("""COMPUTED_VALUE"""),0.0)</f>
        <v>0</v>
      </c>
      <c r="C103" s="19" t="str">
        <f>IFERROR(__xludf.DUMMYFUNCTION("""COMPUTED_VALUE"""),"Kami-Ikedoi")</f>
        <v>Kami-Ikedoi</v>
      </c>
      <c r="D103" s="18"/>
      <c r="E103" s="18"/>
      <c r="F103" s="18"/>
      <c r="G103" s="18" t="str">
        <f>IFERROR(__xludf.DUMMYFUNCTION("""COMPUTED_VALUE"""),"●")</f>
        <v>●</v>
      </c>
      <c r="H103" s="18" t="str">
        <f>IFERROR(__xludf.DUMMYFUNCTION("""COMPUTED_VALUE"""),"All")</f>
        <v>All</v>
      </c>
      <c r="I103" s="23"/>
      <c r="J103" s="18"/>
      <c r="K103" s="18" t="str">
        <f>IFERROR(__xludf.DUMMYFUNCTION("""COMPUTED_VALUE"""),"Blue")</f>
        <v>Blue</v>
      </c>
      <c r="L103" s="20" t="str">
        <f>IFERROR(__xludf.DUMMYFUNCTION("""COMPUTED_VALUE"""),"TRAP: Blue Metals. 3 Screamers. Trap is active every day, but doesn't always spawn.")</f>
        <v>TRAP: Blue Metals. 3 Screamers. Trap is active every day, but doesn't always spawn.</v>
      </c>
    </row>
    <row r="104">
      <c r="A104" s="17">
        <f>IFERROR(__xludf.DUMMYFUNCTION("""COMPUTED_VALUE"""),3.0)</f>
        <v>3</v>
      </c>
      <c r="B104" s="18">
        <f>IFERROR(__xludf.DUMMYFUNCTION("""COMPUTED_VALUE"""),2.0)</f>
        <v>2</v>
      </c>
      <c r="C104" s="19" t="str">
        <f>IFERROR(__xludf.DUMMYFUNCTION("""COMPUTED_VALUE"""),"Minemachi")</f>
        <v>Minemachi</v>
      </c>
      <c r="D104" s="18"/>
      <c r="E104" s="18"/>
      <c r="F104" s="18"/>
      <c r="G104" s="18"/>
      <c r="H104" s="18" t="str">
        <f>IFERROR(__xludf.DUMMYFUNCTION("""COMPUTED_VALUE"""),"Aluminum")</f>
        <v>Aluminum</v>
      </c>
      <c r="I104" s="18"/>
      <c r="J104" s="18"/>
      <c r="K104" s="18"/>
      <c r="L104" s="20" t="str">
        <f>IFERROR(__xludf.DUMMYFUNCTION("""COMPUTED_VALUE"""),"Unlock from 7F Shimine-Machi.")</f>
        <v>Unlock from 7F Shimine-Machi.</v>
      </c>
    </row>
    <row r="105">
      <c r="A105" s="17">
        <f>IFERROR(__xludf.DUMMYFUNCTION("""COMPUTED_VALUE"""),2.0)</f>
        <v>2</v>
      </c>
      <c r="B105" s="18">
        <f>IFERROR(__xludf.DUMMYFUNCTION("""COMPUTED_VALUE"""),0.0)</f>
        <v>0</v>
      </c>
      <c r="C105" s="19" t="str">
        <f>IFERROR(__xludf.DUMMYFUNCTION("""COMPUTED_VALUE"""),"Imokawa-Cho")</f>
        <v>Imokawa-Cho</v>
      </c>
      <c r="D105" s="18"/>
      <c r="E105" s="18"/>
      <c r="F105" s="18">
        <f>IFERROR(__xludf.DUMMYFUNCTION("""COMPUTED_VALUE"""),1.1)</f>
        <v>1.1</v>
      </c>
      <c r="G105" s="18" t="str">
        <f>IFERROR(__xludf.DUMMYFUNCTION("""COMPUTED_VALUE"""),"●")</f>
        <v>●</v>
      </c>
      <c r="H105" s="18" t="str">
        <f>IFERROR(__xludf.DUMMYFUNCTION("""COMPUTED_VALUE"""),"All")</f>
        <v>All</v>
      </c>
      <c r="I105" s="18"/>
      <c r="J105" s="18"/>
      <c r="K105" s="18"/>
      <c r="L105" s="20"/>
    </row>
    <row r="106">
      <c r="A106" s="17">
        <f>IFERROR(__xludf.DUMMYFUNCTION("""COMPUTED_VALUE"""),2.0)</f>
        <v>2</v>
      </c>
      <c r="B106" s="18">
        <f>IFERROR(__xludf.DUMMYFUNCTION("""COMPUTED_VALUE"""),0.0)</f>
        <v>0</v>
      </c>
      <c r="C106" s="19" t="str">
        <f>IFERROR(__xludf.DUMMYFUNCTION("""COMPUTED_VALUE"""),"Wanoki")</f>
        <v>Wanoki</v>
      </c>
      <c r="D106" s="18"/>
      <c r="E106" s="18"/>
      <c r="F106" s="18"/>
      <c r="G106" s="18"/>
      <c r="H106" s="18" t="str">
        <f>IFERROR(__xludf.DUMMYFUNCTION("""COMPUTED_VALUE"""),"Aluminum")</f>
        <v>Aluminum</v>
      </c>
      <c r="I106" s="18"/>
      <c r="J106" s="18"/>
      <c r="K106" s="18"/>
      <c r="L106" s="20" t="str">
        <f>IFERROR(__xludf.DUMMYFUNCTION("""COMPUTED_VALUE"""),"Over 18 Screamers, good for Mastery farming or Screamer quests.")</f>
        <v>Over 18 Screamers, good for Mastery farming or Screamer quests.</v>
      </c>
    </row>
    <row r="107">
      <c r="A107" s="17">
        <f>IFERROR(__xludf.DUMMYFUNCTION("""COMPUTED_VALUE"""),1.0)</f>
        <v>1</v>
      </c>
      <c r="B107" s="18">
        <f>IFERROR(__xludf.DUMMYFUNCTION("""COMPUTED_VALUE"""),0.0)</f>
        <v>0</v>
      </c>
      <c r="C107" s="19" t="str">
        <f>IFERROR(__xludf.DUMMYFUNCTION("""COMPUTED_VALUE"""),"Ikegara")</f>
        <v>Ikegara</v>
      </c>
      <c r="D107" s="18" t="str">
        <f>IFERROR(__xludf.DUMMYFUNCTION("""COMPUTED_VALUE"""),"M")</f>
        <v>M</v>
      </c>
      <c r="E107" s="18"/>
      <c r="F107" s="18"/>
      <c r="G107" s="18" t="str">
        <f>IFERROR(__xludf.DUMMYFUNCTION("""COMPUTED_VALUE"""),"●")</f>
        <v>●</v>
      </c>
      <c r="H107" s="18" t="str">
        <f>IFERROR(__xludf.DUMMYFUNCTION("""COMPUTED_VALUE"""),"×")</f>
        <v>×</v>
      </c>
      <c r="I107" s="18"/>
      <c r="J107" s="18"/>
      <c r="K107" s="18"/>
      <c r="L107" s="20"/>
    </row>
    <row r="108">
      <c r="A108" s="22"/>
      <c r="B108" s="18"/>
      <c r="C108" s="19"/>
      <c r="D108" s="18"/>
      <c r="E108" s="18"/>
      <c r="F108" s="18"/>
      <c r="G108" s="18"/>
      <c r="H108" s="18"/>
      <c r="I108" s="18"/>
      <c r="J108" s="18"/>
      <c r="K108" s="18"/>
      <c r="L108" s="20"/>
    </row>
    <row r="109">
      <c r="A109" s="22"/>
      <c r="B109" s="18"/>
      <c r="C109" s="19"/>
      <c r="D109" s="18"/>
      <c r="E109" s="18"/>
      <c r="F109" s="18"/>
      <c r="G109" s="18"/>
      <c r="H109" s="18"/>
      <c r="I109" s="18"/>
      <c r="J109" s="18"/>
      <c r="K109" s="18"/>
      <c r="L109" s="20"/>
    </row>
    <row r="110">
      <c r="A110" s="22"/>
      <c r="B110" s="18"/>
      <c r="C110" s="19"/>
      <c r="D110" s="18"/>
      <c r="E110" s="18"/>
      <c r="F110" s="18"/>
      <c r="G110" s="18"/>
      <c r="H110" s="18"/>
      <c r="I110" s="18"/>
      <c r="J110" s="18"/>
      <c r="K110" s="18"/>
      <c r="L110" s="20"/>
    </row>
    <row r="111">
      <c r="A111" s="22"/>
      <c r="B111" s="18"/>
      <c r="C111" s="19"/>
      <c r="D111" s="18"/>
      <c r="E111" s="18"/>
      <c r="F111" s="18"/>
      <c r="G111" s="18"/>
      <c r="H111" s="18"/>
      <c r="I111" s="18"/>
      <c r="J111" s="18"/>
      <c r="K111" s="18"/>
      <c r="L111" s="20"/>
    </row>
    <row r="112">
      <c r="A112" s="22"/>
      <c r="B112" s="18"/>
      <c r="C112" s="19"/>
      <c r="D112" s="18"/>
      <c r="E112" s="18"/>
      <c r="F112" s="18"/>
      <c r="G112" s="18"/>
      <c r="H112" s="18"/>
      <c r="I112" s="18"/>
      <c r="J112" s="18"/>
      <c r="K112" s="18"/>
      <c r="L112" s="20"/>
    </row>
    <row r="113">
      <c r="A113" s="22"/>
      <c r="B113" s="18"/>
      <c r="C113" s="19"/>
      <c r="D113" s="18"/>
      <c r="E113" s="18"/>
      <c r="F113" s="18"/>
      <c r="G113" s="18"/>
      <c r="H113" s="18"/>
      <c r="I113" s="18"/>
      <c r="J113" s="18"/>
      <c r="K113" s="18"/>
      <c r="L113" s="20"/>
    </row>
    <row r="114">
      <c r="A114" s="22"/>
      <c r="B114" s="18"/>
      <c r="C114" s="19"/>
      <c r="D114" s="18"/>
      <c r="E114" s="18"/>
      <c r="F114" s="18"/>
      <c r="G114" s="18"/>
      <c r="H114" s="18"/>
      <c r="I114" s="18"/>
      <c r="J114" s="18"/>
      <c r="K114" s="18"/>
      <c r="L114" s="20"/>
    </row>
    <row r="115">
      <c r="A115" s="22"/>
      <c r="B115" s="18"/>
      <c r="C115" s="19"/>
      <c r="D115" s="18"/>
      <c r="E115" s="18"/>
      <c r="F115" s="18"/>
      <c r="G115" s="18"/>
      <c r="H115" s="18"/>
      <c r="I115" s="18"/>
      <c r="J115" s="18"/>
      <c r="K115" s="18"/>
      <c r="L115" s="20"/>
    </row>
    <row r="116">
      <c r="A116" s="22"/>
      <c r="B116" s="18"/>
      <c r="C116" s="19"/>
      <c r="D116" s="18"/>
      <c r="E116" s="18"/>
      <c r="F116" s="18"/>
      <c r="G116" s="18"/>
      <c r="H116" s="18"/>
      <c r="I116" s="18"/>
      <c r="J116" s="18"/>
      <c r="K116" s="18"/>
      <c r="L116" s="20"/>
    </row>
    <row r="117">
      <c r="A117" s="22"/>
      <c r="B117" s="18"/>
      <c r="C117" s="19"/>
      <c r="D117" s="18"/>
      <c r="E117" s="18"/>
      <c r="F117" s="18"/>
      <c r="G117" s="18"/>
      <c r="H117" s="18"/>
      <c r="I117" s="18"/>
      <c r="J117" s="18"/>
      <c r="K117" s="18"/>
      <c r="L117" s="20"/>
    </row>
    <row r="118">
      <c r="A118" s="22"/>
      <c r="B118" s="18"/>
      <c r="C118" s="19"/>
      <c r="D118" s="18"/>
      <c r="E118" s="18"/>
      <c r="F118" s="18"/>
      <c r="G118" s="18"/>
      <c r="H118" s="18"/>
      <c r="I118" s="18"/>
      <c r="J118" s="18"/>
      <c r="K118" s="18"/>
      <c r="L118" s="20"/>
    </row>
    <row r="119">
      <c r="A119" s="22"/>
      <c r="B119" s="18"/>
      <c r="C119" s="19"/>
      <c r="D119" s="18"/>
      <c r="E119" s="18"/>
      <c r="F119" s="18"/>
      <c r="G119" s="18"/>
      <c r="H119" s="18"/>
      <c r="I119" s="18"/>
      <c r="J119" s="18"/>
      <c r="K119" s="18"/>
      <c r="L119" s="20"/>
    </row>
    <row r="120">
      <c r="A120" s="22"/>
      <c r="B120" s="18"/>
      <c r="C120" s="19"/>
      <c r="D120" s="18"/>
      <c r="E120" s="18"/>
      <c r="F120" s="18"/>
      <c r="G120" s="18"/>
      <c r="H120" s="18"/>
      <c r="I120" s="18"/>
      <c r="J120" s="18"/>
      <c r="K120" s="18"/>
      <c r="L120" s="20"/>
    </row>
    <row r="121">
      <c r="A121" s="22"/>
      <c r="B121" s="18"/>
      <c r="C121" s="19"/>
      <c r="D121" s="18"/>
      <c r="E121" s="18"/>
      <c r="F121" s="18"/>
      <c r="G121" s="18"/>
      <c r="H121" s="18"/>
      <c r="I121" s="18"/>
      <c r="J121" s="18"/>
      <c r="K121" s="18"/>
      <c r="L121" s="20"/>
    </row>
    <row r="122">
      <c r="A122" s="22"/>
      <c r="B122" s="18"/>
      <c r="C122" s="19"/>
      <c r="D122" s="18"/>
      <c r="E122" s="18"/>
      <c r="F122" s="18"/>
      <c r="G122" s="18"/>
      <c r="H122" s="18"/>
      <c r="I122" s="18"/>
      <c r="J122" s="18"/>
      <c r="K122" s="18"/>
      <c r="L122" s="20"/>
    </row>
    <row r="123">
      <c r="A123" s="22"/>
      <c r="B123" s="18"/>
      <c r="C123" s="19"/>
      <c r="D123" s="18"/>
      <c r="E123" s="18"/>
      <c r="F123" s="18"/>
      <c r="G123" s="18"/>
      <c r="H123" s="18"/>
      <c r="I123" s="18"/>
      <c r="J123" s="18"/>
      <c r="K123" s="18"/>
      <c r="L123" s="20"/>
    </row>
    <row r="124">
      <c r="A124" s="22"/>
      <c r="B124" s="18"/>
      <c r="C124" s="19"/>
      <c r="D124" s="18"/>
      <c r="E124" s="18"/>
      <c r="F124" s="18"/>
      <c r="G124" s="18"/>
      <c r="H124" s="18"/>
      <c r="I124" s="18"/>
      <c r="J124" s="18"/>
      <c r="K124" s="18"/>
      <c r="L124" s="20"/>
    </row>
    <row r="125">
      <c r="A125" s="22"/>
      <c r="B125" s="18"/>
      <c r="C125" s="19"/>
      <c r="D125" s="18"/>
      <c r="E125" s="18"/>
      <c r="F125" s="18"/>
      <c r="G125" s="18"/>
      <c r="H125" s="18"/>
      <c r="I125" s="18"/>
      <c r="J125" s="18"/>
      <c r="K125" s="18"/>
      <c r="L125" s="20"/>
    </row>
    <row r="126">
      <c r="A126" s="22"/>
      <c r="B126" s="18"/>
      <c r="C126" s="19"/>
      <c r="D126" s="18"/>
      <c r="E126" s="18"/>
      <c r="F126" s="18"/>
      <c r="G126" s="18"/>
      <c r="H126" s="18"/>
      <c r="I126" s="18"/>
      <c r="J126" s="18"/>
      <c r="K126" s="18"/>
      <c r="L126" s="20"/>
    </row>
    <row r="127">
      <c r="A127" s="22"/>
      <c r="B127" s="18"/>
      <c r="C127" s="19"/>
      <c r="D127" s="18"/>
      <c r="E127" s="18"/>
      <c r="F127" s="18"/>
      <c r="G127" s="18"/>
      <c r="H127" s="18"/>
      <c r="I127" s="18"/>
      <c r="J127" s="18"/>
      <c r="K127" s="18"/>
      <c r="L127" s="20"/>
    </row>
    <row r="128">
      <c r="A128" s="22"/>
      <c r="B128" s="18"/>
      <c r="C128" s="19"/>
      <c r="D128" s="18"/>
      <c r="E128" s="18"/>
      <c r="F128" s="18"/>
      <c r="G128" s="18"/>
      <c r="H128" s="18"/>
      <c r="I128" s="18"/>
      <c r="J128" s="18"/>
      <c r="K128" s="18"/>
      <c r="L128" s="20"/>
    </row>
    <row r="129">
      <c r="A129" s="22"/>
      <c r="B129" s="18"/>
      <c r="C129" s="19"/>
      <c r="D129" s="18"/>
      <c r="E129" s="18"/>
      <c r="F129" s="18"/>
      <c r="G129" s="18"/>
      <c r="H129" s="18"/>
      <c r="I129" s="18"/>
      <c r="J129" s="18"/>
      <c r="K129" s="18"/>
      <c r="L129" s="20"/>
    </row>
    <row r="130">
      <c r="A130" s="22"/>
      <c r="B130" s="18"/>
      <c r="C130" s="19"/>
      <c r="D130" s="18"/>
      <c r="E130" s="18"/>
      <c r="F130" s="18"/>
      <c r="G130" s="18"/>
      <c r="H130" s="18"/>
      <c r="I130" s="18"/>
      <c r="J130" s="18"/>
      <c r="K130" s="18"/>
      <c r="L130" s="20"/>
    </row>
    <row r="131">
      <c r="A131" s="22"/>
      <c r="B131" s="18"/>
      <c r="C131" s="19"/>
      <c r="D131" s="18"/>
      <c r="E131" s="18"/>
      <c r="F131" s="18"/>
      <c r="G131" s="18"/>
      <c r="H131" s="18"/>
      <c r="I131" s="18"/>
      <c r="J131" s="18"/>
      <c r="K131" s="18"/>
      <c r="L131" s="20"/>
    </row>
    <row r="132">
      <c r="A132" s="22"/>
      <c r="B132" s="18"/>
      <c r="C132" s="19"/>
      <c r="D132" s="18"/>
      <c r="E132" s="18"/>
      <c r="F132" s="18"/>
      <c r="G132" s="18"/>
      <c r="H132" s="18"/>
      <c r="I132" s="18"/>
      <c r="J132" s="18"/>
      <c r="K132" s="18"/>
      <c r="L132" s="20"/>
    </row>
    <row r="133">
      <c r="A133" s="22"/>
      <c r="B133" s="18"/>
      <c r="C133" s="19"/>
      <c r="D133" s="18"/>
      <c r="E133" s="18"/>
      <c r="F133" s="18"/>
      <c r="G133" s="18"/>
      <c r="H133" s="18"/>
      <c r="I133" s="18"/>
      <c r="J133" s="18"/>
      <c r="K133" s="18"/>
      <c r="L133" s="20"/>
    </row>
    <row r="134">
      <c r="A134" s="22"/>
      <c r="B134" s="18"/>
      <c r="C134" s="19"/>
      <c r="D134" s="18"/>
      <c r="E134" s="18"/>
      <c r="F134" s="18"/>
      <c r="G134" s="18"/>
      <c r="H134" s="18"/>
      <c r="I134" s="18"/>
      <c r="J134" s="18"/>
      <c r="K134" s="18"/>
      <c r="L134" s="20"/>
    </row>
    <row r="135">
      <c r="A135" s="22"/>
      <c r="B135" s="18"/>
      <c r="C135" s="19"/>
      <c r="D135" s="18"/>
      <c r="E135" s="18"/>
      <c r="F135" s="18"/>
      <c r="G135" s="18"/>
      <c r="H135" s="18"/>
      <c r="I135" s="18"/>
      <c r="J135" s="18"/>
      <c r="K135" s="18"/>
      <c r="L135" s="20"/>
    </row>
    <row r="136">
      <c r="A136" s="22"/>
      <c r="B136" s="18"/>
      <c r="C136" s="19"/>
      <c r="D136" s="18"/>
      <c r="E136" s="18"/>
      <c r="F136" s="18"/>
      <c r="G136" s="18"/>
      <c r="H136" s="18"/>
      <c r="I136" s="18"/>
      <c r="J136" s="18"/>
      <c r="K136" s="18"/>
      <c r="L136" s="20"/>
    </row>
    <row r="137">
      <c r="A137" s="22"/>
      <c r="B137" s="18"/>
      <c r="C137" s="19"/>
      <c r="D137" s="18"/>
      <c r="E137" s="18"/>
      <c r="F137" s="18"/>
      <c r="G137" s="18"/>
      <c r="H137" s="18"/>
      <c r="I137" s="18"/>
      <c r="J137" s="18"/>
      <c r="K137" s="18"/>
      <c r="L137" s="20"/>
    </row>
    <row r="138">
      <c r="A138" s="22"/>
      <c r="B138" s="18"/>
      <c r="C138" s="19"/>
      <c r="D138" s="18"/>
      <c r="E138" s="18"/>
      <c r="F138" s="18"/>
      <c r="G138" s="18"/>
      <c r="H138" s="18"/>
      <c r="I138" s="18"/>
      <c r="J138" s="18"/>
      <c r="K138" s="18"/>
      <c r="L138" s="20"/>
    </row>
    <row r="139">
      <c r="A139" s="22"/>
      <c r="B139" s="18"/>
      <c r="C139" s="19"/>
      <c r="D139" s="18"/>
      <c r="E139" s="18"/>
      <c r="F139" s="18"/>
      <c r="G139" s="18"/>
      <c r="H139" s="18"/>
      <c r="I139" s="18"/>
      <c r="J139" s="18"/>
      <c r="K139" s="18"/>
      <c r="L139" s="20"/>
    </row>
    <row r="140">
      <c r="A140" s="22"/>
      <c r="B140" s="18"/>
      <c r="C140" s="19"/>
      <c r="D140" s="18"/>
      <c r="E140" s="18"/>
      <c r="F140" s="18"/>
      <c r="G140" s="18"/>
      <c r="H140" s="18"/>
      <c r="I140" s="18"/>
      <c r="J140" s="18"/>
      <c r="K140" s="18"/>
      <c r="L140" s="20"/>
    </row>
    <row r="141">
      <c r="A141" s="22"/>
      <c r="B141" s="18"/>
      <c r="C141" s="19"/>
      <c r="D141" s="18"/>
      <c r="E141" s="18"/>
      <c r="F141" s="18"/>
      <c r="G141" s="18"/>
      <c r="H141" s="18"/>
      <c r="I141" s="18"/>
      <c r="J141" s="18"/>
      <c r="K141" s="18"/>
      <c r="L141" s="20"/>
    </row>
    <row r="142">
      <c r="A142" s="22"/>
      <c r="B142" s="18"/>
      <c r="C142" s="19"/>
      <c r="D142" s="18"/>
      <c r="E142" s="18"/>
      <c r="F142" s="18"/>
      <c r="G142" s="18"/>
      <c r="H142" s="18"/>
      <c r="I142" s="18"/>
      <c r="J142" s="18"/>
      <c r="K142" s="18"/>
      <c r="L142" s="20"/>
    </row>
    <row r="143">
      <c r="A143" s="22"/>
      <c r="B143" s="18"/>
      <c r="C143" s="19"/>
      <c r="D143" s="18"/>
      <c r="E143" s="18"/>
      <c r="F143" s="18"/>
      <c r="G143" s="18"/>
      <c r="H143" s="18"/>
      <c r="I143" s="18"/>
      <c r="J143" s="18"/>
      <c r="K143" s="18"/>
      <c r="L143" s="20"/>
    </row>
    <row r="144">
      <c r="A144" s="22"/>
      <c r="B144" s="18"/>
      <c r="C144" s="19"/>
      <c r="D144" s="18"/>
      <c r="E144" s="18"/>
      <c r="F144" s="18"/>
      <c r="G144" s="18"/>
      <c r="H144" s="18"/>
      <c r="I144" s="18"/>
      <c r="J144" s="18"/>
      <c r="K144" s="18"/>
      <c r="L144" s="20"/>
    </row>
    <row r="145">
      <c r="A145" s="22"/>
      <c r="B145" s="18"/>
      <c r="C145" s="19"/>
      <c r="D145" s="18"/>
      <c r="E145" s="18"/>
      <c r="F145" s="18"/>
      <c r="G145" s="18"/>
      <c r="H145" s="18"/>
      <c r="I145" s="18"/>
      <c r="J145" s="18"/>
      <c r="K145" s="18"/>
      <c r="L145" s="20"/>
    </row>
    <row r="146">
      <c r="A146" s="22"/>
      <c r="B146" s="18"/>
      <c r="C146" s="19"/>
      <c r="D146" s="18"/>
      <c r="E146" s="18"/>
      <c r="F146" s="18"/>
      <c r="G146" s="18"/>
      <c r="H146" s="18"/>
      <c r="I146" s="18"/>
      <c r="J146" s="18"/>
      <c r="K146" s="18"/>
      <c r="L146" s="20"/>
    </row>
    <row r="147">
      <c r="A147" s="22"/>
      <c r="B147" s="18"/>
      <c r="C147" s="19"/>
      <c r="D147" s="18"/>
      <c r="E147" s="18"/>
      <c r="F147" s="18"/>
      <c r="G147" s="18"/>
      <c r="H147" s="18"/>
      <c r="I147" s="18"/>
      <c r="J147" s="18"/>
      <c r="K147" s="18"/>
      <c r="L147" s="20"/>
    </row>
    <row r="148">
      <c r="A148" s="22"/>
      <c r="B148" s="18"/>
      <c r="C148" s="19"/>
      <c r="D148" s="18"/>
      <c r="E148" s="18"/>
      <c r="F148" s="18"/>
      <c r="G148" s="18"/>
      <c r="H148" s="18"/>
      <c r="I148" s="18"/>
      <c r="J148" s="18"/>
      <c r="K148" s="18"/>
      <c r="L148" s="20"/>
    </row>
    <row r="149">
      <c r="A149" s="22"/>
      <c r="B149" s="18"/>
      <c r="C149" s="19"/>
      <c r="D149" s="18"/>
      <c r="E149" s="18"/>
      <c r="F149" s="18"/>
      <c r="G149" s="18"/>
      <c r="H149" s="18"/>
      <c r="I149" s="18"/>
      <c r="J149" s="18"/>
      <c r="K149" s="18"/>
      <c r="L149" s="20"/>
    </row>
    <row r="150">
      <c r="A150" s="22"/>
      <c r="B150" s="18"/>
      <c r="C150" s="19"/>
      <c r="D150" s="18"/>
      <c r="E150" s="18"/>
      <c r="F150" s="18"/>
      <c r="G150" s="18"/>
      <c r="H150" s="18"/>
      <c r="I150" s="18"/>
      <c r="J150" s="18"/>
      <c r="K150" s="18"/>
      <c r="L150" s="20"/>
    </row>
    <row r="151">
      <c r="A151" s="22"/>
      <c r="B151" s="18"/>
      <c r="C151" s="19"/>
      <c r="D151" s="18"/>
      <c r="E151" s="18"/>
      <c r="F151" s="18"/>
      <c r="G151" s="18"/>
      <c r="H151" s="18"/>
      <c r="I151" s="18"/>
      <c r="J151" s="18"/>
      <c r="K151" s="18"/>
      <c r="L151" s="20"/>
    </row>
    <row r="152">
      <c r="A152" s="22"/>
      <c r="B152" s="18"/>
      <c r="C152" s="19"/>
      <c r="D152" s="18"/>
      <c r="E152" s="18"/>
      <c r="F152" s="18"/>
      <c r="G152" s="18"/>
      <c r="H152" s="18"/>
      <c r="I152" s="18"/>
      <c r="J152" s="18"/>
      <c r="K152" s="18"/>
      <c r="L152" s="20"/>
    </row>
    <row r="153">
      <c r="A153" s="22"/>
      <c r="B153" s="18"/>
      <c r="C153" s="19"/>
      <c r="D153" s="18"/>
      <c r="E153" s="18"/>
      <c r="F153" s="18"/>
      <c r="G153" s="18"/>
      <c r="H153" s="18"/>
      <c r="I153" s="18"/>
      <c r="J153" s="18"/>
      <c r="K153" s="18"/>
      <c r="L153" s="20"/>
    </row>
    <row r="154">
      <c r="A154" s="22"/>
      <c r="B154" s="18"/>
      <c r="C154" s="19"/>
      <c r="D154" s="18"/>
      <c r="E154" s="18"/>
      <c r="F154" s="18"/>
      <c r="G154" s="18"/>
      <c r="H154" s="18"/>
      <c r="I154" s="18"/>
      <c r="J154" s="18"/>
      <c r="K154" s="18"/>
      <c r="L154" s="20"/>
    </row>
    <row r="155">
      <c r="A155" s="22"/>
      <c r="B155" s="18"/>
      <c r="C155" s="19"/>
      <c r="D155" s="18"/>
      <c r="E155" s="18"/>
      <c r="F155" s="18"/>
      <c r="G155" s="18"/>
      <c r="H155" s="18"/>
      <c r="I155" s="18"/>
      <c r="J155" s="18"/>
      <c r="K155" s="18"/>
      <c r="L155" s="20"/>
    </row>
    <row r="156">
      <c r="A156" s="22"/>
      <c r="B156" s="18"/>
      <c r="C156" s="19"/>
      <c r="D156" s="18"/>
      <c r="E156" s="18"/>
      <c r="F156" s="18"/>
      <c r="G156" s="18"/>
      <c r="H156" s="18"/>
      <c r="I156" s="18"/>
      <c r="J156" s="18"/>
      <c r="K156" s="18"/>
      <c r="L156" s="20"/>
    </row>
    <row r="157">
      <c r="A157" s="22"/>
      <c r="B157" s="18"/>
      <c r="C157" s="19"/>
      <c r="D157" s="18"/>
      <c r="E157" s="18"/>
      <c r="F157" s="18"/>
      <c r="G157" s="18"/>
      <c r="H157" s="18"/>
      <c r="I157" s="18"/>
      <c r="J157" s="18"/>
      <c r="K157" s="18"/>
      <c r="L157" s="20"/>
    </row>
    <row r="158">
      <c r="A158" s="22"/>
      <c r="B158" s="18"/>
      <c r="C158" s="19"/>
      <c r="D158" s="18"/>
      <c r="E158" s="18"/>
      <c r="F158" s="18"/>
      <c r="G158" s="18"/>
      <c r="H158" s="18"/>
      <c r="I158" s="18"/>
      <c r="J158" s="18"/>
      <c r="K158" s="18"/>
      <c r="L158" s="20"/>
    </row>
    <row r="159">
      <c r="A159" s="22"/>
      <c r="B159" s="18"/>
      <c r="C159" s="19"/>
      <c r="D159" s="18"/>
      <c r="E159" s="18"/>
      <c r="F159" s="18"/>
      <c r="G159" s="18"/>
      <c r="H159" s="18"/>
      <c r="I159" s="18"/>
      <c r="J159" s="18"/>
      <c r="K159" s="18"/>
      <c r="L159" s="20"/>
    </row>
    <row r="160">
      <c r="A160" s="22"/>
      <c r="B160" s="18"/>
      <c r="C160" s="19"/>
      <c r="D160" s="18"/>
      <c r="E160" s="18"/>
      <c r="F160" s="18"/>
      <c r="G160" s="18"/>
      <c r="H160" s="18"/>
      <c r="I160" s="18"/>
      <c r="J160" s="18"/>
      <c r="K160" s="18"/>
      <c r="L160" s="20"/>
    </row>
    <row r="161">
      <c r="A161" s="22"/>
      <c r="B161" s="18"/>
      <c r="C161" s="19"/>
      <c r="D161" s="18"/>
      <c r="E161" s="18"/>
      <c r="F161" s="18"/>
      <c r="G161" s="18"/>
      <c r="H161" s="18"/>
      <c r="I161" s="18"/>
      <c r="J161" s="18"/>
      <c r="K161" s="18"/>
      <c r="L161" s="20"/>
    </row>
    <row r="162">
      <c r="A162" s="22"/>
      <c r="B162" s="18"/>
      <c r="C162" s="19"/>
      <c r="D162" s="18"/>
      <c r="E162" s="18"/>
      <c r="F162" s="18"/>
      <c r="G162" s="18"/>
      <c r="H162" s="18"/>
      <c r="I162" s="18"/>
      <c r="J162" s="18"/>
      <c r="K162" s="18"/>
      <c r="L162" s="20"/>
    </row>
    <row r="163">
      <c r="A163" s="22"/>
      <c r="B163" s="18"/>
      <c r="C163" s="19"/>
      <c r="D163" s="18"/>
      <c r="E163" s="18"/>
      <c r="F163" s="18"/>
      <c r="G163" s="18"/>
      <c r="H163" s="18"/>
      <c r="I163" s="18"/>
      <c r="J163" s="18"/>
      <c r="K163" s="18"/>
      <c r="L163" s="20"/>
    </row>
    <row r="164">
      <c r="A164" s="22"/>
      <c r="B164" s="18"/>
      <c r="C164" s="19"/>
      <c r="D164" s="18"/>
      <c r="E164" s="18"/>
      <c r="F164" s="18"/>
      <c r="G164" s="18"/>
      <c r="H164" s="18"/>
      <c r="I164" s="18"/>
      <c r="J164" s="18"/>
      <c r="K164" s="18"/>
      <c r="L164" s="20"/>
    </row>
    <row r="165">
      <c r="A165" s="22"/>
      <c r="B165" s="18"/>
      <c r="C165" s="19"/>
      <c r="D165" s="18"/>
      <c r="E165" s="18"/>
      <c r="F165" s="18"/>
      <c r="G165" s="18"/>
      <c r="H165" s="18"/>
      <c r="I165" s="18"/>
      <c r="J165" s="18"/>
      <c r="K165" s="18"/>
      <c r="L165" s="20"/>
    </row>
    <row r="166">
      <c r="A166" s="22"/>
      <c r="B166" s="18"/>
      <c r="C166" s="19"/>
      <c r="D166" s="18"/>
      <c r="E166" s="18"/>
      <c r="F166" s="18"/>
      <c r="G166" s="18"/>
      <c r="H166" s="18"/>
      <c r="I166" s="18"/>
      <c r="J166" s="18"/>
      <c r="K166" s="18"/>
      <c r="L166" s="20"/>
    </row>
    <row r="167">
      <c r="A167" s="22"/>
      <c r="B167" s="18"/>
      <c r="C167" s="19"/>
      <c r="D167" s="18"/>
      <c r="E167" s="18"/>
      <c r="F167" s="18"/>
      <c r="G167" s="18"/>
      <c r="H167" s="18"/>
      <c r="I167" s="18"/>
      <c r="J167" s="18"/>
      <c r="K167" s="18"/>
      <c r="L167" s="20"/>
    </row>
    <row r="168">
      <c r="A168" s="22"/>
      <c r="B168" s="18"/>
      <c r="C168" s="19"/>
      <c r="D168" s="18"/>
      <c r="E168" s="18"/>
      <c r="F168" s="18"/>
      <c r="G168" s="18"/>
      <c r="H168" s="18"/>
      <c r="I168" s="18"/>
      <c r="J168" s="18"/>
      <c r="K168" s="18"/>
      <c r="L168" s="20"/>
      <c r="M168" s="20"/>
      <c r="N168" s="20"/>
      <c r="O168" s="20"/>
      <c r="P168" s="20"/>
    </row>
  </sheetData>
  <customSheetViews>
    <customSheetView guid="{E14388D8-62FF-4A1F-A3D9-15D54481802D}" filter="1" showAutoFilter="1">
      <autoFilter ref="#REF!"/>
    </customSheetView>
  </customSheetViews>
  <mergeCells count="182">
    <mergeCell ref="L37:P37"/>
    <mergeCell ref="L38:P38"/>
    <mergeCell ref="L30:P30"/>
    <mergeCell ref="L31:P31"/>
    <mergeCell ref="L32:P32"/>
    <mergeCell ref="L33:P33"/>
    <mergeCell ref="L34:P34"/>
    <mergeCell ref="L35:P35"/>
    <mergeCell ref="L36:P36"/>
    <mergeCell ref="L46:P46"/>
    <mergeCell ref="L47:P47"/>
    <mergeCell ref="L39:P39"/>
    <mergeCell ref="L40:P40"/>
    <mergeCell ref="L41:P41"/>
    <mergeCell ref="L42:P42"/>
    <mergeCell ref="L43:P43"/>
    <mergeCell ref="L44:P44"/>
    <mergeCell ref="L45:P45"/>
    <mergeCell ref="L55:P55"/>
    <mergeCell ref="L56:P56"/>
    <mergeCell ref="L48:P48"/>
    <mergeCell ref="L49:P49"/>
    <mergeCell ref="L50:P50"/>
    <mergeCell ref="L51:P51"/>
    <mergeCell ref="L52:P52"/>
    <mergeCell ref="L53:P53"/>
    <mergeCell ref="L54:P54"/>
    <mergeCell ref="L64:P64"/>
    <mergeCell ref="L65:P65"/>
    <mergeCell ref="L57:P57"/>
    <mergeCell ref="L58:P58"/>
    <mergeCell ref="L59:P59"/>
    <mergeCell ref="L60:P60"/>
    <mergeCell ref="L61:P61"/>
    <mergeCell ref="L62:P62"/>
    <mergeCell ref="L63:P63"/>
    <mergeCell ref="L73:P73"/>
    <mergeCell ref="L74:P74"/>
    <mergeCell ref="L66:P66"/>
    <mergeCell ref="L67:P67"/>
    <mergeCell ref="L68:P68"/>
    <mergeCell ref="L69:P69"/>
    <mergeCell ref="L70:P70"/>
    <mergeCell ref="L71:P71"/>
    <mergeCell ref="L72:P72"/>
    <mergeCell ref="L82:P82"/>
    <mergeCell ref="L83:P83"/>
    <mergeCell ref="L75:P75"/>
    <mergeCell ref="L76:P76"/>
    <mergeCell ref="L77:P77"/>
    <mergeCell ref="L78:P78"/>
    <mergeCell ref="L79:P79"/>
    <mergeCell ref="L80:P80"/>
    <mergeCell ref="L81:P81"/>
    <mergeCell ref="L91:P91"/>
    <mergeCell ref="L92:P92"/>
    <mergeCell ref="L84:P84"/>
    <mergeCell ref="L85:P85"/>
    <mergeCell ref="L86:P86"/>
    <mergeCell ref="L87:P87"/>
    <mergeCell ref="L88:P88"/>
    <mergeCell ref="L89:P89"/>
    <mergeCell ref="L90:P90"/>
    <mergeCell ref="L163:P163"/>
    <mergeCell ref="L164:P164"/>
    <mergeCell ref="L156:P156"/>
    <mergeCell ref="L157:P157"/>
    <mergeCell ref="L158:P158"/>
    <mergeCell ref="L159:P159"/>
    <mergeCell ref="L160:P160"/>
    <mergeCell ref="L161:P161"/>
    <mergeCell ref="L162:P162"/>
    <mergeCell ref="R1:S1"/>
    <mergeCell ref="Q2:Z168"/>
    <mergeCell ref="A1:C2"/>
    <mergeCell ref="D1:D2"/>
    <mergeCell ref="E1:H2"/>
    <mergeCell ref="I1:L1"/>
    <mergeCell ref="M1:M2"/>
    <mergeCell ref="N1:P2"/>
    <mergeCell ref="I2:L2"/>
    <mergeCell ref="A3:A4"/>
    <mergeCell ref="B3:B4"/>
    <mergeCell ref="C3:C4"/>
    <mergeCell ref="D3:D4"/>
    <mergeCell ref="E3:G3"/>
    <mergeCell ref="H3:H4"/>
    <mergeCell ref="I3:I4"/>
    <mergeCell ref="J3:J4"/>
    <mergeCell ref="K3:K4"/>
    <mergeCell ref="L3:P4"/>
    <mergeCell ref="L5:P5"/>
    <mergeCell ref="L6:P6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18:P18"/>
    <mergeCell ref="L19:P19"/>
    <mergeCell ref="L20:P20"/>
    <mergeCell ref="L21:P21"/>
    <mergeCell ref="L22:P22"/>
    <mergeCell ref="L165:P165"/>
    <mergeCell ref="L166:P166"/>
    <mergeCell ref="L167:P167"/>
    <mergeCell ref="L23:P23"/>
    <mergeCell ref="L24:P24"/>
    <mergeCell ref="L25:P25"/>
    <mergeCell ref="L26:P26"/>
    <mergeCell ref="L27:P27"/>
    <mergeCell ref="L28:P28"/>
    <mergeCell ref="L29:P29"/>
    <mergeCell ref="L100:P100"/>
    <mergeCell ref="L101:P101"/>
    <mergeCell ref="L93:P93"/>
    <mergeCell ref="L94:P94"/>
    <mergeCell ref="L95:P95"/>
    <mergeCell ref="L96:P96"/>
    <mergeCell ref="L97:P97"/>
    <mergeCell ref="L98:P98"/>
    <mergeCell ref="L99:P99"/>
    <mergeCell ref="L109:P109"/>
    <mergeCell ref="L110:P110"/>
    <mergeCell ref="L102:P102"/>
    <mergeCell ref="L103:P103"/>
    <mergeCell ref="L104:P104"/>
    <mergeCell ref="L105:P105"/>
    <mergeCell ref="L106:P106"/>
    <mergeCell ref="L107:P107"/>
    <mergeCell ref="L108:P108"/>
    <mergeCell ref="L118:P118"/>
    <mergeCell ref="L119:P119"/>
    <mergeCell ref="L111:P111"/>
    <mergeCell ref="L112:P112"/>
    <mergeCell ref="L113:P113"/>
    <mergeCell ref="L114:P114"/>
    <mergeCell ref="L115:P115"/>
    <mergeCell ref="L116:P116"/>
    <mergeCell ref="L117:P117"/>
    <mergeCell ref="L127:P127"/>
    <mergeCell ref="L128:P128"/>
    <mergeCell ref="L120:P120"/>
    <mergeCell ref="L121:P121"/>
    <mergeCell ref="L122:P122"/>
    <mergeCell ref="L123:P123"/>
    <mergeCell ref="L124:P124"/>
    <mergeCell ref="L125:P125"/>
    <mergeCell ref="L126:P126"/>
    <mergeCell ref="L136:P136"/>
    <mergeCell ref="L137:P137"/>
    <mergeCell ref="L129:P129"/>
    <mergeCell ref="L130:P130"/>
    <mergeCell ref="L131:P131"/>
    <mergeCell ref="L132:P132"/>
    <mergeCell ref="L133:P133"/>
    <mergeCell ref="L134:P134"/>
    <mergeCell ref="L135:P135"/>
    <mergeCell ref="L145:P145"/>
    <mergeCell ref="L146:P146"/>
    <mergeCell ref="L138:P138"/>
    <mergeCell ref="L139:P139"/>
    <mergeCell ref="L140:P140"/>
    <mergeCell ref="L141:P141"/>
    <mergeCell ref="L142:P142"/>
    <mergeCell ref="L143:P143"/>
    <mergeCell ref="L144:P144"/>
    <mergeCell ref="L154:P154"/>
    <mergeCell ref="L155:P155"/>
    <mergeCell ref="L147:P147"/>
    <mergeCell ref="L148:P148"/>
    <mergeCell ref="L149:P149"/>
    <mergeCell ref="L150:P150"/>
    <mergeCell ref="L151:P151"/>
    <mergeCell ref="L152:P152"/>
    <mergeCell ref="L153:P153"/>
  </mergeCells>
  <conditionalFormatting sqref="H5:H136">
    <cfRule type="containsText" dxfId="0" priority="1" operator="containsText" text="Copper">
      <formula>NOT(ISERROR(SEARCH(("Copper"),(H5))))</formula>
    </cfRule>
  </conditionalFormatting>
  <conditionalFormatting sqref="H5:H136">
    <cfRule type="containsText" dxfId="1" priority="2" operator="containsText" text="Wood">
      <formula>NOT(ISERROR(SEARCH(("Wood"),(H5))))</formula>
    </cfRule>
  </conditionalFormatting>
  <conditionalFormatting sqref="H5:H136">
    <cfRule type="containsText" dxfId="2" priority="3" operator="containsText" text="Fiber">
      <formula>NOT(ISERROR(SEARCH(("Fiber"),(H5))))</formula>
    </cfRule>
  </conditionalFormatting>
  <conditionalFormatting sqref="H5:H136">
    <cfRule type="containsText" dxfId="3" priority="4" operator="containsText" text="Oil">
      <formula>NOT(ISERROR(SEARCH(("Oil"),(H5))))</formula>
    </cfRule>
  </conditionalFormatting>
  <conditionalFormatting sqref="H5:H136">
    <cfRule type="containsText" dxfId="4" priority="5" operator="containsText" text="Aluminum">
      <formula>NOT(ISERROR(SEARCH(("Aluminum"),(H5))))</formula>
    </cfRule>
  </conditionalFormatting>
  <conditionalFormatting sqref="H5:H136">
    <cfRule type="containsText" dxfId="5" priority="6" operator="containsText" text="Iron">
      <formula>NOT(ISERROR(SEARCH(("Iron"),(H5))))</formula>
    </cfRule>
  </conditionalFormatting>
  <conditionalFormatting sqref="H5:H136">
    <cfRule type="containsText" dxfId="6" priority="7" operator="containsText" text="All">
      <formula>NOT(ISERROR(SEARCH(("All"),(H5))))</formula>
    </cfRule>
  </conditionalFormatting>
  <conditionalFormatting sqref="H5:H136">
    <cfRule type="containsText" dxfId="7" priority="8" operator="containsText" text="×">
      <formula>NOT(ISERROR(SEARCH(("×"),(H5))))</formula>
    </cfRule>
  </conditionalFormatting>
  <conditionalFormatting sqref="H5:H136">
    <cfRule type="expression" dxfId="8" priority="9">
      <formula>not(isblank($B5))</formula>
    </cfRule>
  </conditionalFormatting>
  <conditionalFormatting sqref="J5:K168">
    <cfRule type="containsText" dxfId="9" priority="10" operator="containsText" text="Blue">
      <formula>NOT(ISERROR(SEARCH(("Blue"),(J5))))</formula>
    </cfRule>
  </conditionalFormatting>
  <conditionalFormatting sqref="J5:K168">
    <cfRule type="containsText" dxfId="10" priority="11" operator="containsText" text="Green">
      <formula>NOT(ISERROR(SEARCH(("Green"),(J5))))</formula>
    </cfRule>
  </conditionalFormatting>
  <conditionalFormatting sqref="J5:K168">
    <cfRule type="containsText" dxfId="11" priority="12" operator="containsText" text="Black">
      <formula>NOT(ISERROR(SEARCH(("Black"),(J5))))</formula>
    </cfRule>
  </conditionalFormatting>
  <conditionalFormatting sqref="J5:K168">
    <cfRule type="containsText" dxfId="12" priority="13" operator="containsText" text="Red">
      <formula>NOT(ISERROR(SEARCH(("Red"),(J5))))</formula>
    </cfRule>
  </conditionalFormatting>
  <conditionalFormatting sqref="J5:K167">
    <cfRule type="containsText" dxfId="13" priority="14" operator="containsText" text="44CE">
      <formula>NOT(ISERROR(SEARCH(("44CE"),(J5))))</formula>
    </cfRule>
  </conditionalFormatting>
  <conditionalFormatting sqref="E5:G168">
    <cfRule type="notContainsBlanks" dxfId="14" priority="15">
      <formula>LEN(TRIM(E5))&gt;0</formula>
    </cfRule>
  </conditionalFormatting>
  <conditionalFormatting sqref="I5:I168">
    <cfRule type="notContainsBlanks" dxfId="13" priority="16">
      <formula>LEN(TRIM(I5))&gt;0</formula>
    </cfRule>
  </conditionalFormatting>
  <conditionalFormatting sqref="A5:P168">
    <cfRule type="expression" dxfId="15" priority="17">
      <formula>$D5="Divider"</formula>
    </cfRule>
  </conditionalFormatting>
  <conditionalFormatting sqref="A5:P168">
    <cfRule type="expression" dxfId="16" priority="18">
      <formula>$D5="44CE"</formula>
    </cfRule>
  </conditionalFormatting>
  <conditionalFormatting sqref="A5:P168">
    <cfRule type="expression" dxfId="17" priority="19">
      <formula>$D5="M"</formula>
    </cfRule>
  </conditionalFormatting>
  <conditionalFormatting sqref="A5:P168">
    <cfRule type="expression" dxfId="18" priority="20">
      <formula>AND($B5=1,isblank($D5))</formula>
    </cfRule>
  </conditionalFormatting>
  <conditionalFormatting sqref="A5:P168">
    <cfRule type="expression" dxfId="19" priority="21">
      <formula>AND($B5=2,isblank($D5))</formula>
    </cfRule>
  </conditionalFormatting>
  <conditionalFormatting sqref="A5:P168">
    <cfRule type="expression" dxfId="20" priority="22">
      <formula>AND($B5=3,isblank($D5))</formula>
    </cfRule>
  </conditionalFormatting>
  <conditionalFormatting sqref="A5:P168">
    <cfRule type="expression" dxfId="18" priority="23">
      <formula>AND($B5=4,isblank($D5))</formula>
    </cfRule>
  </conditionalFormatting>
  <conditionalFormatting sqref="A5:P168">
    <cfRule type="expression" dxfId="21" priority="24">
      <formula>AND($B5=5,isblank($D5))</formula>
    </cfRule>
  </conditionalFormatting>
  <conditionalFormatting sqref="A5:P168">
    <cfRule type="expression" dxfId="18" priority="25">
      <formula>AND($B5=6,isblank($D5))</formula>
    </cfRule>
  </conditionalFormatting>
  <conditionalFormatting sqref="A5:P168">
    <cfRule type="expression" dxfId="20" priority="26">
      <formula>AND($B5=7,isblank($D5))</formula>
    </cfRule>
  </conditionalFormatting>
  <conditionalFormatting sqref="A5:P168">
    <cfRule type="expression" dxfId="8" priority="27">
      <formula>not(isblank($B5))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75"/>
  <cols>
    <col customWidth="1" min="1" max="1" width="3.14"/>
    <col customWidth="1" hidden="1" min="2" max="2" width="2.71"/>
    <col customWidth="1" min="3" max="3" width="15.29"/>
    <col customWidth="1" hidden="1" min="4" max="4" width="11.57"/>
    <col customWidth="1" min="5" max="7" width="4.43"/>
    <col customWidth="1" min="8" max="8" width="11.29"/>
    <col customWidth="1" min="9" max="9" width="4.43"/>
    <col customWidth="1" min="10" max="10" width="10.43"/>
    <col customWidth="1" min="11" max="12" width="6.57"/>
    <col customWidth="1" min="13" max="13" width="7.57"/>
    <col customWidth="1" min="14" max="15" width="14.43"/>
    <col customWidth="1" min="16" max="16" width="31.57"/>
    <col customWidth="1" min="17" max="17" width="14.43"/>
  </cols>
  <sheetData>
    <row r="1" ht="15.75" customHeight="1">
      <c r="A1" s="24" t="str">
        <f>text(Floor_data!$O$4+1,"ddddddddd")</f>
        <v>Tuesday</v>
      </c>
      <c r="D1" s="25">
        <f>IF(VLOOKUP(Floor_data!$O$4,Floor_data!$N$11:$O$17,1,TRUE)+1 &gt;7,VLOOKUP(Floor_data!$O$4,Floor_data!$N$11:$O$17,1,TRUE)-6,VLOOKUP(Floor_data!$O$4,Floor_data!$N$11:$O$17,1,TRUE)+1)</f>
        <v>3</v>
      </c>
      <c r="E1" s="26" t="s">
        <v>17</v>
      </c>
      <c r="I1" s="27" t="s">
        <v>18</v>
      </c>
      <c r="M1" s="5" t="s">
        <v>2</v>
      </c>
      <c r="N1" s="28" t="str">
        <f>VLOOKUP($D$1,Floor_data!$N$11:$P$17,3,FALSE)</f>
        <v>4F Kyowa-Jima and 13F Okusa: Golden Beasts
6F Heimo-Jima: Scratch Tubers</v>
      </c>
      <c r="Q1" s="7" t="s">
        <v>3</v>
      </c>
      <c r="R1" s="8" t="str">
        <f>VLOOKUP($D$1,Floor_data!$N$11:$Q$17,4,FALSE)</f>
        <v>https://i.imgur.com/BZ9Uubj.png</v>
      </c>
    </row>
    <row r="2" ht="15.75" customHeight="1">
      <c r="I2" s="29" t="str">
        <f>""&amp;int(left(text(time(6,0,0)-now(),"HH:MM"),2))&amp;" hours and "&amp;int(right(text(time(6,0,0)-now(),"HH:MM"),2))&amp;" minutes"</f>
        <v>20 hours and 44 minutes</v>
      </c>
      <c r="Q2" s="9" t="str">
        <f>IMAGE(VLOOKUP($D$1,Floor_data!$N$11:$Q$17,4,FALSE),4,3520,1010)</f>
        <v/>
      </c>
    </row>
    <row r="3">
      <c r="A3" s="10" t="s">
        <v>4</v>
      </c>
      <c r="B3" s="10" t="s">
        <v>5</v>
      </c>
      <c r="C3" s="10" t="s">
        <v>6</v>
      </c>
      <c r="D3" s="10" t="s">
        <v>7</v>
      </c>
      <c r="E3" s="11" t="s">
        <v>8</v>
      </c>
      <c r="H3" s="10" t="s">
        <v>9</v>
      </c>
      <c r="I3" s="12" t="s">
        <v>10</v>
      </c>
      <c r="J3" s="13" t="s">
        <v>11</v>
      </c>
      <c r="K3" s="14" t="s">
        <v>12</v>
      </c>
      <c r="L3" s="15" t="s">
        <v>13</v>
      </c>
    </row>
    <row r="4">
      <c r="E4" s="16" t="s">
        <v>14</v>
      </c>
      <c r="F4" s="16" t="s">
        <v>15</v>
      </c>
      <c r="G4" s="16" t="s">
        <v>16</v>
      </c>
    </row>
    <row r="5">
      <c r="A5" s="17">
        <f>IFERROR(__xludf.DUMMYFUNCTION("QUERY(Floor_data!$A$2:$L$315,""select A,B,C,D,E,F,G,H,I,J,K,L where B=0 or B=""&amp;$D$1&amp;"""")"),41.0)</f>
        <v>41</v>
      </c>
      <c r="B5" s="18">
        <f>IFERROR(__xludf.DUMMYFUNCTION("""COMPUTED_VALUE"""),0.0)</f>
        <v>0</v>
      </c>
      <c r="C5" s="19" t="str">
        <f>IFERROR(__xludf.DUMMYFUNCTION("""COMPUTED_VALUE"""),"Chojo")</f>
        <v>Chojo</v>
      </c>
      <c r="D5" s="18"/>
      <c r="E5" s="18"/>
      <c r="F5" s="18"/>
      <c r="G5" s="18"/>
      <c r="H5" s="18" t="str">
        <f>IFERROR(__xludf.DUMMYFUNCTION("""COMPUTED_VALUE"""),"×")</f>
        <v>×</v>
      </c>
      <c r="I5" s="18"/>
      <c r="J5" s="18"/>
      <c r="K5" s="18"/>
      <c r="L5" s="20" t="str">
        <f>IFERROR(__xludf.DUMMYFUNCTION("""COMPUTED_VALUE"""),"Final floor of the main game.")</f>
        <v>Final floor of the main game.</v>
      </c>
    </row>
    <row r="6">
      <c r="A6" s="17">
        <f>IFERROR(__xludf.DUMMYFUNCTION("""COMPUTED_VALUE"""),40.0)</f>
        <v>40</v>
      </c>
      <c r="B6" s="18">
        <f>IFERROR(__xludf.DUMMYFUNCTION("""COMPUTED_VALUE"""),0.0)</f>
        <v>0</v>
      </c>
      <c r="C6" s="19" t="str">
        <f>IFERROR(__xludf.DUMMYFUNCTION("""COMPUTED_VALUE"""),"Futagi")</f>
        <v>Futagi</v>
      </c>
      <c r="D6" s="18" t="str">
        <f>IFERROR(__xludf.DUMMYFUNCTION("""COMPUTED_VALUE"""),"M")</f>
        <v>M</v>
      </c>
      <c r="E6" s="18"/>
      <c r="F6" s="18">
        <f>IFERROR(__xludf.DUMMYFUNCTION("""COMPUTED_VALUE"""),4.6)</f>
        <v>4.6</v>
      </c>
      <c r="G6" s="18" t="str">
        <f>IFERROR(__xludf.DUMMYFUNCTION("""COMPUTED_VALUE"""),"●")</f>
        <v>●</v>
      </c>
      <c r="H6" s="18" t="str">
        <f>IFERROR(__xludf.DUMMYFUNCTION("""COMPUTED_VALUE"""),"×")</f>
        <v>×</v>
      </c>
      <c r="I6" s="18"/>
      <c r="J6" s="18" t="str">
        <f>IFERROR(__xludf.DUMMYFUNCTION("""COMPUTED_VALUE"""),"MILK Red")</f>
        <v>MILK Red</v>
      </c>
      <c r="K6" s="18"/>
      <c r="L6" s="20" t="str">
        <f>IFERROR(__xludf.DUMMYFUNCTION("""COMPUTED_VALUE"""),"BOSS: Taro Gunkanyama. Must kill 38F JIN-DIE to unlock the floor.")</f>
        <v>BOSS: Taro Gunkanyama. Must kill 38F JIN-DIE to unlock the floor.</v>
      </c>
    </row>
    <row r="7">
      <c r="A7" s="17">
        <f>IFERROR(__xludf.DUMMYFUNCTION("""COMPUTED_VALUE"""),40.0)</f>
        <v>40</v>
      </c>
      <c r="B7" s="18">
        <f>IFERROR(__xludf.DUMMYFUNCTION("""COMPUTED_VALUE"""),3.0)</f>
        <v>3</v>
      </c>
      <c r="C7" s="19" t="str">
        <f>IFERROR(__xludf.DUMMYFUNCTION("""COMPUTED_VALUE"""),"Kakino-Misaki")</f>
        <v>Kakino-Misaki</v>
      </c>
      <c r="D7" s="18"/>
      <c r="E7" s="18"/>
      <c r="F7" s="18"/>
      <c r="G7" s="18"/>
      <c r="H7" s="18" t="str">
        <f>IFERROR(__xludf.DUMMYFUNCTION("""COMPUTED_VALUE"""),"Wood")</f>
        <v>Wood</v>
      </c>
      <c r="I7" s="18"/>
      <c r="J7" s="18"/>
      <c r="K7" s="18"/>
      <c r="L7" s="20"/>
    </row>
    <row r="8">
      <c r="A8" s="17">
        <f>IFERROR(__xludf.DUMMYFUNCTION("""COMPUTED_VALUE"""),39.0)</f>
        <v>39</v>
      </c>
      <c r="B8" s="18">
        <f>IFERROR(__xludf.DUMMYFUNCTION("""COMPUTED_VALUE"""),0.0)</f>
        <v>0</v>
      </c>
      <c r="C8" s="19" t="str">
        <f>IFERROR(__xludf.DUMMYFUNCTION("""COMPUTED_VALUE"""),"Nakasaki")</f>
        <v>Nakasaki</v>
      </c>
      <c r="D8" s="18" t="str">
        <f>IFERROR(__xludf.DUMMYFUNCTION("""COMPUTED_VALUE"""),"M")</f>
        <v>M</v>
      </c>
      <c r="E8" s="18"/>
      <c r="F8" s="18"/>
      <c r="G8" s="18"/>
      <c r="H8" s="18" t="str">
        <f>IFERROR(__xludf.DUMMYFUNCTION("""COMPUTED_VALUE"""),"Iron")</f>
        <v>Iron</v>
      </c>
      <c r="I8" s="18"/>
      <c r="J8" s="18"/>
      <c r="K8" s="18"/>
      <c r="L8" s="20"/>
    </row>
    <row r="9">
      <c r="A9" s="17">
        <f>IFERROR(__xludf.DUMMYFUNCTION("""COMPUTED_VALUE"""),39.0)</f>
        <v>39</v>
      </c>
      <c r="B9" s="18">
        <f>IFERROR(__xludf.DUMMYFUNCTION("""COMPUTED_VALUE"""),0.0)</f>
        <v>0</v>
      </c>
      <c r="C9" s="19" t="str">
        <f>IFERROR(__xludf.DUMMYFUNCTION("""COMPUTED_VALUE"""),"Haratsuka")</f>
        <v>Haratsuka</v>
      </c>
      <c r="D9" s="18"/>
      <c r="E9" s="18"/>
      <c r="F9" s="18">
        <f>IFERROR(__xludf.DUMMYFUNCTION("""COMPUTED_VALUE"""),4.5)</f>
        <v>4.5</v>
      </c>
      <c r="G9" s="18"/>
      <c r="H9" s="18" t="str">
        <f>IFERROR(__xludf.DUMMYFUNCTION("""COMPUTED_VALUE"""),"Oil")</f>
        <v>Oil</v>
      </c>
      <c r="I9" s="18" t="str">
        <f>IFERROR(__xludf.DUMMYFUNCTION("""COMPUTED_VALUE"""),"G")</f>
        <v>G</v>
      </c>
      <c r="J9" s="18"/>
      <c r="K9" s="18"/>
      <c r="L9" s="20" t="str">
        <f>IFERROR(__xludf.DUMMYFUNCTION("""COMPUTED_VALUE"""),"Gyakufunsha can appear. Three Mk-5 Bullet Tubers.")</f>
        <v>Gyakufunsha can appear. Three Mk-5 Bullet Tubers.</v>
      </c>
    </row>
    <row r="10">
      <c r="A10" s="17">
        <f>IFERROR(__xludf.DUMMYFUNCTION("""COMPUTED_VALUE"""),38.0)</f>
        <v>38</v>
      </c>
      <c r="B10" s="18">
        <f>IFERROR(__xludf.DUMMYFUNCTION("""COMPUTED_VALUE"""),0.0)</f>
        <v>0</v>
      </c>
      <c r="C10" s="19" t="str">
        <f>IFERROR(__xludf.DUMMYFUNCTION("""COMPUTED_VALUE"""),"Yataka-Cho")</f>
        <v>Yataka-Cho</v>
      </c>
      <c r="D10" s="18"/>
      <c r="E10" s="18"/>
      <c r="F10" s="18"/>
      <c r="G10" s="18"/>
      <c r="H10" s="18" t="str">
        <f>IFERROR(__xludf.DUMMYFUNCTION("""COMPUTED_VALUE"""),"Fiber")</f>
        <v>Fiber</v>
      </c>
      <c r="I10" s="18"/>
      <c r="J10" s="18"/>
      <c r="K10" s="18" t="str">
        <f>IFERROR(__xludf.DUMMYFUNCTION("""COMPUTED_VALUE"""),"Red")</f>
        <v>Red</v>
      </c>
      <c r="L10" s="20" t="str">
        <f>IFERROR(__xludf.DUMMYFUNCTION("""COMPUTED_VALUE"""),"TRAP: Red or Black Metals. Five Screamers one after another.")</f>
        <v>TRAP: Red or Black Metals. Five Screamers one after another.</v>
      </c>
    </row>
    <row r="11">
      <c r="A11" s="17">
        <f>IFERROR(__xludf.DUMMYFUNCTION("""COMPUTED_VALUE"""),38.0)</f>
        <v>38</v>
      </c>
      <c r="B11" s="18">
        <f>IFERROR(__xludf.DUMMYFUNCTION("""COMPUTED_VALUE"""),0.0)</f>
        <v>0</v>
      </c>
      <c r="C11" s="19" t="str">
        <f>IFERROR(__xludf.DUMMYFUNCTION("""COMPUTED_VALUE"""),"Ebata")</f>
        <v>Ebata</v>
      </c>
      <c r="D11" s="18"/>
      <c r="E11" s="18"/>
      <c r="F11" s="18">
        <f>IFERROR(__xludf.DUMMYFUNCTION("""COMPUTED_VALUE"""),4.4)</f>
        <v>4.4</v>
      </c>
      <c r="G11" s="18"/>
      <c r="H11" s="18" t="str">
        <f>IFERROR(__xludf.DUMMYFUNCTION("""COMPUTED_VALUE"""),"Aluminum")</f>
        <v>Aluminum</v>
      </c>
      <c r="I11" s="18"/>
      <c r="J11" s="18" t="str">
        <f>IFERROR(__xludf.DUMMYFUNCTION("""COMPUTED_VALUE"""),"WE Red")</f>
        <v>WE Red</v>
      </c>
      <c r="K11" s="18"/>
      <c r="L11" s="20" t="str">
        <f>IFERROR(__xludf.DUMMYFUNCTION("""COMPUTED_VALUE"""),"BOSS: JIN-DIE. Drops War Ensemble Red Metal. Two Mk-5 Bullet Tubers.")</f>
        <v>BOSS: JIN-DIE. Drops War Ensemble Red Metal. Two Mk-5 Bullet Tubers.</v>
      </c>
    </row>
    <row r="12">
      <c r="A12" s="17">
        <f>IFERROR(__xludf.DUMMYFUNCTION("""COMPUTED_VALUE"""),38.0)</f>
        <v>38</v>
      </c>
      <c r="B12" s="18">
        <f>IFERROR(__xludf.DUMMYFUNCTION("""COMPUTED_VALUE"""),3.0)</f>
        <v>3</v>
      </c>
      <c r="C12" s="19" t="str">
        <f>IFERROR(__xludf.DUMMYFUNCTION("""COMPUTED_VALUE"""),"Jiyu-Toge")</f>
        <v>Jiyu-Toge</v>
      </c>
      <c r="D12" s="18"/>
      <c r="E12" s="18"/>
      <c r="F12" s="18"/>
      <c r="G12" s="18" t="str">
        <f>IFERROR(__xludf.DUMMYFUNCTION("""COMPUTED_VALUE"""),"●")</f>
        <v>●</v>
      </c>
      <c r="H12" s="18" t="str">
        <f>IFERROR(__xludf.DUMMYFUNCTION("""COMPUTED_VALUE"""),"Copper")</f>
        <v>Copper</v>
      </c>
      <c r="I12" s="18"/>
      <c r="J12" s="18"/>
      <c r="K12" s="18"/>
      <c r="L12" s="20"/>
    </row>
    <row r="13">
      <c r="A13" s="17">
        <f>IFERROR(__xludf.DUMMYFUNCTION("""COMPUTED_VALUE"""),38.0)</f>
        <v>38</v>
      </c>
      <c r="B13" s="18">
        <f>IFERROR(__xludf.DUMMYFUNCTION("""COMPUTED_VALUE"""),3.0)</f>
        <v>3</v>
      </c>
      <c r="C13" s="19" t="str">
        <f>IFERROR(__xludf.DUMMYFUNCTION("""COMPUTED_VALUE"""),"Sotone")</f>
        <v>Sotone</v>
      </c>
      <c r="D13" s="18"/>
      <c r="E13" s="18"/>
      <c r="F13" s="18"/>
      <c r="G13" s="18"/>
      <c r="H13" s="18" t="str">
        <f>IFERROR(__xludf.DUMMYFUNCTION("""COMPUTED_VALUE"""),"Fiber")</f>
        <v>Fiber</v>
      </c>
      <c r="I13" s="18"/>
      <c r="J13" s="18"/>
      <c r="K13" s="18"/>
      <c r="L13" s="20" t="str">
        <f>IFERROR(__xludf.DUMMYFUNCTION("""COMPUTED_VALUE"""),"Many Leather spawns.")</f>
        <v>Many Leather spawns.</v>
      </c>
    </row>
    <row r="14">
      <c r="A14" s="17">
        <f>IFERROR(__xludf.DUMMYFUNCTION("""COMPUTED_VALUE"""),37.0)</f>
        <v>37</v>
      </c>
      <c r="B14" s="18">
        <f>IFERROR(__xludf.DUMMYFUNCTION("""COMPUTED_VALUE"""),0.0)</f>
        <v>0</v>
      </c>
      <c r="C14" s="19" t="str">
        <f>IFERROR(__xludf.DUMMYFUNCTION("""COMPUTED_VALUE"""),"Hiromatsu")</f>
        <v>Hiromatsu</v>
      </c>
      <c r="D14" s="18" t="str">
        <f>IFERROR(__xludf.DUMMYFUNCTION("""COMPUTED_VALUE"""),"M")</f>
        <v>M</v>
      </c>
      <c r="E14" s="18"/>
      <c r="F14" s="18">
        <f>IFERROR(__xludf.DUMMYFUNCTION("""COMPUTED_VALUE"""),4.3)</f>
        <v>4.3</v>
      </c>
      <c r="G14" s="18"/>
      <c r="H14" s="18" t="str">
        <f>IFERROR(__xludf.DUMMYFUNCTION("""COMPUTED_VALUE"""),"All")</f>
        <v>All</v>
      </c>
      <c r="I14" s="18"/>
      <c r="J14" s="18"/>
      <c r="K14" s="18"/>
      <c r="L14" s="20" t="str">
        <f>IFERROR(__xludf.DUMMYFUNCTION("""COMPUTED_VALUE"""),"Must unlock from 36F Itanodai.")</f>
        <v>Must unlock from 36F Itanodai.</v>
      </c>
    </row>
    <row r="15">
      <c r="A15" s="17">
        <f>IFERROR(__xludf.DUMMYFUNCTION("""COMPUTED_VALUE"""),37.0)</f>
        <v>37</v>
      </c>
      <c r="B15" s="18">
        <f>IFERROR(__xludf.DUMMYFUNCTION("""COMPUTED_VALUE"""),0.0)</f>
        <v>0</v>
      </c>
      <c r="C15" s="19" t="str">
        <f>IFERROR(__xludf.DUMMYFUNCTION("""COMPUTED_VALUE"""),"Mitsuba")</f>
        <v>Mitsuba</v>
      </c>
      <c r="D15" s="18"/>
      <c r="E15" s="18"/>
      <c r="F15" s="18"/>
      <c r="G15" s="18"/>
      <c r="H15" s="18" t="str">
        <f>IFERROR(__xludf.DUMMYFUNCTION("""COMPUTED_VALUE"""),"Oil")</f>
        <v>Oil</v>
      </c>
      <c r="I15" s="18"/>
      <c r="J15" s="18"/>
      <c r="K15" s="18"/>
      <c r="L15" s="20"/>
    </row>
    <row r="16">
      <c r="A16" s="17">
        <f>IFERROR(__xludf.DUMMYFUNCTION("""COMPUTED_VALUE"""),36.0)</f>
        <v>36</v>
      </c>
      <c r="B16" s="18">
        <f>IFERROR(__xludf.DUMMYFUNCTION("""COMPUTED_VALUE"""),0.0)</f>
        <v>0</v>
      </c>
      <c r="C16" s="19" t="str">
        <f>IFERROR(__xludf.DUMMYFUNCTION("""COMPUTED_VALUE"""),"Yatsuo")</f>
        <v>Yatsuo</v>
      </c>
      <c r="D16" s="18" t="str">
        <f>IFERROR(__xludf.DUMMYFUNCTION("""COMPUTED_VALUE"""),"M")</f>
        <v>M</v>
      </c>
      <c r="E16" s="18">
        <f>IFERROR(__xludf.DUMMYFUNCTION("""COMPUTED_VALUE"""),8.0)</f>
        <v>8</v>
      </c>
      <c r="F16" s="18"/>
      <c r="G16" s="18" t="str">
        <f>IFERROR(__xludf.DUMMYFUNCTION("""COMPUTED_VALUE"""),"●")</f>
        <v>●</v>
      </c>
      <c r="H16" s="18" t="str">
        <f>IFERROR(__xludf.DUMMYFUNCTION("""COMPUTED_VALUE"""),"All")</f>
        <v>All</v>
      </c>
      <c r="I16" s="18"/>
      <c r="J16" s="18"/>
      <c r="K16" s="18"/>
      <c r="L16" s="20" t="str">
        <f>IFERROR(__xludf.DUMMYFUNCTION("""COMPUTED_VALUE"""),"Only properly connects to 35F Wakaba on Monday.")</f>
        <v>Only properly connects to 35F Wakaba on Monday.</v>
      </c>
    </row>
    <row r="17">
      <c r="A17" s="17">
        <f>IFERROR(__xludf.DUMMYFUNCTION("""COMPUTED_VALUE"""),36.0)</f>
        <v>36</v>
      </c>
      <c r="B17" s="18">
        <f>IFERROR(__xludf.DUMMYFUNCTION("""COMPUTED_VALUE"""),0.0)</f>
        <v>0</v>
      </c>
      <c r="C17" s="19" t="str">
        <f>IFERROR(__xludf.DUMMYFUNCTION("""COMPUTED_VALUE"""),"Itanodai")</f>
        <v>Itanodai</v>
      </c>
      <c r="D17" s="18"/>
      <c r="E17" s="18"/>
      <c r="F17" s="18">
        <f>IFERROR(__xludf.DUMMYFUNCTION("""COMPUTED_VALUE"""),4.2)</f>
        <v>4.2</v>
      </c>
      <c r="G17" s="18"/>
      <c r="H17" s="18" t="str">
        <f>IFERROR(__xludf.DUMMYFUNCTION("""COMPUTED_VALUE"""),"Wood")</f>
        <v>Wood</v>
      </c>
      <c r="I17" s="18"/>
      <c r="J17" s="18" t="str">
        <f>IFERROR(__xludf.DUMMYFUNCTION("""COMPUTED_VALUE"""),"CW Red ")</f>
        <v>CW Red </v>
      </c>
      <c r="K17" s="18"/>
      <c r="L17" s="20" t="str">
        <f>IFERROR(__xludf.DUMMYFUNCTION("""COMPUTED_VALUE"""),"BOSS: GOTO-9. Drops Candle Wolf Red Metal.")</f>
        <v>BOSS: GOTO-9. Drops Candle Wolf Red Metal.</v>
      </c>
    </row>
    <row r="18">
      <c r="A18" s="17">
        <f>IFERROR(__xludf.DUMMYFUNCTION("""COMPUTED_VALUE"""),36.0)</f>
        <v>36</v>
      </c>
      <c r="B18" s="18">
        <f>IFERROR(__xludf.DUMMYFUNCTION("""COMPUTED_VALUE"""),0.0)</f>
        <v>0</v>
      </c>
      <c r="C18" s="19" t="str">
        <f>IFERROR(__xludf.DUMMYFUNCTION("""COMPUTED_VALUE"""),"Hiranuma")</f>
        <v>Hiranuma</v>
      </c>
      <c r="D18" s="18"/>
      <c r="E18" s="18"/>
      <c r="F18" s="18"/>
      <c r="G18" s="18"/>
      <c r="H18" s="18" t="str">
        <f>IFERROR(__xludf.DUMMYFUNCTION("""COMPUTED_VALUE"""),"Copper")</f>
        <v>Copper</v>
      </c>
      <c r="I18" s="18"/>
      <c r="J18" s="18"/>
      <c r="K18" s="18"/>
      <c r="L18" s="20"/>
    </row>
    <row r="19">
      <c r="A19" s="17">
        <f>IFERROR(__xludf.DUMMYFUNCTION("""COMPUTED_VALUE"""),35.0)</f>
        <v>35</v>
      </c>
      <c r="B19" s="18">
        <f>IFERROR(__xludf.DUMMYFUNCTION("""COMPUTED_VALUE"""),0.0)</f>
        <v>0</v>
      </c>
      <c r="C19" s="19" t="str">
        <f>IFERROR(__xludf.DUMMYFUNCTION("""COMPUTED_VALUE"""),"Shina-Yama")</f>
        <v>Shina-Yama</v>
      </c>
      <c r="D19" s="18"/>
      <c r="E19" s="18"/>
      <c r="F19" s="18">
        <f>IFERROR(__xludf.DUMMYFUNCTION("""COMPUTED_VALUE"""),4.1)</f>
        <v>4.1</v>
      </c>
      <c r="G19" s="18"/>
      <c r="H19" s="18" t="str">
        <f>IFERROR(__xludf.DUMMYFUNCTION("""COMPUTED_VALUE"""),"Aluminum")</f>
        <v>Aluminum</v>
      </c>
      <c r="I19" s="18"/>
      <c r="J19" s="18"/>
      <c r="K19" s="18"/>
      <c r="L19" s="20" t="str">
        <f>IFERROR(__xludf.DUMMYFUNCTION("""COMPUTED_VALUE"""),"Must unlock from 34F Nitanda.")</f>
        <v>Must unlock from 34F Nitanda.</v>
      </c>
    </row>
    <row r="20">
      <c r="A20" s="17">
        <f>IFERROR(__xludf.DUMMYFUNCTION("""COMPUTED_VALUE"""),35.0)</f>
        <v>35</v>
      </c>
      <c r="B20" s="18">
        <f>IFERROR(__xludf.DUMMYFUNCTION("""COMPUTED_VALUE"""),0.0)</f>
        <v>0</v>
      </c>
      <c r="C20" s="19" t="str">
        <f>IFERROR(__xludf.DUMMYFUNCTION("""COMPUTED_VALUE"""),"Wakaba")</f>
        <v>Wakaba</v>
      </c>
      <c r="D20" s="18"/>
      <c r="E20" s="18">
        <f>IFERROR(__xludf.DUMMYFUNCTION("""COMPUTED_VALUE"""),7.0)</f>
        <v>7</v>
      </c>
      <c r="F20" s="18"/>
      <c r="G20" s="18" t="str">
        <f>IFERROR(__xludf.DUMMYFUNCTION("""COMPUTED_VALUE"""),"●")</f>
        <v>●</v>
      </c>
      <c r="H20" s="18" t="str">
        <f>IFERROR(__xludf.DUMMYFUNCTION("""COMPUTED_VALUE"""),"Iron")</f>
        <v>Iron</v>
      </c>
      <c r="I20" s="18"/>
      <c r="J20" s="18"/>
      <c r="K20" s="18" t="str">
        <f>IFERROR(__xludf.DUMMYFUNCTION("""COMPUTED_VALUE"""),"Red")</f>
        <v>Red</v>
      </c>
      <c r="L20" s="20" t="str">
        <f>IFERROR(__xludf.DUMMYFUNCTION("""COMPUTED_VALUE"""),"TRAP: Red or Black Metals. 4 Mk-5 Scratch, Mk-5 Hover, a Screamer.
Gate in the garden locks automatically; cannot approach from Nagazaka/Sengoku.")</f>
        <v>TRAP: Red or Black Metals. 4 Mk-5 Scratch, Mk-5 Hover, a Screamer.
Gate in the garden locks automatically; cannot approach from Nagazaka/Sengoku.</v>
      </c>
    </row>
    <row r="21">
      <c r="A21" s="17">
        <f>IFERROR(__xludf.DUMMYFUNCTION("""COMPUTED_VALUE"""),35.0)</f>
        <v>35</v>
      </c>
      <c r="B21" s="18">
        <f>IFERROR(__xludf.DUMMYFUNCTION("""COMPUTED_VALUE"""),3.0)</f>
        <v>3</v>
      </c>
      <c r="C21" s="19" t="str">
        <f>IFERROR(__xludf.DUMMYFUNCTION("""COMPUTED_VALUE"""),"Komada")</f>
        <v>Komada</v>
      </c>
      <c r="D21" s="18"/>
      <c r="E21" s="18"/>
      <c r="F21" s="18"/>
      <c r="G21" s="18"/>
      <c r="H21" s="18" t="str">
        <f>IFERROR(__xludf.DUMMYFUNCTION("""COMPUTED_VALUE"""),"Iron")</f>
        <v>Iron</v>
      </c>
      <c r="I21" s="18"/>
      <c r="J21" s="18"/>
      <c r="K21" s="18"/>
      <c r="L21" s="20" t="str">
        <f>IFERROR(__xludf.DUMMYFUNCTION("""COMPUTED_VALUE"""),"One Mk-4 Reversal Tuber.")</f>
        <v>One Mk-4 Reversal Tuber.</v>
      </c>
    </row>
    <row r="22">
      <c r="A22" s="17">
        <f>IFERROR(__xludf.DUMMYFUNCTION("""COMPUTED_VALUE"""),34.0)</f>
        <v>34</v>
      </c>
      <c r="B22" s="18">
        <f>IFERROR(__xludf.DUMMYFUNCTION("""COMPUTED_VALUE"""),0.0)</f>
        <v>0</v>
      </c>
      <c r="C22" s="19" t="str">
        <f>IFERROR(__xludf.DUMMYFUNCTION("""COMPUTED_VALUE"""),"Nitanda")</f>
        <v>Nitanda</v>
      </c>
      <c r="D22" s="18"/>
      <c r="E22" s="18"/>
      <c r="F22" s="18"/>
      <c r="G22" s="18" t="str">
        <f>IFERROR(__xludf.DUMMYFUNCTION("""COMPUTED_VALUE"""),"●")</f>
        <v>●</v>
      </c>
      <c r="H22" s="18" t="str">
        <f>IFERROR(__xludf.DUMMYFUNCTION("""COMPUTED_VALUE"""),"×")</f>
        <v>×</v>
      </c>
      <c r="I22" s="18"/>
      <c r="J22" s="18" t="str">
        <f>IFERROR(__xludf.DUMMYFUNCTION("""COMPUTED_VALUE"""),"DOD Red")</f>
        <v>DOD Red</v>
      </c>
      <c r="K22" s="18"/>
      <c r="L22" s="20" t="str">
        <f>IFERROR(__xludf.DUMMYFUNCTION("""COMPUTED_VALUE"""),"BOSS: COEN. Drops DOD ARMS Red Metal.")</f>
        <v>BOSS: COEN. Drops DOD ARMS Red Metal.</v>
      </c>
    </row>
    <row r="23">
      <c r="A23" s="17">
        <f>IFERROR(__xludf.DUMMYFUNCTION("""COMPUTED_VALUE"""),33.0)</f>
        <v>33</v>
      </c>
      <c r="B23" s="18">
        <f>IFERROR(__xludf.DUMMYFUNCTION("""COMPUTED_VALUE"""),0.0)</f>
        <v>0</v>
      </c>
      <c r="C23" s="19" t="str">
        <f>IFERROR(__xludf.DUMMYFUNCTION("""COMPUTED_VALUE"""),"Togose")</f>
        <v>Togose</v>
      </c>
      <c r="D23" s="18" t="str">
        <f>IFERROR(__xludf.DUMMYFUNCTION("""COMPUTED_VALUE"""),"M")</f>
        <v>M</v>
      </c>
      <c r="E23" s="18"/>
      <c r="F23" s="18"/>
      <c r="G23" s="18"/>
      <c r="H23" s="18" t="str">
        <f>IFERROR(__xludf.DUMMYFUNCTION("""COMPUTED_VALUE"""),"All")</f>
        <v>All</v>
      </c>
      <c r="I23" s="18"/>
      <c r="J23" s="18"/>
      <c r="K23" s="18"/>
      <c r="L23" s="20"/>
    </row>
    <row r="24">
      <c r="A24" s="17">
        <f>IFERROR(__xludf.DUMMYFUNCTION("""COMPUTED_VALUE"""),33.0)</f>
        <v>33</v>
      </c>
      <c r="B24" s="18">
        <f>IFERROR(__xludf.DUMMYFUNCTION("""COMPUTED_VALUE"""),0.0)</f>
        <v>0</v>
      </c>
      <c r="C24" s="19" t="str">
        <f>IFERROR(__xludf.DUMMYFUNCTION("""COMPUTED_VALUE"""),"Uchinobu")</f>
        <v>Uchinobu</v>
      </c>
      <c r="D24" s="18"/>
      <c r="E24" s="18"/>
      <c r="F24" s="18"/>
      <c r="G24" s="18"/>
      <c r="H24" s="18" t="str">
        <f>IFERROR(__xludf.DUMMYFUNCTION("""COMPUTED_VALUE"""),"Fiber")</f>
        <v>Fiber</v>
      </c>
      <c r="I24" s="18" t="str">
        <f>IFERROR(__xludf.DUMMYFUNCTION("""COMPUTED_VALUE"""),"G")</f>
        <v>G</v>
      </c>
      <c r="J24" s="18"/>
      <c r="K24" s="18"/>
      <c r="L24" s="20"/>
    </row>
    <row r="25">
      <c r="A25" s="17">
        <f>IFERROR(__xludf.DUMMYFUNCTION("""COMPUTED_VALUE"""),33.0)</f>
        <v>33</v>
      </c>
      <c r="B25" s="18">
        <f>IFERROR(__xludf.DUMMYFUNCTION("""COMPUTED_VALUE"""),3.0)</f>
        <v>3</v>
      </c>
      <c r="C25" s="19" t="str">
        <f>IFERROR(__xludf.DUMMYFUNCTION("""COMPUTED_VALUE"""),"Tengokuji")</f>
        <v>Tengokuji</v>
      </c>
      <c r="D25" s="18"/>
      <c r="E25" s="18"/>
      <c r="F25" s="18"/>
      <c r="G25" s="18"/>
      <c r="H25" s="18" t="str">
        <f>IFERROR(__xludf.DUMMYFUNCTION("""COMPUTED_VALUE"""),"Fiber")</f>
        <v>Fiber</v>
      </c>
      <c r="I25" s="18"/>
      <c r="J25" s="18"/>
      <c r="K25" s="18"/>
      <c r="L25" s="20"/>
    </row>
    <row r="26">
      <c r="A26" s="17">
        <f>IFERROR(__xludf.DUMMYFUNCTION("""COMPUTED_VALUE"""),33.0)</f>
        <v>33</v>
      </c>
      <c r="B26" s="18">
        <f>IFERROR(__xludf.DUMMYFUNCTION("""COMPUTED_VALUE"""),3.0)</f>
        <v>3</v>
      </c>
      <c r="C26" s="19" t="str">
        <f>IFERROR(__xludf.DUMMYFUNCTION("""COMPUTED_VALUE"""),"Kurome")</f>
        <v>Kurome</v>
      </c>
      <c r="D26" s="18"/>
      <c r="E26" s="18"/>
      <c r="F26" s="18"/>
      <c r="G26" s="18"/>
      <c r="H26" s="18" t="str">
        <f>IFERROR(__xludf.DUMMYFUNCTION("""COMPUTED_VALUE"""),"Aluminum")</f>
        <v>Aluminum</v>
      </c>
      <c r="I26" s="18"/>
      <c r="J26" s="18"/>
      <c r="K26" s="18"/>
      <c r="L26" s="20"/>
    </row>
    <row r="27">
      <c r="A27" s="17">
        <f>IFERROR(__xludf.DUMMYFUNCTION("""COMPUTED_VALUE"""),32.0)</f>
        <v>32</v>
      </c>
      <c r="B27" s="18">
        <f>IFERROR(__xludf.DUMMYFUNCTION("""COMPUTED_VALUE"""),0.0)</f>
        <v>0</v>
      </c>
      <c r="C27" s="19" t="str">
        <f>IFERROR(__xludf.DUMMYFUNCTION("""COMPUTED_VALUE"""),"Koshi-Yama")</f>
        <v>Koshi-Yama</v>
      </c>
      <c r="D27" s="18"/>
      <c r="E27" s="18"/>
      <c r="F27" s="18"/>
      <c r="G27" s="18"/>
      <c r="H27" s="18" t="str">
        <f>IFERROR(__xludf.DUMMYFUNCTION("""COMPUTED_VALUE"""),"Iron")</f>
        <v>Iron</v>
      </c>
      <c r="I27" s="18"/>
      <c r="J27" s="18"/>
      <c r="K27" s="18" t="str">
        <f>IFERROR(__xludf.DUMMYFUNCTION("""COMPUTED_VALUE"""),"Red")</f>
        <v>Red</v>
      </c>
      <c r="L27" s="20" t="str">
        <f>IFERROR(__xludf.DUMMYFUNCTION("""COMPUTED_VALUE"""),"TRAP: Red or Black Metals. Mk-4 Bone Tuber, two Screamers. Unlock from 33F Uchinobu.")</f>
        <v>TRAP: Red or Black Metals. Mk-4 Bone Tuber, two Screamers. Unlock from 33F Uchinobu.</v>
      </c>
    </row>
    <row r="28">
      <c r="A28" s="17">
        <f>IFERROR(__xludf.DUMMYFUNCTION("""COMPUTED_VALUE"""),32.0)</f>
        <v>32</v>
      </c>
      <c r="B28" s="18">
        <f>IFERROR(__xludf.DUMMYFUNCTION("""COMPUTED_VALUE"""),0.0)</f>
        <v>0</v>
      </c>
      <c r="C28" s="19" t="str">
        <f>IFERROR(__xludf.DUMMYFUNCTION("""COMPUTED_VALUE"""),"Katsuma")</f>
        <v>Katsuma</v>
      </c>
      <c r="D28" s="18"/>
      <c r="E28" s="18"/>
      <c r="F28" s="18"/>
      <c r="G28" s="18" t="str">
        <f>IFERROR(__xludf.DUMMYFUNCTION("""COMPUTED_VALUE"""),"●")</f>
        <v>●</v>
      </c>
      <c r="H28" s="18" t="str">
        <f>IFERROR(__xludf.DUMMYFUNCTION("""COMPUTED_VALUE"""),"Oil")</f>
        <v>Oil</v>
      </c>
      <c r="I28" s="18"/>
      <c r="J28" s="18" t="str">
        <f>IFERROR(__xludf.DUMMYFUNCTION("""COMPUTED_VALUE"""),"MILK Red")</f>
        <v>MILK Red</v>
      </c>
      <c r="K28" s="18"/>
      <c r="L28" s="20" t="str">
        <f>IFERROR(__xludf.DUMMYFUNCTION("""COMPUTED_VALUE"""),"BOSS: U-10. Drops MILK Red Metal.")</f>
        <v>BOSS: U-10. Drops MILK Red Metal.</v>
      </c>
    </row>
    <row r="29" ht="1.5" customHeight="1">
      <c r="A29" s="17">
        <f>IFERROR(__xludf.DUMMYFUNCTION("""COMPUTED_VALUE"""),32.0)</f>
        <v>32</v>
      </c>
      <c r="B29" s="18">
        <f>IFERROR(__xludf.DUMMYFUNCTION("""COMPUTED_VALUE"""),0.0)</f>
        <v>0</v>
      </c>
      <c r="C29" s="19" t="str">
        <f>IFERROR(__xludf.DUMMYFUNCTION("""COMPUTED_VALUE"""),"Osuki")</f>
        <v>Osuki</v>
      </c>
      <c r="D29" s="18"/>
      <c r="E29" s="18"/>
      <c r="F29" s="18"/>
      <c r="G29" s="18"/>
      <c r="H29" s="18" t="str">
        <f>IFERROR(__xludf.DUMMYFUNCTION("""COMPUTED_VALUE"""),"Copper")</f>
        <v>Copper</v>
      </c>
      <c r="I29" s="18"/>
      <c r="J29" s="18"/>
      <c r="K29" s="18"/>
      <c r="L29" s="20"/>
    </row>
    <row r="30" ht="1.5" customHeight="1">
      <c r="A30" s="17">
        <f>IFERROR(__xludf.DUMMYFUNCTION("""COMPUTED_VALUE"""),31.0)</f>
        <v>31</v>
      </c>
      <c r="B30" s="18">
        <f>IFERROR(__xludf.DUMMYFUNCTION("""COMPUTED_VALUE"""),0.0)</f>
        <v>0</v>
      </c>
      <c r="C30" s="19" t="str">
        <f>IFERROR(__xludf.DUMMYFUNCTION("""COMPUTED_VALUE"""),"Obara")</f>
        <v>Obara</v>
      </c>
      <c r="D30" s="18" t="str">
        <f>IFERROR(__xludf.DUMMYFUNCTION("""COMPUTED_VALUE"""),"M")</f>
        <v>M</v>
      </c>
      <c r="E30" s="18"/>
      <c r="F30" s="18"/>
      <c r="G30" s="18" t="str">
        <f>IFERROR(__xludf.DUMMYFUNCTION("""COMPUTED_VALUE"""),"●")</f>
        <v>●</v>
      </c>
      <c r="H30" s="18" t="str">
        <f>IFERROR(__xludf.DUMMYFUNCTION("""COMPUTED_VALUE"""),"All")</f>
        <v>All</v>
      </c>
      <c r="I30" s="18"/>
      <c r="J30" s="18"/>
      <c r="K30" s="18"/>
      <c r="L30" s="20"/>
    </row>
    <row r="31" ht="1.5" customHeight="1">
      <c r="A31" s="17">
        <f>IFERROR(__xludf.DUMMYFUNCTION("""COMPUTED_VALUE"""),31.0)</f>
        <v>31</v>
      </c>
      <c r="B31" s="18">
        <f>IFERROR(__xludf.DUMMYFUNCTION("""COMPUTED_VALUE"""),0.0)</f>
        <v>0</v>
      </c>
      <c r="C31" s="19" t="str">
        <f>IFERROR(__xludf.DUMMYFUNCTION("""COMPUTED_VALUE"""),"Koi")</f>
        <v>Koi</v>
      </c>
      <c r="D31" s="18"/>
      <c r="E31" s="18"/>
      <c r="F31" s="18"/>
      <c r="G31" s="18"/>
      <c r="H31" s="18" t="str">
        <f>IFERROR(__xludf.DUMMYFUNCTION("""COMPUTED_VALUE"""),"×")</f>
        <v>×</v>
      </c>
      <c r="I31" s="18"/>
      <c r="J31" s="18"/>
      <c r="K31" s="18"/>
      <c r="L31" s="20" t="str">
        <f>IFERROR(__xludf.DUMMYFUNCTION("""COMPUTED_VALUE"""),"One Mk-4 Reversal Tuber in a dead-end trap room.")</f>
        <v>One Mk-4 Reversal Tuber in a dead-end trap room.</v>
      </c>
    </row>
    <row r="32" ht="1.5" customHeight="1">
      <c r="A32" s="17">
        <f>IFERROR(__xludf.DUMMYFUNCTION("""COMPUTED_VALUE"""),31.0)</f>
        <v>31</v>
      </c>
      <c r="B32" s="18">
        <f>IFERROR(__xludf.DUMMYFUNCTION("""COMPUTED_VALUE"""),3.0)</f>
        <v>3</v>
      </c>
      <c r="C32" s="19" t="str">
        <f>IFERROR(__xludf.DUMMYFUNCTION("""COMPUTED_VALUE"""),"Itsu-Tsukumo")</f>
        <v>Itsu-Tsukumo</v>
      </c>
      <c r="D32" s="18"/>
      <c r="E32" s="18"/>
      <c r="F32" s="18"/>
      <c r="G32" s="18"/>
      <c r="H32" s="18" t="str">
        <f>IFERROR(__xludf.DUMMYFUNCTION("""COMPUTED_VALUE"""),"Oil")</f>
        <v>Oil</v>
      </c>
      <c r="I32" s="18"/>
      <c r="J32" s="18"/>
      <c r="K32" s="18"/>
      <c r="L32" s="20"/>
    </row>
    <row r="33">
      <c r="A33" s="17">
        <f>IFERROR(__xludf.DUMMYFUNCTION("""COMPUTED_VALUE"""),30.0)</f>
        <v>30</v>
      </c>
      <c r="B33" s="18">
        <f>IFERROR(__xludf.DUMMYFUNCTION("""COMPUTED_VALUE"""),0.0)</f>
        <v>0</v>
      </c>
      <c r="C33" s="19" t="str">
        <f>IFERROR(__xludf.DUMMYFUNCTION("""COMPUTED_VALUE"""),"Towada")</f>
        <v>Towada</v>
      </c>
      <c r="D33" s="18"/>
      <c r="E33" s="18"/>
      <c r="F33" s="18"/>
      <c r="G33" s="18"/>
      <c r="H33" s="18" t="str">
        <f>IFERROR(__xludf.DUMMYFUNCTION("""COMPUTED_VALUE"""),"All")</f>
        <v>All</v>
      </c>
      <c r="I33" s="18"/>
      <c r="J33" s="18"/>
      <c r="K33" s="18"/>
      <c r="L33" s="20"/>
    </row>
    <row r="34">
      <c r="A34" s="17">
        <f>IFERROR(__xludf.DUMMYFUNCTION("""COMPUTED_VALUE"""),30.0)</f>
        <v>30</v>
      </c>
      <c r="B34" s="18">
        <f>IFERROR(__xludf.DUMMYFUNCTION("""COMPUTED_VALUE"""),3.0)</f>
        <v>3</v>
      </c>
      <c r="C34" s="19" t="str">
        <f>IFERROR(__xludf.DUMMYFUNCTION("""COMPUTED_VALUE"""),"Yokozuna")</f>
        <v>Yokozuna</v>
      </c>
      <c r="D34" s="18"/>
      <c r="E34" s="18"/>
      <c r="F34" s="18"/>
      <c r="G34" s="18"/>
      <c r="H34" s="18" t="str">
        <f>IFERROR(__xludf.DUMMYFUNCTION("""COMPUTED_VALUE"""),"All")</f>
        <v>All</v>
      </c>
      <c r="I34" s="18"/>
      <c r="J34" s="18"/>
      <c r="K34" s="18"/>
      <c r="L34" s="20" t="str">
        <f>IFERROR(__xludf.DUMMYFUNCTION("""COMPUTED_VALUE"""),"One Mk-4 Reversal Tuber.")</f>
        <v>One Mk-4 Reversal Tuber.</v>
      </c>
    </row>
    <row r="35">
      <c r="A35" s="17">
        <f>IFERROR(__xludf.DUMMYFUNCTION("""COMPUTED_VALUE"""),30.0)</f>
        <v>30</v>
      </c>
      <c r="B35" s="18">
        <f>IFERROR(__xludf.DUMMYFUNCTION("""COMPUTED_VALUE"""),0.0)</f>
        <v>0</v>
      </c>
      <c r="C35" s="19" t="str">
        <f>IFERROR(__xludf.DUMMYFUNCTION("""COMPUTED_VALUE"""),"Saigetsu")</f>
        <v>Saigetsu</v>
      </c>
      <c r="D35" s="18" t="str">
        <f>IFERROR(__xludf.DUMMYFUNCTION("""COMPUTED_VALUE"""),"M")</f>
        <v>M</v>
      </c>
      <c r="E35" s="18"/>
      <c r="F35" s="18">
        <f>IFERROR(__xludf.DUMMYFUNCTION("""COMPUTED_VALUE"""),3.6)</f>
        <v>3.6</v>
      </c>
      <c r="G35" s="18" t="str">
        <f>IFERROR(__xludf.DUMMYFUNCTION("""COMPUTED_VALUE"""),"●")</f>
        <v>●</v>
      </c>
      <c r="H35" s="18" t="str">
        <f>IFERROR(__xludf.DUMMYFUNCTION("""COMPUTED_VALUE"""),"×")</f>
        <v>×</v>
      </c>
      <c r="I35" s="18"/>
      <c r="J35" s="18" t="str">
        <f>IFERROR(__xludf.DUMMYFUNCTION("""COMPUTED_VALUE"""),"CW Black")</f>
        <v>CW Black</v>
      </c>
      <c r="K35" s="18"/>
      <c r="L35" s="20" t="str">
        <f>IFERROR(__xludf.DUMMYFUNCTION("""COMPUTED_VALUE"""),"BOSS: Mr. Crowley.")</f>
        <v>BOSS: Mr. Crowley.</v>
      </c>
    </row>
    <row r="36">
      <c r="A36" s="17">
        <f>IFERROR(__xludf.DUMMYFUNCTION("""COMPUTED_VALUE"""),29.0)</f>
        <v>29</v>
      </c>
      <c r="B36" s="18">
        <f>IFERROR(__xludf.DUMMYFUNCTION("""COMPUTED_VALUE"""),0.0)</f>
        <v>0</v>
      </c>
      <c r="C36" s="19" t="str">
        <f>IFERROR(__xludf.DUMMYFUNCTION("""COMPUTED_VALUE"""),"Hashidaka")</f>
        <v>Hashidaka</v>
      </c>
      <c r="D36" s="18"/>
      <c r="E36" s="18"/>
      <c r="F36" s="18">
        <f>IFERROR(__xludf.DUMMYFUNCTION("""COMPUTED_VALUE"""),3.5)</f>
        <v>3.5</v>
      </c>
      <c r="G36" s="18" t="str">
        <f>IFERROR(__xludf.DUMMYFUNCTION("""COMPUTED_VALUE"""),"●")</f>
        <v>●</v>
      </c>
      <c r="H36" s="18" t="str">
        <f>IFERROR(__xludf.DUMMYFUNCTION("""COMPUTED_VALUE"""),"Iron")</f>
        <v>Iron</v>
      </c>
      <c r="I36" s="18"/>
      <c r="J36" s="18"/>
      <c r="K36" s="18"/>
      <c r="L36" s="20" t="str">
        <f>IFERROR(__xludf.DUMMYFUNCTION("""COMPUTED_VALUE"""),"Unlock from 28F Hyakkoku and/or Hyakuda. One Mk-4 Reversal Tuber.")</f>
        <v>Unlock from 28F Hyakkoku and/or Hyakuda. One Mk-4 Reversal Tuber.</v>
      </c>
    </row>
    <row r="37">
      <c r="A37" s="17">
        <f>IFERROR(__xludf.DUMMYFUNCTION("""COMPUTED_VALUE"""),29.0)</f>
        <v>29</v>
      </c>
      <c r="B37" s="18">
        <f>IFERROR(__xludf.DUMMYFUNCTION("""COMPUTED_VALUE"""),3.0)</f>
        <v>3</v>
      </c>
      <c r="C37" s="19" t="str">
        <f>IFERROR(__xludf.DUMMYFUNCTION("""COMPUTED_VALUE"""),"Banzei")</f>
        <v>Banzei</v>
      </c>
      <c r="D37" s="18"/>
      <c r="E37" s="18"/>
      <c r="F37" s="18"/>
      <c r="G37" s="18"/>
      <c r="H37" s="18" t="str">
        <f>IFERROR(__xludf.DUMMYFUNCTION("""COMPUTED_VALUE"""),"Fiber")</f>
        <v>Fiber</v>
      </c>
      <c r="I37" s="18"/>
      <c r="J37" s="18"/>
      <c r="K37" s="18"/>
      <c r="L37" s="20" t="str">
        <f>IFERROR(__xludf.DUMMYFUNCTION("""COMPUTED_VALUE"""),"Five Mk-4 Bullet, one Mk-4 Reversal. Gate to Hyakkoku locks again every run, clear trap room.")</f>
        <v>Five Mk-4 Bullet, one Mk-4 Reversal. Gate to Hyakkoku locks again every run, clear trap room.</v>
      </c>
    </row>
    <row r="38">
      <c r="A38" s="17">
        <f>IFERROR(__xludf.DUMMYFUNCTION("""COMPUTED_VALUE"""),28.0)</f>
        <v>28</v>
      </c>
      <c r="B38" s="18">
        <f>IFERROR(__xludf.DUMMYFUNCTION("""COMPUTED_VALUE"""),0.0)</f>
        <v>0</v>
      </c>
      <c r="C38" s="19" t="str">
        <f>IFERROR(__xludf.DUMMYFUNCTION("""COMPUTED_VALUE"""),"Hyakkoku")</f>
        <v>Hyakkoku</v>
      </c>
      <c r="D38" s="18"/>
      <c r="E38" s="18"/>
      <c r="F38" s="18"/>
      <c r="G38" s="18"/>
      <c r="H38" s="18" t="str">
        <f>IFERROR(__xludf.DUMMYFUNCTION("""COMPUTED_VALUE"""),"All")</f>
        <v>All</v>
      </c>
      <c r="I38" s="18"/>
      <c r="J38" s="18"/>
      <c r="K38" s="18" t="str">
        <f>IFERROR(__xludf.DUMMYFUNCTION("""COMPUTED_VALUE"""),"Black")</f>
        <v>Black</v>
      </c>
      <c r="L38" s="20" t="str">
        <f>IFERROR(__xludf.DUMMYFUNCTION("""COMPUTED_VALUE"""),"TRAP: Black or Green Metals. Four Mk-4 Scratch, one Mk-4 Hover, spear Screamer.")</f>
        <v>TRAP: Black or Green Metals. Four Mk-4 Scratch, one Mk-4 Hover, spear Screamer.</v>
      </c>
    </row>
    <row r="39">
      <c r="A39" s="17">
        <f>IFERROR(__xludf.DUMMYFUNCTION("""COMPUTED_VALUE"""),28.0)</f>
        <v>28</v>
      </c>
      <c r="B39" s="18">
        <f>IFERROR(__xludf.DUMMYFUNCTION("""COMPUTED_VALUE"""),0.0)</f>
        <v>0</v>
      </c>
      <c r="C39" s="19" t="str">
        <f>IFERROR(__xludf.DUMMYFUNCTION("""COMPUTED_VALUE"""),"Hyakuda")</f>
        <v>Hyakuda</v>
      </c>
      <c r="D39" s="18"/>
      <c r="E39" s="18"/>
      <c r="F39" s="18"/>
      <c r="G39" s="18" t="str">
        <f>IFERROR(__xludf.DUMMYFUNCTION("""COMPUTED_VALUE"""),"●")</f>
        <v>●</v>
      </c>
      <c r="H39" s="18" t="str">
        <f>IFERROR(__xludf.DUMMYFUNCTION("""COMPUTED_VALUE"""),"Fiber")</f>
        <v>Fiber</v>
      </c>
      <c r="I39" s="18"/>
      <c r="J39" s="18"/>
      <c r="K39" s="18" t="str">
        <f>IFERROR(__xludf.DUMMYFUNCTION("""COMPUTED_VALUE"""),"Black")</f>
        <v>Black</v>
      </c>
      <c r="L39" s="20" t="str">
        <f>IFERROR(__xludf.DUMMYFUNCTION("""COMPUTED_VALUE"""),"TRAP: Black or Green Metals. Five Screamers, one at a time.")</f>
        <v>TRAP: Black or Green Metals. Five Screamers, one at a time.</v>
      </c>
    </row>
    <row r="40">
      <c r="A40" s="17">
        <f>IFERROR(__xludf.DUMMYFUNCTION("""COMPUTED_VALUE"""),27.0)</f>
        <v>27</v>
      </c>
      <c r="B40" s="18">
        <f>IFERROR(__xludf.DUMMYFUNCTION("""COMPUTED_VALUE"""),0.0)</f>
        <v>0</v>
      </c>
      <c r="C40" s="19" t="str">
        <f>IFERROR(__xludf.DUMMYFUNCTION("""COMPUTED_VALUE"""),"Shinko-Bashi")</f>
        <v>Shinko-Bashi</v>
      </c>
      <c r="D40" s="18" t="str">
        <f>IFERROR(__xludf.DUMMYFUNCTION("""COMPUTED_VALUE"""),"M")</f>
        <v>M</v>
      </c>
      <c r="E40" s="18"/>
      <c r="F40" s="18">
        <f>IFERROR(__xludf.DUMMYFUNCTION("""COMPUTED_VALUE"""),3.4)</f>
        <v>3.4</v>
      </c>
      <c r="G40" s="18"/>
      <c r="H40" s="18" t="str">
        <f>IFERROR(__xludf.DUMMYFUNCTION("""COMPUTED_VALUE"""),"Fiber")</f>
        <v>Fiber</v>
      </c>
      <c r="I40" s="18"/>
      <c r="J40" s="18"/>
      <c r="K40" s="18"/>
      <c r="L40" s="20" t="str">
        <f>IFERROR(__xludf.DUMMYFUNCTION("""COMPUTED_VALUE"""),"Elevator is locked behind two gates until both 26F COEN and 26F JIN-DIE are defeated.")</f>
        <v>Elevator is locked behind two gates until both 26F COEN and 26F JIN-DIE are defeated.</v>
      </c>
    </row>
    <row r="41">
      <c r="A41" s="17">
        <f>IFERROR(__xludf.DUMMYFUNCTION("""COMPUTED_VALUE"""),27.0)</f>
        <v>27</v>
      </c>
      <c r="B41" s="18">
        <f>IFERROR(__xludf.DUMMYFUNCTION("""COMPUTED_VALUE"""),3.0)</f>
        <v>3</v>
      </c>
      <c r="C41" s="19" t="str">
        <f>IFERROR(__xludf.DUMMYFUNCTION("""COMPUTED_VALUE"""),"Daimon-Machi")</f>
        <v>Daimon-Machi</v>
      </c>
      <c r="D41" s="18"/>
      <c r="E41" s="18"/>
      <c r="F41" s="18"/>
      <c r="G41" s="18" t="str">
        <f>IFERROR(__xludf.DUMMYFUNCTION("""COMPUTED_VALUE"""),"●")</f>
        <v>●</v>
      </c>
      <c r="H41" s="18" t="str">
        <f>IFERROR(__xludf.DUMMYFUNCTION("""COMPUTED_VALUE"""),"×")</f>
        <v>×</v>
      </c>
      <c r="I41" s="18" t="str">
        <f>IFERROR(__xludf.DUMMYFUNCTION("""COMPUTED_VALUE"""),"G")</f>
        <v>G</v>
      </c>
      <c r="J41" s="18"/>
      <c r="K41" s="18"/>
      <c r="L41" s="20" t="str">
        <f>IFERROR(__xludf.DUMMYFUNCTION("""COMPUTED_VALUE"""),"Gyakufunsha can appear. Must first enter from 26F Oshimi.")</f>
        <v>Gyakufunsha can appear. Must first enter from 26F Oshimi.</v>
      </c>
    </row>
    <row r="42">
      <c r="A42" s="17">
        <f>IFERROR(__xludf.DUMMYFUNCTION("""COMPUTED_VALUE"""),27.0)</f>
        <v>27</v>
      </c>
      <c r="B42" s="18">
        <f>IFERROR(__xludf.DUMMYFUNCTION("""COMPUTED_VALUE"""),3.0)</f>
        <v>3</v>
      </c>
      <c r="C42" s="19" t="str">
        <f>IFERROR(__xludf.DUMMYFUNCTION("""COMPUTED_VALUE"""),"Dotedori")</f>
        <v>Dotedori</v>
      </c>
      <c r="D42" s="18"/>
      <c r="E42" s="18"/>
      <c r="F42" s="18"/>
      <c r="G42" s="18"/>
      <c r="H42" s="18" t="str">
        <f>IFERROR(__xludf.DUMMYFUNCTION("""COMPUTED_VALUE"""),"Copper")</f>
        <v>Copper</v>
      </c>
      <c r="I42" s="18"/>
      <c r="J42" s="18"/>
      <c r="K42" s="18"/>
      <c r="L42" s="20"/>
    </row>
    <row r="43">
      <c r="A43" s="17">
        <f>IFERROR(__xludf.DUMMYFUNCTION("""COMPUTED_VALUE"""),26.0)</f>
        <v>26</v>
      </c>
      <c r="B43" s="18">
        <f>IFERROR(__xludf.DUMMYFUNCTION("""COMPUTED_VALUE"""),0.0)</f>
        <v>0</v>
      </c>
      <c r="C43" s="19" t="str">
        <f>IFERROR(__xludf.DUMMYFUNCTION("""COMPUTED_VALUE"""),"Oshimi")</f>
        <v>Oshimi</v>
      </c>
      <c r="D43" s="18"/>
      <c r="E43" s="18"/>
      <c r="F43" s="18"/>
      <c r="G43" s="18"/>
      <c r="H43" s="18" t="str">
        <f>IFERROR(__xludf.DUMMYFUNCTION("""COMPUTED_VALUE"""),"Copper")</f>
        <v>Copper</v>
      </c>
      <c r="I43" s="18"/>
      <c r="J43" s="18" t="str">
        <f>IFERROR(__xludf.DUMMYFUNCTION("""COMPUTED_VALUE"""),"DOD Black")</f>
        <v>DOD Black</v>
      </c>
      <c r="K43" s="18"/>
      <c r="L43" s="20" t="str">
        <f>IFERROR(__xludf.DUMMYFUNCTION("""COMPUTED_VALUE"""),"BOSS: COEN. Drops DOD ARMS Black Metal. Unlocks one of the gates to the 27F Elevator.")</f>
        <v>BOSS: COEN. Drops DOD ARMS Black Metal. Unlocks one of the gates to the 27F Elevator.</v>
      </c>
    </row>
    <row r="44">
      <c r="A44" s="17">
        <f>IFERROR(__xludf.DUMMYFUNCTION("""COMPUTED_VALUE"""),26.0)</f>
        <v>26</v>
      </c>
      <c r="B44" s="18">
        <f>IFERROR(__xludf.DUMMYFUNCTION("""COMPUTED_VALUE"""),0.0)</f>
        <v>0</v>
      </c>
      <c r="C44" s="19" t="str">
        <f>IFERROR(__xludf.DUMMYFUNCTION("""COMPUTED_VALUE"""),"Shimomeno")</f>
        <v>Shimomeno</v>
      </c>
      <c r="D44" s="18"/>
      <c r="E44" s="18"/>
      <c r="F44" s="18"/>
      <c r="G44" s="18"/>
      <c r="H44" s="18" t="str">
        <f>IFERROR(__xludf.DUMMYFUNCTION("""COMPUTED_VALUE"""),"Oil")</f>
        <v>Oil</v>
      </c>
      <c r="I44" s="18"/>
      <c r="J44" s="18" t="str">
        <f>IFERROR(__xludf.DUMMYFUNCTION("""COMPUTED_VALUE"""),"WE Black")</f>
        <v>WE Black</v>
      </c>
      <c r="K44" s="18"/>
      <c r="L44" s="20" t="str">
        <f>IFERROR(__xludf.DUMMYFUNCTION("""COMPUTED_VALUE"""),"BOSS: JIN-DIE. Drops War Ensemble Black Metal. Unlocks one of the gates to the 27F Elevator.")</f>
        <v>BOSS: JIN-DIE. Drops War Ensemble Black Metal. Unlocks one of the gates to the 27F Elevator.</v>
      </c>
    </row>
    <row r="45">
      <c r="A45" s="17">
        <f>IFERROR(__xludf.DUMMYFUNCTION("""COMPUTED_VALUE"""),25.0)</f>
        <v>25</v>
      </c>
      <c r="B45" s="18">
        <f>IFERROR(__xludf.DUMMYFUNCTION("""COMPUTED_VALUE"""),0.0)</f>
        <v>0</v>
      </c>
      <c r="C45" s="19" t="str">
        <f>IFERROR(__xludf.DUMMYFUNCTION("""COMPUTED_VALUE"""),"Kanie")</f>
        <v>Kanie</v>
      </c>
      <c r="D45" s="18" t="str">
        <f>IFERROR(__xludf.DUMMYFUNCTION("""COMPUTED_VALUE"""),"M")</f>
        <v>M</v>
      </c>
      <c r="E45" s="18"/>
      <c r="F45" s="18">
        <f>IFERROR(__xludf.DUMMYFUNCTION("""COMPUTED_VALUE"""),3.3)</f>
        <v>3.3</v>
      </c>
      <c r="G45" s="18"/>
      <c r="H45" s="18" t="str">
        <f>IFERROR(__xludf.DUMMYFUNCTION("""COMPUTED_VALUE"""),"All")</f>
        <v>All</v>
      </c>
      <c r="I45" s="18"/>
      <c r="J45" s="18"/>
      <c r="K45" s="18"/>
      <c r="L45" s="20"/>
    </row>
    <row r="46">
      <c r="A46" s="17">
        <f>IFERROR(__xludf.DUMMYFUNCTION("""COMPUTED_VALUE"""),25.0)</f>
        <v>25</v>
      </c>
      <c r="B46" s="18">
        <f>IFERROR(__xludf.DUMMYFUNCTION("""COMPUTED_VALUE"""),3.0)</f>
        <v>3</v>
      </c>
      <c r="C46" s="19" t="str">
        <f>IFERROR(__xludf.DUMMYFUNCTION("""COMPUTED_VALUE"""),"Fugami")</f>
        <v>Fugami</v>
      </c>
      <c r="D46" s="18"/>
      <c r="E46" s="18"/>
      <c r="F46" s="18"/>
      <c r="G46" s="18"/>
      <c r="H46" s="18" t="str">
        <f>IFERROR(__xludf.DUMMYFUNCTION("""COMPUTED_VALUE"""),"Iron")</f>
        <v>Iron</v>
      </c>
      <c r="I46" s="18"/>
      <c r="J46" s="18"/>
      <c r="K46" s="18"/>
      <c r="L46" s="20" t="str">
        <f>IFERROR(__xludf.DUMMYFUNCTION("""COMPUTED_VALUE"""),"Must first enter from 22F Toyokawa.")</f>
        <v>Must first enter from 22F Toyokawa.</v>
      </c>
    </row>
    <row r="47">
      <c r="A47" s="17">
        <f>IFERROR(__xludf.DUMMYFUNCTION("""COMPUTED_VALUE"""),25.0)</f>
        <v>25</v>
      </c>
      <c r="B47" s="18">
        <f>IFERROR(__xludf.DUMMYFUNCTION("""COMPUTED_VALUE"""),3.0)</f>
        <v>3</v>
      </c>
      <c r="C47" s="19" t="str">
        <f>IFERROR(__xludf.DUMMYFUNCTION("""COMPUTED_VALUE"""),"Fuyu-Bayashi")</f>
        <v>Fuyu-Bayashi</v>
      </c>
      <c r="D47" s="18"/>
      <c r="E47" s="18"/>
      <c r="F47" s="18"/>
      <c r="G47" s="18"/>
      <c r="H47" s="18" t="str">
        <f>IFERROR(__xludf.DUMMYFUNCTION("""COMPUTED_VALUE"""),"Fiber")</f>
        <v>Fiber</v>
      </c>
      <c r="I47" s="18"/>
      <c r="J47" s="18"/>
      <c r="K47" s="18"/>
      <c r="L47" s="20"/>
    </row>
    <row r="48">
      <c r="A48" s="17">
        <f>IFERROR(__xludf.DUMMYFUNCTION("""COMPUTED_VALUE"""),24.0)</f>
        <v>24</v>
      </c>
      <c r="B48" s="18">
        <f>IFERROR(__xludf.DUMMYFUNCTION("""COMPUTED_VALUE"""),0.0)</f>
        <v>0</v>
      </c>
      <c r="C48" s="19" t="str">
        <f>IFERROR(__xludf.DUMMYFUNCTION("""COMPUTED_VALUE"""),"Moriba")</f>
        <v>Moriba</v>
      </c>
      <c r="D48" s="18"/>
      <c r="E48" s="18"/>
      <c r="F48" s="18"/>
      <c r="G48" s="18"/>
      <c r="H48" s="18" t="str">
        <f>IFERROR(__xludf.DUMMYFUNCTION("""COMPUTED_VALUE"""),"×")</f>
        <v>×</v>
      </c>
      <c r="I48" s="18" t="str">
        <f>IFERROR(__xludf.DUMMYFUNCTION("""COMPUTED_VALUE"""),"G")</f>
        <v>G</v>
      </c>
      <c r="J48" s="18"/>
      <c r="K48" s="18"/>
      <c r="L48" s="20" t="str">
        <f>IFERROR(__xludf.DUMMYFUNCTION("""COMPUTED_VALUE"""),"Gyakufunsha can appear. Small area with a single Hater - good for farming CHARGERS.")</f>
        <v>Gyakufunsha can appear. Small area with a single Hater - good for farming CHARGERS.</v>
      </c>
    </row>
    <row r="49">
      <c r="A49" s="17">
        <f>IFERROR(__xludf.DUMMYFUNCTION("""COMPUTED_VALUE"""),24.0)</f>
        <v>24</v>
      </c>
      <c r="B49" s="18">
        <f>IFERROR(__xludf.DUMMYFUNCTION("""COMPUTED_VALUE"""),0.0)</f>
        <v>0</v>
      </c>
      <c r="C49" s="19" t="str">
        <f>IFERROR(__xludf.DUMMYFUNCTION("""COMPUTED_VALUE"""),"Sumikiyo")</f>
        <v>Sumikiyo</v>
      </c>
      <c r="D49" s="18"/>
      <c r="E49" s="18"/>
      <c r="F49" s="18">
        <f>IFERROR(__xludf.DUMMYFUNCTION("""COMPUTED_VALUE"""),3.2)</f>
        <v>3.2</v>
      </c>
      <c r="G49" s="18"/>
      <c r="H49" s="18" t="str">
        <f>IFERROR(__xludf.DUMMYFUNCTION("""COMPUTED_VALUE"""),"Iron")</f>
        <v>Iron</v>
      </c>
      <c r="I49" s="18"/>
      <c r="J49" s="18"/>
      <c r="K49" s="18"/>
      <c r="L49" s="20" t="str">
        <f>IFERROR(__xludf.DUMMYFUNCTION("""COMPUTED_VALUE"""),"Unlock from 23F Echizen-Jima.")</f>
        <v>Unlock from 23F Echizen-Jima.</v>
      </c>
    </row>
    <row r="50">
      <c r="A50" s="17">
        <f>IFERROR(__xludf.DUMMYFUNCTION("""COMPUTED_VALUE"""),24.0)</f>
        <v>24</v>
      </c>
      <c r="B50" s="18">
        <f>IFERROR(__xludf.DUMMYFUNCTION("""COMPUTED_VALUE"""),0.0)</f>
        <v>0</v>
      </c>
      <c r="C50" s="19" t="str">
        <f>IFERROR(__xludf.DUMMYFUNCTION("""COMPUTED_VALUE"""),"Agasu")</f>
        <v>Agasu</v>
      </c>
      <c r="D50" s="18"/>
      <c r="E50" s="18"/>
      <c r="F50" s="18"/>
      <c r="G50" s="18" t="str">
        <f>IFERROR(__xludf.DUMMYFUNCTION("""COMPUTED_VALUE"""),"●")</f>
        <v>●</v>
      </c>
      <c r="H50" s="18" t="str">
        <f>IFERROR(__xludf.DUMMYFUNCTION("""COMPUTED_VALUE"""),"Wood")</f>
        <v>Wood</v>
      </c>
      <c r="I50" s="18"/>
      <c r="J50" s="18"/>
      <c r="K50" s="18"/>
      <c r="L50" s="20" t="str">
        <f>IFERROR(__xludf.DUMMYFUNCTION("""COMPUTED_VALUE"""),"Unlock from 23F Echizen-Jima.")</f>
        <v>Unlock from 23F Echizen-Jima.</v>
      </c>
    </row>
    <row r="51">
      <c r="A51" s="17">
        <f>IFERROR(__xludf.DUMMYFUNCTION("""COMPUTED_VALUE"""),23.0)</f>
        <v>23</v>
      </c>
      <c r="B51" s="18">
        <f>IFERROR(__xludf.DUMMYFUNCTION("""COMPUTED_VALUE"""),0.0)</f>
        <v>0</v>
      </c>
      <c r="C51" s="19" t="str">
        <f>IFERROR(__xludf.DUMMYFUNCTION("""COMPUTED_VALUE"""),"Echizen-Jima")</f>
        <v>Echizen-Jima</v>
      </c>
      <c r="D51" s="18" t="str">
        <f>IFERROR(__xludf.DUMMYFUNCTION("""COMPUTED_VALUE"""),"M")</f>
        <v>M</v>
      </c>
      <c r="E51" s="18"/>
      <c r="F51" s="18"/>
      <c r="G51" s="18"/>
      <c r="H51" s="18" t="str">
        <f>IFERROR(__xludf.DUMMYFUNCTION("""COMPUTED_VALUE"""),"Fiber")</f>
        <v>Fiber</v>
      </c>
      <c r="I51" s="18"/>
      <c r="J51" s="18" t="str">
        <f>IFERROR(__xludf.DUMMYFUNCTION("""COMPUTED_VALUE"""),"CW Black")</f>
        <v>CW Black</v>
      </c>
      <c r="K51" s="18"/>
      <c r="L51" s="20" t="str">
        <f>IFERROR(__xludf.DUMMYFUNCTION("""COMPUTED_VALUE"""),"BOSS: GOTO-9. Drops Candle Wolf Black Metals.")</f>
        <v>BOSS: GOTO-9. Drops Candle Wolf Black Metals.</v>
      </c>
    </row>
    <row r="52">
      <c r="A52" s="17">
        <f>IFERROR(__xludf.DUMMYFUNCTION("""COMPUTED_VALUE"""),23.0)</f>
        <v>23</v>
      </c>
      <c r="B52" s="18">
        <f>IFERROR(__xludf.DUMMYFUNCTION("""COMPUTED_VALUE"""),0.0)</f>
        <v>0</v>
      </c>
      <c r="C52" s="19" t="str">
        <f>IFERROR(__xludf.DUMMYFUNCTION("""COMPUTED_VALUE"""),"Honkawa")</f>
        <v>Honkawa</v>
      </c>
      <c r="D52" s="18"/>
      <c r="E52" s="18">
        <f>IFERROR(__xludf.DUMMYFUNCTION("""COMPUTED_VALUE"""),5.0)</f>
        <v>5</v>
      </c>
      <c r="F52" s="18"/>
      <c r="G52" s="18"/>
      <c r="H52" s="18" t="str">
        <f>IFERROR(__xludf.DUMMYFUNCTION("""COMPUTED_VALUE"""),"Aluminum")</f>
        <v>Aluminum</v>
      </c>
      <c r="I52" s="18"/>
      <c r="J52" s="18"/>
      <c r="K52" s="18"/>
      <c r="L52" s="20" t="str">
        <f>IFERROR(__xludf.DUMMYFUNCTION("""COMPUTED_VALUE"""),"Chance for a Golden Scorpion.")</f>
        <v>Chance for a Golden Scorpion.</v>
      </c>
    </row>
    <row r="53" ht="1.5" customHeight="1">
      <c r="A53" s="17">
        <f>IFERROR(__xludf.DUMMYFUNCTION("""COMPUTED_VALUE"""),22.0)</f>
        <v>22</v>
      </c>
      <c r="B53" s="18">
        <f>IFERROR(__xludf.DUMMYFUNCTION("""COMPUTED_VALUE"""),0.0)</f>
        <v>0</v>
      </c>
      <c r="C53" s="19" t="str">
        <f>IFERROR(__xludf.DUMMYFUNCTION("""COMPUTED_VALUE"""),"Kawabe")</f>
        <v>Kawabe</v>
      </c>
      <c r="D53" s="18"/>
      <c r="E53" s="18"/>
      <c r="F53" s="18">
        <f>IFERROR(__xludf.DUMMYFUNCTION("""COMPUTED_VALUE"""),3.1)</f>
        <v>3.1</v>
      </c>
      <c r="G53" s="18" t="str">
        <f>IFERROR(__xludf.DUMMYFUNCTION("""COMPUTED_VALUE"""),"●")</f>
        <v>●</v>
      </c>
      <c r="H53" s="18" t="str">
        <f>IFERROR(__xludf.DUMMYFUNCTION("""COMPUTED_VALUE"""),"All")</f>
        <v>All</v>
      </c>
      <c r="I53" s="18"/>
      <c r="J53" s="18"/>
      <c r="K53" s="18" t="str">
        <f>IFERROR(__xludf.DUMMYFUNCTION("""COMPUTED_VALUE"""),"Black")</f>
        <v>Black</v>
      </c>
      <c r="L53" s="20" t="str">
        <f>IFERROR(__xludf.DUMMYFUNCTION("""COMPUTED_VALUE"""),"TRAP: Black or Green Metals. Two Mk-3 Bone, one axe Screamer.")</f>
        <v>TRAP: Black or Green Metals. Two Mk-3 Bone, one axe Screamer.</v>
      </c>
    </row>
    <row r="54" ht="1.5" customHeight="1">
      <c r="A54" s="17">
        <f>IFERROR(__xludf.DUMMYFUNCTION("""COMPUTED_VALUE"""),22.0)</f>
        <v>22</v>
      </c>
      <c r="B54" s="18">
        <f>IFERROR(__xludf.DUMMYFUNCTION("""COMPUTED_VALUE"""),3.0)</f>
        <v>3</v>
      </c>
      <c r="C54" s="19" t="str">
        <f>IFERROR(__xludf.DUMMYFUNCTION("""COMPUTED_VALUE"""),"Toyokawa")</f>
        <v>Toyokawa</v>
      </c>
      <c r="D54" s="18"/>
      <c r="E54" s="18"/>
      <c r="F54" s="18"/>
      <c r="G54" s="18"/>
      <c r="H54" s="18" t="str">
        <f>IFERROR(__xludf.DUMMYFUNCTION("""COMPUTED_VALUE"""),"Iron")</f>
        <v>Iron</v>
      </c>
      <c r="I54" s="18"/>
      <c r="J54" s="18"/>
      <c r="K54" s="18"/>
      <c r="L54" s="20" t="str">
        <f>IFERROR(__xludf.DUMMYFUNCTION("""COMPUTED_VALUE"""),"Must first enter from 21F Akami.")</f>
        <v>Must first enter from 21F Akami.</v>
      </c>
    </row>
    <row r="55" ht="1.5" customHeight="1">
      <c r="A55" s="17">
        <f>IFERROR(__xludf.DUMMYFUNCTION("""COMPUTED_VALUE"""),22.0)</f>
        <v>22</v>
      </c>
      <c r="B55" s="18">
        <f>IFERROR(__xludf.DUMMYFUNCTION("""COMPUTED_VALUE"""),3.0)</f>
        <v>3</v>
      </c>
      <c r="C55" s="19" t="str">
        <f>IFERROR(__xludf.DUMMYFUNCTION("""COMPUTED_VALUE"""),"Okano")</f>
        <v>Okano</v>
      </c>
      <c r="D55" s="18"/>
      <c r="E55" s="18"/>
      <c r="F55" s="18"/>
      <c r="G55" s="18"/>
      <c r="H55" s="18" t="str">
        <f>IFERROR(__xludf.DUMMYFUNCTION("""COMPUTED_VALUE"""),"×")</f>
        <v>×</v>
      </c>
      <c r="I55" s="18"/>
      <c r="J55" s="18"/>
      <c r="K55" s="18"/>
      <c r="L55" s="20" t="str">
        <f>IFERROR(__xludf.DUMMYFUNCTION("""COMPUTED_VALUE"""),"Must first enter from 25F Fuyu-Bayashi. Mk-3 Reversal Tuber. Clear traps to unlock floor gates.")</f>
        <v>Must first enter from 25F Fuyu-Bayashi. Mk-3 Reversal Tuber. Clear traps to unlock floor gates.</v>
      </c>
    </row>
    <row r="56" ht="1.5" customHeight="1">
      <c r="A56" s="17">
        <f>IFERROR(__xludf.DUMMYFUNCTION("""COMPUTED_VALUE"""),21.0)</f>
        <v>21</v>
      </c>
      <c r="B56" s="18">
        <f>IFERROR(__xludf.DUMMYFUNCTION("""COMPUTED_VALUE"""),0.0)</f>
        <v>0</v>
      </c>
      <c r="C56" s="19" t="str">
        <f>IFERROR(__xludf.DUMMYFUNCTION("""COMPUTED_VALUE"""),"Akami")</f>
        <v>Akami</v>
      </c>
      <c r="D56" s="18" t="str">
        <f>IFERROR(__xludf.DUMMYFUNCTION("""COMPUTED_VALUE"""),"M")</f>
        <v>M</v>
      </c>
      <c r="E56" s="18"/>
      <c r="F56" s="18"/>
      <c r="G56" s="18" t="str">
        <f>IFERROR(__xludf.DUMMYFUNCTION("""COMPUTED_VALUE"""),"●")</f>
        <v>●</v>
      </c>
      <c r="H56" s="18" t="str">
        <f>IFERROR(__xludf.DUMMYFUNCTION("""COMPUTED_VALUE"""),"All")</f>
        <v>All</v>
      </c>
      <c r="I56" s="18"/>
      <c r="J56" s="18"/>
      <c r="K56" s="18"/>
      <c r="L56" s="20"/>
    </row>
    <row r="57">
      <c r="A57" s="17">
        <f>IFERROR(__xludf.DUMMYFUNCTION("""COMPUTED_VALUE"""),21.0)</f>
        <v>21</v>
      </c>
      <c r="B57" s="18">
        <f>IFERROR(__xludf.DUMMYFUNCTION("""COMPUTED_VALUE"""),0.0)</f>
        <v>0</v>
      </c>
      <c r="C57" s="19" t="str">
        <f>IFERROR(__xludf.DUMMYFUNCTION("""COMPUTED_VALUE"""),"Arigure")</f>
        <v>Arigure</v>
      </c>
      <c r="D57" s="18"/>
      <c r="E57" s="18"/>
      <c r="F57" s="18"/>
      <c r="G57" s="18"/>
      <c r="H57" s="18" t="str">
        <f>IFERROR(__xludf.DUMMYFUNCTION("""COMPUTED_VALUE"""),"All")</f>
        <v>All</v>
      </c>
      <c r="I57" s="18"/>
      <c r="J57" s="18"/>
      <c r="K57" s="18"/>
      <c r="L57" s="20"/>
    </row>
    <row r="58">
      <c r="A58" s="17">
        <f>IFERROR(__xludf.DUMMYFUNCTION("""COMPUTED_VALUE"""),20.0)</f>
        <v>20</v>
      </c>
      <c r="B58" s="18">
        <f>IFERROR(__xludf.DUMMYFUNCTION("""COMPUTED_VALUE"""),0.0)</f>
        <v>0</v>
      </c>
      <c r="C58" s="19" t="str">
        <f>IFERROR(__xludf.DUMMYFUNCTION("""COMPUTED_VALUE"""),"Nora")</f>
        <v>Nora</v>
      </c>
      <c r="D58" s="18"/>
      <c r="E58" s="18"/>
      <c r="F58" s="18"/>
      <c r="G58" s="18"/>
      <c r="H58" s="18" t="str">
        <f>IFERROR(__xludf.DUMMYFUNCTION("""COMPUTED_VALUE"""),"Copper")</f>
        <v>Copper</v>
      </c>
      <c r="I58" s="18"/>
      <c r="J58" s="18"/>
      <c r="K58" s="18"/>
      <c r="L58" s="20"/>
    </row>
    <row r="59">
      <c r="A59" s="17">
        <f>IFERROR(__xludf.DUMMYFUNCTION("""COMPUTED_VALUE"""),20.0)</f>
        <v>20</v>
      </c>
      <c r="B59" s="18">
        <f>IFERROR(__xludf.DUMMYFUNCTION("""COMPUTED_VALUE"""),0.0)</f>
        <v>0</v>
      </c>
      <c r="C59" s="19" t="str">
        <f>IFERROR(__xludf.DUMMYFUNCTION("""COMPUTED_VALUE"""),"Monegi")</f>
        <v>Monegi</v>
      </c>
      <c r="D59" s="18"/>
      <c r="E59" s="18"/>
      <c r="F59" s="18"/>
      <c r="G59" s="18"/>
      <c r="H59" s="18" t="str">
        <f>IFERROR(__xludf.DUMMYFUNCTION("""COMPUTED_VALUE"""),"All")</f>
        <v>All</v>
      </c>
      <c r="I59" s="18"/>
      <c r="J59" s="18"/>
      <c r="K59" s="18"/>
      <c r="L59" s="20"/>
    </row>
    <row r="60">
      <c r="A60" s="17">
        <f>IFERROR(__xludf.DUMMYFUNCTION("""COMPUTED_VALUE"""),20.0)</f>
        <v>20</v>
      </c>
      <c r="B60" s="18">
        <f>IFERROR(__xludf.DUMMYFUNCTION("""COMPUTED_VALUE"""),0.0)</f>
        <v>0</v>
      </c>
      <c r="C60" s="19" t="str">
        <f>IFERROR(__xludf.DUMMYFUNCTION("""COMPUTED_VALUE"""),"Hachiyanma")</f>
        <v>Hachiyanma</v>
      </c>
      <c r="D60" s="18" t="str">
        <f>IFERROR(__xludf.DUMMYFUNCTION("""COMPUTED_VALUE"""),"M")</f>
        <v>M</v>
      </c>
      <c r="E60" s="18"/>
      <c r="F60" s="18"/>
      <c r="G60" s="18" t="str">
        <f>IFERROR(__xludf.DUMMYFUNCTION("""COMPUTED_VALUE"""),"●")</f>
        <v>●</v>
      </c>
      <c r="H60" s="18" t="str">
        <f>IFERROR(__xludf.DUMMYFUNCTION("""COMPUTED_VALUE"""),"×")</f>
        <v>×</v>
      </c>
      <c r="I60" s="18"/>
      <c r="J60" s="18" t="str">
        <f>IFERROR(__xludf.DUMMYFUNCTION("""COMPUTED_VALUE"""),"WE Green")</f>
        <v>WE Green</v>
      </c>
      <c r="K60" s="18"/>
      <c r="L60" s="20" t="str">
        <f>IFERROR(__xludf.DUMMYFUNCTION("""COMPUTED_VALUE"""),"BOSS: Colonel Jackson.")</f>
        <v>BOSS: Colonel Jackson.</v>
      </c>
    </row>
    <row r="61">
      <c r="A61" s="17">
        <f>IFERROR(__xludf.DUMMYFUNCTION("""COMPUTED_VALUE"""),19.0)</f>
        <v>19</v>
      </c>
      <c r="B61" s="18">
        <f>IFERROR(__xludf.DUMMYFUNCTION("""COMPUTED_VALUE"""),0.0)</f>
        <v>0</v>
      </c>
      <c r="C61" s="19" t="str">
        <f>IFERROR(__xludf.DUMMYFUNCTION("""COMPUTED_VALUE"""),"Daida")</f>
        <v>Daida</v>
      </c>
      <c r="D61" s="18" t="str">
        <f>IFERROR(__xludf.DUMMYFUNCTION("""COMPUTED_VALUE"""),"M")</f>
        <v>M</v>
      </c>
      <c r="E61" s="18"/>
      <c r="F61" s="18"/>
      <c r="G61" s="18"/>
      <c r="H61" s="18" t="str">
        <f>IFERROR(__xludf.DUMMYFUNCTION("""COMPUTED_VALUE"""),"All")</f>
        <v>All</v>
      </c>
      <c r="I61" s="18"/>
      <c r="J61" s="18"/>
      <c r="K61" s="18"/>
      <c r="L61" s="20" t="str">
        <f>IFERROR(__xludf.DUMMYFUNCTION("""COMPUTED_VALUE"""),"One Mk-2 Reversal Tuber.")</f>
        <v>One Mk-2 Reversal Tuber.</v>
      </c>
    </row>
    <row r="62">
      <c r="A62" s="17">
        <f>IFERROR(__xludf.DUMMYFUNCTION("""COMPUTED_VALUE"""),19.0)</f>
        <v>19</v>
      </c>
      <c r="B62" s="18">
        <f>IFERROR(__xludf.DUMMYFUNCTION("""COMPUTED_VALUE"""),3.0)</f>
        <v>3</v>
      </c>
      <c r="C62" s="19" t="str">
        <f>IFERROR(__xludf.DUMMYFUNCTION("""COMPUTED_VALUE"""),"Chitose-Mei")</f>
        <v>Chitose-Mei</v>
      </c>
      <c r="D62" s="18"/>
      <c r="E62" s="18"/>
      <c r="F62" s="18">
        <f>IFERROR(__xludf.DUMMYFUNCTION("""COMPUTED_VALUE"""),2.6)</f>
        <v>2.6</v>
      </c>
      <c r="G62" s="18"/>
      <c r="H62" s="18" t="str">
        <f>IFERROR(__xludf.DUMMYFUNCTION("""COMPUTED_VALUE"""),"Aluminum")</f>
        <v>Aluminum</v>
      </c>
      <c r="I62" s="18"/>
      <c r="J62" s="18"/>
      <c r="K62" s="18" t="str">
        <f>IFERROR(__xludf.DUMMYFUNCTION("""COMPUTED_VALUE"""),"Green")</f>
        <v>Green</v>
      </c>
      <c r="L62" s="20" t="str">
        <f>IFERROR(__xludf.DUMMYFUNCTION("""COMPUTED_VALUE"""),"TRAP: Green or Blue Metals. 5 Screamers. Not active on Thursdays.")</f>
        <v>TRAP: Green or Blue Metals. 5 Screamers. Not active on Thursdays.</v>
      </c>
    </row>
    <row r="63">
      <c r="A63" s="17">
        <f>IFERROR(__xludf.DUMMYFUNCTION("""COMPUTED_VALUE"""),19.0)</f>
        <v>19</v>
      </c>
      <c r="B63" s="18">
        <f>IFERROR(__xludf.DUMMYFUNCTION("""COMPUTED_VALUE"""),3.0)</f>
        <v>3</v>
      </c>
      <c r="C63" s="19" t="str">
        <f>IFERROR(__xludf.DUMMYFUNCTION("""COMPUTED_VALUE"""),"Hibiki")</f>
        <v>Hibiki</v>
      </c>
      <c r="D63" s="18"/>
      <c r="E63" s="18"/>
      <c r="F63" s="18"/>
      <c r="G63" s="18" t="str">
        <f>IFERROR(__xludf.DUMMYFUNCTION("""COMPUTED_VALUE"""),"●")</f>
        <v>●</v>
      </c>
      <c r="H63" s="18" t="str">
        <f>IFERROR(__xludf.DUMMYFUNCTION("""COMPUTED_VALUE"""),"All")</f>
        <v>All</v>
      </c>
      <c r="I63" s="18"/>
      <c r="J63" s="18"/>
      <c r="K63" s="18"/>
      <c r="L63" s="20" t="str">
        <f>IFERROR(__xludf.DUMMYFUNCTION("""COMPUTED_VALUE"""),"Floor is active every day, except Monday.")</f>
        <v>Floor is active every day, except Monday.</v>
      </c>
    </row>
    <row r="64">
      <c r="A64" s="17">
        <f>IFERROR(__xludf.DUMMYFUNCTION("""COMPUTED_VALUE"""),18.0)</f>
        <v>18</v>
      </c>
      <c r="B64" s="18">
        <f>IFERROR(__xludf.DUMMYFUNCTION("""COMPUTED_VALUE"""),0.0)</f>
        <v>0</v>
      </c>
      <c r="C64" s="19" t="str">
        <f>IFERROR(__xludf.DUMMYFUNCTION("""COMPUTED_VALUE"""),"Temo-Uma")</f>
        <v>Temo-Uma</v>
      </c>
      <c r="D64" s="18"/>
      <c r="E64" s="18"/>
      <c r="F64" s="18">
        <f>IFERROR(__xludf.DUMMYFUNCTION("""COMPUTED_VALUE"""),2.5)</f>
        <v>2.5</v>
      </c>
      <c r="G64" s="18"/>
      <c r="H64" s="18" t="str">
        <f>IFERROR(__xludf.DUMMYFUNCTION("""COMPUTED_VALUE"""),"All")</f>
        <v>All</v>
      </c>
      <c r="I64" s="18"/>
      <c r="J64" s="18"/>
      <c r="K64" s="18" t="str">
        <f>IFERROR(__xludf.DUMMYFUNCTION("""COMPUTED_VALUE"""),"Green")</f>
        <v>Green</v>
      </c>
      <c r="L64" s="20" t="str">
        <f>IFERROR(__xludf.DUMMYFUNCTION("""COMPUTED_VALUE"""),"TRAP: Green or Blue Metals. Mk-3 Bullet, Bone Tuber, Screamer.")</f>
        <v>TRAP: Green or Blue Metals. Mk-3 Bullet, Bone Tuber, Screamer.</v>
      </c>
    </row>
    <row r="65">
      <c r="A65" s="17">
        <f>IFERROR(__xludf.DUMMYFUNCTION("""COMPUTED_VALUE"""),18.0)</f>
        <v>18</v>
      </c>
      <c r="B65" s="18">
        <f>IFERROR(__xludf.DUMMYFUNCTION("""COMPUTED_VALUE"""),0.0)</f>
        <v>0</v>
      </c>
      <c r="C65" s="19" t="str">
        <f>IFERROR(__xludf.DUMMYFUNCTION("""COMPUTED_VALUE"""),"Tata")</f>
        <v>Tata</v>
      </c>
      <c r="D65" s="18"/>
      <c r="E65" s="18"/>
      <c r="F65" s="18"/>
      <c r="G65" s="18"/>
      <c r="H65" s="18" t="str">
        <f>IFERROR(__xludf.DUMMYFUNCTION("""COMPUTED_VALUE"""),"All")</f>
        <v>All</v>
      </c>
      <c r="I65" s="18"/>
      <c r="J65" s="18"/>
      <c r="K65" s="18"/>
      <c r="L65" s="21"/>
    </row>
    <row r="66">
      <c r="A66" s="17">
        <f>IFERROR(__xludf.DUMMYFUNCTION("""COMPUTED_VALUE"""),17.0)</f>
        <v>17</v>
      </c>
      <c r="B66" s="18">
        <f>IFERROR(__xludf.DUMMYFUNCTION("""COMPUTED_VALUE"""),0.0)</f>
        <v>0</v>
      </c>
      <c r="C66" s="19" t="str">
        <f>IFERROR(__xludf.DUMMYFUNCTION("""COMPUTED_VALUE"""),"Kinutamin")</f>
        <v>Kinutamin</v>
      </c>
      <c r="D66" s="18"/>
      <c r="E66" s="18"/>
      <c r="F66" s="18">
        <f>IFERROR(__xludf.DUMMYFUNCTION("""COMPUTED_VALUE"""),2.4)</f>
        <v>2.4</v>
      </c>
      <c r="G66" s="18" t="str">
        <f>IFERROR(__xludf.DUMMYFUNCTION("""COMPUTED_VALUE"""),"●")</f>
        <v>●</v>
      </c>
      <c r="H66" s="18" t="str">
        <f>IFERROR(__xludf.DUMMYFUNCTION("""COMPUTED_VALUE"""),"Oil")</f>
        <v>Oil</v>
      </c>
      <c r="I66" s="18"/>
      <c r="J66" s="18"/>
      <c r="K66" s="18"/>
      <c r="L66" s="20"/>
    </row>
    <row r="67">
      <c r="A67" s="17">
        <f>IFERROR(__xludf.DUMMYFUNCTION("""COMPUTED_VALUE"""),17.0)</f>
        <v>17</v>
      </c>
      <c r="B67" s="18">
        <f>IFERROR(__xludf.DUMMYFUNCTION("""COMPUTED_VALUE"""),3.0)</f>
        <v>3</v>
      </c>
      <c r="C67" s="19" t="str">
        <f>IFERROR(__xludf.DUMMYFUNCTION("""COMPUTED_VALUE"""),"Nutakoen")</f>
        <v>Nutakoen</v>
      </c>
      <c r="D67" s="18"/>
      <c r="E67" s="18"/>
      <c r="F67" s="18"/>
      <c r="G67" s="18"/>
      <c r="H67" s="18" t="str">
        <f>IFERROR(__xludf.DUMMYFUNCTION("""COMPUTED_VALUE"""),"×")</f>
        <v>×</v>
      </c>
      <c r="I67" s="18" t="str">
        <f>IFERROR(__xludf.DUMMYFUNCTION("""COMPUTED_VALUE"""),"G")</f>
        <v>G</v>
      </c>
      <c r="J67" s="18"/>
      <c r="K67" s="18"/>
      <c r="L67" s="20" t="str">
        <f>IFERROR(__xludf.DUMMYFUNCTION("""COMPUTED_VALUE"""),"Gyakufunsha can appear.")</f>
        <v>Gyakufunsha can appear.</v>
      </c>
    </row>
    <row r="68">
      <c r="A68" s="17">
        <f>IFERROR(__xludf.DUMMYFUNCTION("""COMPUTED_VALUE"""),16.0)</f>
        <v>16</v>
      </c>
      <c r="B68" s="18">
        <f>IFERROR(__xludf.DUMMYFUNCTION("""COMPUTED_VALUE"""),0.0)</f>
        <v>0</v>
      </c>
      <c r="C68" s="19" t="str">
        <f>IFERROR(__xludf.DUMMYFUNCTION("""COMPUTED_VALUE"""),"Kaga")</f>
        <v>Kaga</v>
      </c>
      <c r="D68" s="18" t="str">
        <f>IFERROR(__xludf.DUMMYFUNCTION("""COMPUTED_VALUE"""),"M")</f>
        <v>M</v>
      </c>
      <c r="E68" s="18">
        <f>IFERROR(__xludf.DUMMYFUNCTION("""COMPUTED_VALUE"""),4.0)</f>
        <v>4</v>
      </c>
      <c r="F68" s="18"/>
      <c r="G68" s="18" t="str">
        <f>IFERROR(__xludf.DUMMYFUNCTION("""COMPUTED_VALUE"""),"●")</f>
        <v>●</v>
      </c>
      <c r="H68" s="18" t="str">
        <f>IFERROR(__xludf.DUMMYFUNCTION("""COMPUTED_VALUE"""),"Wood")</f>
        <v>Wood</v>
      </c>
      <c r="I68" s="18"/>
      <c r="J68" s="18" t="str">
        <f>IFERROR(__xludf.DUMMYFUNCTION("""COMPUTED_VALUE"""),"WE Green")</f>
        <v>WE Green</v>
      </c>
      <c r="K68" s="18"/>
      <c r="L68" s="20" t="str">
        <f>IFERROR(__xludf.DUMMYFUNCTION("""COMPUTED_VALUE"""),"BOSS: JIN-DIE. Drops War Ensemble Green Metal.")</f>
        <v>BOSS: JIN-DIE. Drops War Ensemble Green Metal.</v>
      </c>
    </row>
    <row r="69">
      <c r="A69" s="17">
        <f>IFERROR(__xludf.DUMMYFUNCTION("""COMPUTED_VALUE"""),15.0)</f>
        <v>15</v>
      </c>
      <c r="B69" s="18">
        <f>IFERROR(__xludf.DUMMYFUNCTION("""COMPUTED_VALUE"""),0.0)</f>
        <v>0</v>
      </c>
      <c r="C69" s="19" t="str">
        <f>IFERROR(__xludf.DUMMYFUNCTION("""COMPUTED_VALUE"""),"Usogaya")</f>
        <v>Usogaya</v>
      </c>
      <c r="D69" s="18"/>
      <c r="E69" s="18"/>
      <c r="F69" s="18">
        <f>IFERROR(__xludf.DUMMYFUNCTION("""COMPUTED_VALUE"""),2.3)</f>
        <v>2.3</v>
      </c>
      <c r="G69" s="18" t="str">
        <f>IFERROR(__xludf.DUMMYFUNCTION("""COMPUTED_VALUE"""),"●")</f>
        <v>●</v>
      </c>
      <c r="H69" s="18" t="str">
        <f>IFERROR(__xludf.DUMMYFUNCTION("""COMPUTED_VALUE"""),"Iron")</f>
        <v>Iron</v>
      </c>
      <c r="I69" s="18"/>
      <c r="J69" s="18"/>
      <c r="K69" s="18"/>
      <c r="L69" s="20"/>
    </row>
    <row r="70">
      <c r="A70" s="17">
        <f>IFERROR(__xludf.DUMMYFUNCTION("""COMPUTED_VALUE"""),15.0)</f>
        <v>15</v>
      </c>
      <c r="B70" s="18">
        <f>IFERROR(__xludf.DUMMYFUNCTION("""COMPUTED_VALUE"""),0.0)</f>
        <v>0</v>
      </c>
      <c r="C70" s="19" t="str">
        <f>IFERROR(__xludf.DUMMYFUNCTION("""COMPUTED_VALUE"""),"Uge")</f>
        <v>Uge</v>
      </c>
      <c r="D70" s="18"/>
      <c r="E70" s="18"/>
      <c r="F70" s="18"/>
      <c r="G70" s="18"/>
      <c r="H70" s="18" t="str">
        <f>IFERROR(__xludf.DUMMYFUNCTION("""COMPUTED_VALUE"""),"Copper")</f>
        <v>Copper</v>
      </c>
      <c r="I70" s="18"/>
      <c r="J70" s="18"/>
      <c r="K70" s="18"/>
      <c r="L70" s="20"/>
    </row>
    <row r="71">
      <c r="A71" s="17">
        <f>IFERROR(__xludf.DUMMYFUNCTION("""COMPUTED_VALUE"""),14.0)</f>
        <v>14</v>
      </c>
      <c r="B71" s="18">
        <f>IFERROR(__xludf.DUMMYFUNCTION("""COMPUTED_VALUE"""),0.0)</f>
        <v>0</v>
      </c>
      <c r="C71" s="19" t="str">
        <f>IFERROR(__xludf.DUMMYFUNCTION("""COMPUTED_VALUE"""),"Yamadai")</f>
        <v>Yamadai</v>
      </c>
      <c r="D71" s="18"/>
      <c r="E71" s="18"/>
      <c r="F71" s="18">
        <f>IFERROR(__xludf.DUMMYFUNCTION("""COMPUTED_VALUE"""),2.2)</f>
        <v>2.2</v>
      </c>
      <c r="G71" s="18"/>
      <c r="H71" s="18" t="str">
        <f>IFERROR(__xludf.DUMMYFUNCTION("""COMPUTED_VALUE"""),"Fiber")</f>
        <v>Fiber</v>
      </c>
      <c r="I71" s="18"/>
      <c r="J71" s="18"/>
      <c r="K71" s="18"/>
      <c r="L71" s="20" t="str">
        <f>IFERROR(__xludf.DUMMYFUNCTION("""COMPUTED_VALUE"""),"Many Hemp spawns (about 3-6).")</f>
        <v>Many Hemp spawns (about 3-6).</v>
      </c>
    </row>
    <row r="72">
      <c r="A72" s="17">
        <f>IFERROR(__xludf.DUMMYFUNCTION("""COMPUTED_VALUE"""),14.0)</f>
        <v>14</v>
      </c>
      <c r="B72" s="18">
        <f>IFERROR(__xludf.DUMMYFUNCTION("""COMPUTED_VALUE"""),3.0)</f>
        <v>3</v>
      </c>
      <c r="C72" s="19" t="str">
        <f>IFERROR(__xludf.DUMMYFUNCTION("""COMPUTED_VALUE"""),"Koshi-Tagawa")</f>
        <v>Koshi-Tagawa</v>
      </c>
      <c r="D72" s="18"/>
      <c r="E72" s="18"/>
      <c r="F72" s="18"/>
      <c r="G72" s="18"/>
      <c r="H72" s="18" t="str">
        <f>IFERROR(__xludf.DUMMYFUNCTION("""COMPUTED_VALUE"""),"×")</f>
        <v>×</v>
      </c>
      <c r="I72" s="18" t="str">
        <f>IFERROR(__xludf.DUMMYFUNCTION("""COMPUTED_VALUE"""),"G")</f>
        <v>G</v>
      </c>
      <c r="J72" s="18"/>
      <c r="K72" s="18"/>
      <c r="L72" s="20" t="str">
        <f>IFERROR(__xludf.DUMMYFUNCTION("""COMPUTED_VALUE"""),"Gyakufunsha can appear. Floor is active every day, except Friday.")</f>
        <v>Gyakufunsha can appear. Floor is active every day, except Friday.</v>
      </c>
    </row>
    <row r="73">
      <c r="A73" s="17">
        <f>IFERROR(__xludf.DUMMYFUNCTION("""COMPUTED_VALUE"""),14.0)</f>
        <v>14</v>
      </c>
      <c r="B73" s="18">
        <f>IFERROR(__xludf.DUMMYFUNCTION("""COMPUTED_VALUE"""),3.0)</f>
        <v>3</v>
      </c>
      <c r="C73" s="19" t="str">
        <f>IFERROR(__xludf.DUMMYFUNCTION("""COMPUTED_VALUE"""),"Ukisawa")</f>
        <v>Ukisawa</v>
      </c>
      <c r="D73" s="18"/>
      <c r="E73" s="18"/>
      <c r="F73" s="18"/>
      <c r="G73" s="18"/>
      <c r="H73" s="18" t="str">
        <f>IFERROR(__xludf.DUMMYFUNCTION("""COMPUTED_VALUE"""),"Iron")</f>
        <v>Iron</v>
      </c>
      <c r="I73" s="18"/>
      <c r="J73" s="18"/>
      <c r="K73" s="18"/>
      <c r="L73" s="20"/>
    </row>
    <row r="74">
      <c r="A74" s="17">
        <f>IFERROR(__xludf.DUMMYFUNCTION("""COMPUTED_VALUE"""),13.0)</f>
        <v>13</v>
      </c>
      <c r="B74" s="18">
        <f>IFERROR(__xludf.DUMMYFUNCTION("""COMPUTED_VALUE"""),0.0)</f>
        <v>0</v>
      </c>
      <c r="C74" s="19" t="str">
        <f>IFERROR(__xludf.DUMMYFUNCTION("""COMPUTED_VALUE"""),"Kamoto")</f>
        <v>Kamoto</v>
      </c>
      <c r="D74" s="18" t="str">
        <f>IFERROR(__xludf.DUMMYFUNCTION("""COMPUTED_VALUE"""),"M")</f>
        <v>M</v>
      </c>
      <c r="E74" s="18">
        <f>IFERROR(__xludf.DUMMYFUNCTION("""COMPUTED_VALUE"""),3.0)</f>
        <v>3</v>
      </c>
      <c r="F74" s="18"/>
      <c r="G74" s="18"/>
      <c r="H74" s="18" t="str">
        <f>IFERROR(__xludf.DUMMYFUNCTION("""COMPUTED_VALUE"""),"All")</f>
        <v>All</v>
      </c>
      <c r="I74" s="18"/>
      <c r="J74" s="18"/>
      <c r="K74" s="18"/>
      <c r="L74" s="20"/>
    </row>
    <row r="75">
      <c r="A75" s="17">
        <f>IFERROR(__xludf.DUMMYFUNCTION("""COMPUTED_VALUE"""),13.0)</f>
        <v>13</v>
      </c>
      <c r="B75" s="18">
        <f>IFERROR(__xludf.DUMMYFUNCTION("""COMPUTED_VALUE"""),0.0)</f>
        <v>0</v>
      </c>
      <c r="C75" s="19" t="str">
        <f>IFERROR(__xludf.DUMMYFUNCTION("""COMPUTED_VALUE"""),"Momohara")</f>
        <v>Momohara</v>
      </c>
      <c r="D75" s="18"/>
      <c r="E75" s="18"/>
      <c r="F75" s="18">
        <f>IFERROR(__xludf.DUMMYFUNCTION("""COMPUTED_VALUE"""),2.1)</f>
        <v>2.1</v>
      </c>
      <c r="G75" s="18"/>
      <c r="H75" s="18" t="str">
        <f>IFERROR(__xludf.DUMMYFUNCTION("""COMPUTED_VALUE"""),"All")</f>
        <v>All</v>
      </c>
      <c r="I75" s="18"/>
      <c r="J75" s="18"/>
      <c r="K75" s="18"/>
      <c r="L75" s="20"/>
    </row>
    <row r="76">
      <c r="A76" s="17">
        <f>IFERROR(__xludf.DUMMYFUNCTION("""COMPUTED_VALUE"""),13.0)</f>
        <v>13</v>
      </c>
      <c r="B76" s="18">
        <f>IFERROR(__xludf.DUMMYFUNCTION("""COMPUTED_VALUE"""),3.0)</f>
        <v>3</v>
      </c>
      <c r="C76" s="19" t="str">
        <f>IFERROR(__xludf.DUMMYFUNCTION("""COMPUTED_VALUE"""),"Okusa")</f>
        <v>Okusa</v>
      </c>
      <c r="D76" s="18"/>
      <c r="E76" s="18"/>
      <c r="F76" s="18"/>
      <c r="G76" s="18" t="str">
        <f>IFERROR(__xludf.DUMMYFUNCTION("""COMPUTED_VALUE"""),"●")</f>
        <v>●</v>
      </c>
      <c r="H76" s="18" t="str">
        <f>IFERROR(__xludf.DUMMYFUNCTION("""COMPUTED_VALUE"""),"Fiber")</f>
        <v>Fiber</v>
      </c>
      <c r="I76" s="18"/>
      <c r="J76" s="18"/>
      <c r="K76" s="18"/>
      <c r="L76" s="20" t="str">
        <f>IFERROR(__xludf.DUMMYFUNCTION("""COMPUTED_VALUE"""),"Unlock from 14F Ukisawa. 2-3 Golden Snails, throw a Beast to knock them down.")</f>
        <v>Unlock from 14F Ukisawa. 2-3 Golden Snails, throw a Beast to knock them down.</v>
      </c>
    </row>
    <row r="77">
      <c r="A77" s="17">
        <f>IFERROR(__xludf.DUMMYFUNCTION("""COMPUTED_VALUE"""),12.0)</f>
        <v>12</v>
      </c>
      <c r="B77" s="18">
        <f>IFERROR(__xludf.DUMMYFUNCTION("""COMPUTED_VALUE"""),0.0)</f>
        <v>0</v>
      </c>
      <c r="C77" s="19" t="str">
        <f>IFERROR(__xludf.DUMMYFUNCTION("""COMPUTED_VALUE"""),"Ukongaoka")</f>
        <v>Ukongaoka</v>
      </c>
      <c r="D77" s="18" t="str">
        <f>IFERROR(__xludf.DUMMYFUNCTION("""COMPUTED_VALUE"""),"M")</f>
        <v>M</v>
      </c>
      <c r="E77" s="18"/>
      <c r="F77" s="18"/>
      <c r="G77" s="18" t="str">
        <f>IFERROR(__xludf.DUMMYFUNCTION("""COMPUTED_VALUE"""),"●")</f>
        <v>●</v>
      </c>
      <c r="H77" s="18" t="str">
        <f>IFERROR(__xludf.DUMMYFUNCTION("""COMPUTED_VALUE"""),"Fiber")</f>
        <v>Fiber</v>
      </c>
      <c r="I77" s="18"/>
      <c r="J77" s="18"/>
      <c r="K77" s="18"/>
      <c r="L77" s="20"/>
    </row>
    <row r="78" ht="1.5" customHeight="1">
      <c r="A78" s="17">
        <f>IFERROR(__xludf.DUMMYFUNCTION("""COMPUTED_VALUE"""),12.0)</f>
        <v>12</v>
      </c>
      <c r="B78" s="18">
        <f>IFERROR(__xludf.DUMMYFUNCTION("""COMPUTED_VALUE"""),0.0)</f>
        <v>0</v>
      </c>
      <c r="C78" s="19" t="str">
        <f>IFERROR(__xludf.DUMMYFUNCTION("""COMPUTED_VALUE"""),"Seyane")</f>
        <v>Seyane</v>
      </c>
      <c r="D78" s="18"/>
      <c r="E78" s="18"/>
      <c r="F78" s="18"/>
      <c r="G78" s="18"/>
      <c r="H78" s="18" t="str">
        <f>IFERROR(__xludf.DUMMYFUNCTION("""COMPUTED_VALUE"""),"All")</f>
        <v>All</v>
      </c>
      <c r="I78" s="18"/>
      <c r="J78" s="18"/>
      <c r="K78" s="18"/>
      <c r="L78" s="20" t="str">
        <f>IFERROR(__xludf.DUMMYFUNCTION("""COMPUTED_VALUE"""),"Unlock from 14F Yamadai.")</f>
        <v>Unlock from 14F Yamadai.</v>
      </c>
    </row>
    <row r="79" ht="1.5" customHeight="1">
      <c r="A79" s="17">
        <f>IFERROR(__xludf.DUMMYFUNCTION("""COMPUTED_VALUE"""),11.0)</f>
        <v>11</v>
      </c>
      <c r="B79" s="18">
        <f>IFERROR(__xludf.DUMMYFUNCTION("""COMPUTED_VALUE"""),0.0)</f>
        <v>0</v>
      </c>
      <c r="C79" s="19" t="str">
        <f>IFERROR(__xludf.DUMMYFUNCTION("""COMPUTED_VALUE"""),"Maka-Tsutsumi")</f>
        <v>Maka-Tsutsumi</v>
      </c>
      <c r="D79" s="18" t="str">
        <f>IFERROR(__xludf.DUMMYFUNCTION("""COMPUTED_VALUE"""),"M")</f>
        <v>M</v>
      </c>
      <c r="E79" s="18"/>
      <c r="F79" s="18"/>
      <c r="G79" s="18"/>
      <c r="H79" s="18" t="str">
        <f>IFERROR(__xludf.DUMMYFUNCTION("""COMPUTED_VALUE"""),"×")</f>
        <v>×</v>
      </c>
      <c r="I79" s="18"/>
      <c r="J79" s="18" t="str">
        <f>IFERROR(__xludf.DUMMYFUNCTION("""COMPUTED_VALUE"""),"CW Green")</f>
        <v>CW Green</v>
      </c>
      <c r="K79" s="18"/>
      <c r="L79" s="20" t="str">
        <f>IFERROR(__xludf.DUMMYFUNCTION("""COMPUTED_VALUE"""),"BOSS: GOTO-9. Drops Candle Wolf Green Metal.")</f>
        <v>BOSS: GOTO-9. Drops Candle Wolf Green Metal.</v>
      </c>
    </row>
    <row r="80" ht="1.5" customHeight="1">
      <c r="A80" s="17">
        <f>IFERROR(__xludf.DUMMYFUNCTION("""COMPUTED_VALUE"""),11.0)</f>
        <v>11</v>
      </c>
      <c r="B80" s="18">
        <f>IFERROR(__xludf.DUMMYFUNCTION("""COMPUTED_VALUE"""),3.0)</f>
        <v>3</v>
      </c>
      <c r="C80" s="19" t="str">
        <f>IFERROR(__xludf.DUMMYFUNCTION("""COMPUTED_VALUE"""),"Nokejiri")</f>
        <v>Nokejiri</v>
      </c>
      <c r="D80" s="18"/>
      <c r="E80" s="18"/>
      <c r="F80" s="18"/>
      <c r="G80" s="18" t="str">
        <f>IFERROR(__xludf.DUMMYFUNCTION("""COMPUTED_VALUE"""),"●")</f>
        <v>●</v>
      </c>
      <c r="H80" s="18" t="str">
        <f>IFERROR(__xludf.DUMMYFUNCTION("""COMPUTED_VALUE"""),"All")</f>
        <v>All</v>
      </c>
      <c r="I80" s="18"/>
      <c r="J80" s="18"/>
      <c r="K80" s="18"/>
      <c r="L80" s="20" t="str">
        <f>IFERROR(__xludf.DUMMYFUNCTION("""COMPUTED_VALUE"""),"Unlock from 10F Shimo-Omeno. Trap room not active on Tue/Wed/Sat/Sun.")</f>
        <v>Unlock from 10F Shimo-Omeno. Trap room not active on Tue/Wed/Sat/Sun.</v>
      </c>
    </row>
    <row r="81" ht="1.5" customHeight="1">
      <c r="A81" s="17">
        <f>IFERROR(__xludf.DUMMYFUNCTION("""COMPUTED_VALUE"""),10.0)</f>
        <v>10</v>
      </c>
      <c r="B81" s="18">
        <f>IFERROR(__xludf.DUMMYFUNCTION("""COMPUTED_VALUE"""),0.0)</f>
        <v>0</v>
      </c>
      <c r="C81" s="19" t="str">
        <f>IFERROR(__xludf.DUMMYFUNCTION("""COMPUTED_VALUE"""),"Shimo-Omeno")</f>
        <v>Shimo-Omeno</v>
      </c>
      <c r="D81" s="18"/>
      <c r="E81" s="18"/>
      <c r="F81" s="18"/>
      <c r="G81" s="18"/>
      <c r="H81" s="18" t="str">
        <f>IFERROR(__xludf.DUMMYFUNCTION("""COMPUTED_VALUE"""),"Fiber")</f>
        <v>Fiber</v>
      </c>
      <c r="I81" s="18"/>
      <c r="J81" s="18"/>
      <c r="K81" s="18"/>
      <c r="L81" s="20"/>
    </row>
    <row r="82" ht="1.5" customHeight="1">
      <c r="A82" s="17">
        <f>IFERROR(__xludf.DUMMYFUNCTION("""COMPUTED_VALUE"""),10.0)</f>
        <v>10</v>
      </c>
      <c r="B82" s="18">
        <f>IFERROR(__xludf.DUMMYFUNCTION("""COMPUTED_VALUE"""),0.0)</f>
        <v>0</v>
      </c>
      <c r="C82" s="19" t="str">
        <f>IFERROR(__xludf.DUMMYFUNCTION("""COMPUTED_VALUE"""),"Omeno-Soto")</f>
        <v>Omeno-Soto</v>
      </c>
      <c r="D82" s="18" t="str">
        <f>IFERROR(__xludf.DUMMYFUNCTION("""COMPUTED_VALUE"""),"M")</f>
        <v>M</v>
      </c>
      <c r="E82" s="18"/>
      <c r="F82" s="18"/>
      <c r="G82" s="18" t="str">
        <f>IFERROR(__xludf.DUMMYFUNCTION("""COMPUTED_VALUE"""),"●")</f>
        <v>●</v>
      </c>
      <c r="H82" s="18" t="str">
        <f>IFERROR(__xludf.DUMMYFUNCTION("""COMPUTED_VALUE"""),"×")</f>
        <v>×</v>
      </c>
      <c r="I82" s="18"/>
      <c r="J82" s="18" t="str">
        <f>IFERROR(__xludf.DUMMYFUNCTION("""COMPUTED_VALUE"""),"DOD Blue")</f>
        <v>DOD Blue</v>
      </c>
      <c r="K82" s="18"/>
      <c r="L82" s="20" t="str">
        <f>IFERROR(__xludf.DUMMYFUNCTION("""COMPUTED_VALUE"""),"BOSS: Max Sharp.")</f>
        <v>BOSS: Max Sharp.</v>
      </c>
    </row>
    <row r="83">
      <c r="A83" s="17">
        <f>IFERROR(__xludf.DUMMYFUNCTION("""COMPUTED_VALUE"""),9.0)</f>
        <v>9</v>
      </c>
      <c r="B83" s="18">
        <f>IFERROR(__xludf.DUMMYFUNCTION("""COMPUTED_VALUE"""),0.0)</f>
        <v>0</v>
      </c>
      <c r="C83" s="19" t="str">
        <f>IFERROR(__xludf.DUMMYFUNCTION("""COMPUTED_VALUE"""),"Nashiyoguchi")</f>
        <v>Nashiyoguchi</v>
      </c>
      <c r="D83" s="18" t="str">
        <f>IFERROR(__xludf.DUMMYFUNCTION("""COMPUTED_VALUE"""),"M")</f>
        <v>M</v>
      </c>
      <c r="E83" s="18"/>
      <c r="F83" s="18"/>
      <c r="G83" s="18" t="str">
        <f>IFERROR(__xludf.DUMMYFUNCTION("""COMPUTED_VALUE"""),"●")</f>
        <v>●</v>
      </c>
      <c r="H83" s="18" t="str">
        <f>IFERROR(__xludf.DUMMYFUNCTION("""COMPUTED_VALUE"""),"Copper")</f>
        <v>Copper</v>
      </c>
      <c r="I83" s="18"/>
      <c r="J83" s="18"/>
      <c r="K83" s="18"/>
      <c r="L83" s="20"/>
    </row>
    <row r="84">
      <c r="A84" s="17">
        <f>IFERROR(__xludf.DUMMYFUNCTION("""COMPUTED_VALUE"""),9.0)</f>
        <v>9</v>
      </c>
      <c r="B84" s="18">
        <f>IFERROR(__xludf.DUMMYFUNCTION("""COMPUTED_VALUE"""),0.0)</f>
        <v>0</v>
      </c>
      <c r="C84" s="19" t="str">
        <f>IFERROR(__xludf.DUMMYFUNCTION("""COMPUTED_VALUE"""),"Yoneguchi")</f>
        <v>Yoneguchi</v>
      </c>
      <c r="D84" s="18"/>
      <c r="E84" s="18"/>
      <c r="F84" s="18"/>
      <c r="G84" s="18"/>
      <c r="H84" s="18" t="str">
        <f>IFERROR(__xludf.DUMMYFUNCTION("""COMPUTED_VALUE"""),"All")</f>
        <v>All</v>
      </c>
      <c r="I84" s="18" t="str">
        <f>IFERROR(__xludf.DUMMYFUNCTION("""COMPUTED_VALUE"""),"G")</f>
        <v>G</v>
      </c>
      <c r="J84" s="18"/>
      <c r="K84" s="18"/>
      <c r="L84" s="20" t="str">
        <f>IFERROR(__xludf.DUMMYFUNCTION("""COMPUTED_VALUE"""),"Gyakufunsha can appear.")</f>
        <v>Gyakufunsha can appear.</v>
      </c>
    </row>
    <row r="85">
      <c r="A85" s="17">
        <f>IFERROR(__xludf.DUMMYFUNCTION("""COMPUTED_VALUE"""),9.0)</f>
        <v>9</v>
      </c>
      <c r="B85" s="18">
        <f>IFERROR(__xludf.DUMMYFUNCTION("""COMPUTED_VALUE"""),0.0)</f>
        <v>0</v>
      </c>
      <c r="C85" s="19" t="str">
        <f>IFERROR(__xludf.DUMMYFUNCTION("""COMPUTED_VALUE"""),"Yoshiki-Dani")</f>
        <v>Yoshiki-Dani</v>
      </c>
      <c r="D85" s="18"/>
      <c r="E85" s="18"/>
      <c r="F85" s="18">
        <f>IFERROR(__xludf.DUMMYFUNCTION("""COMPUTED_VALUE"""),1.6)</f>
        <v>1.6</v>
      </c>
      <c r="G85" s="18"/>
      <c r="H85" s="18" t="str">
        <f>IFERROR(__xludf.DUMMYFUNCTION("""COMPUTED_VALUE"""),"Fiber")</f>
        <v>Fiber</v>
      </c>
      <c r="I85" s="18"/>
      <c r="J85" s="18"/>
      <c r="K85" s="18"/>
      <c r="L85" s="20" t="str">
        <f>IFERROR(__xludf.DUMMYFUNCTION("""COMPUTED_VALUE"""),"One Mk-1 Reversal Tuber.")</f>
        <v>One Mk-1 Reversal Tuber.</v>
      </c>
    </row>
    <row r="86">
      <c r="A86" s="17">
        <f>IFERROR(__xludf.DUMMYFUNCTION("""COMPUTED_VALUE"""),9.0)</f>
        <v>9</v>
      </c>
      <c r="B86" s="18">
        <f>IFERROR(__xludf.DUMMYFUNCTION("""COMPUTED_VALUE"""),3.0)</f>
        <v>3</v>
      </c>
      <c r="C86" s="19" t="str">
        <f>IFERROR(__xludf.DUMMYFUNCTION("""COMPUTED_VALUE"""),"Dasahi-Machi")</f>
        <v>Dasahi-Machi</v>
      </c>
      <c r="D86" s="18"/>
      <c r="E86" s="18"/>
      <c r="F86" s="18"/>
      <c r="G86" s="18"/>
      <c r="H86" s="18" t="str">
        <f>IFERROR(__xludf.DUMMYFUNCTION("""COMPUTED_VALUE"""),"Fiber")</f>
        <v>Fiber</v>
      </c>
      <c r="I86" s="18"/>
      <c r="J86" s="18"/>
      <c r="K86" s="18"/>
      <c r="L86" s="20" t="str">
        <f>IFERROR(__xludf.DUMMYFUNCTION("""COMPUTED_VALUE"""),"Five Mk-1 Bone Tubers.")</f>
        <v>Five Mk-1 Bone Tubers.</v>
      </c>
    </row>
    <row r="87">
      <c r="A87" s="17">
        <f>IFERROR(__xludf.DUMMYFUNCTION("""COMPUTED_VALUE"""),8.0)</f>
        <v>8</v>
      </c>
      <c r="B87" s="18">
        <f>IFERROR(__xludf.DUMMYFUNCTION("""COMPUTED_VALUE"""),0.0)</f>
        <v>0</v>
      </c>
      <c r="C87" s="19" t="str">
        <f>IFERROR(__xludf.DUMMYFUNCTION("""COMPUTED_VALUE"""),"Niko-Senzoku")</f>
        <v>Niko-Senzoku</v>
      </c>
      <c r="D87" s="18" t="str">
        <f>IFERROR(__xludf.DUMMYFUNCTION("""COMPUTED_VALUE"""),"M")</f>
        <v>M</v>
      </c>
      <c r="E87" s="18"/>
      <c r="F87" s="18"/>
      <c r="G87" s="18"/>
      <c r="H87" s="18" t="str">
        <f>IFERROR(__xludf.DUMMYFUNCTION("""COMPUTED_VALUE"""),"Aluminum")</f>
        <v>Aluminum</v>
      </c>
      <c r="I87" s="18"/>
      <c r="J87" s="18"/>
      <c r="K87" s="18"/>
      <c r="L87" s="20" t="str">
        <f>IFERROR(__xludf.DUMMYFUNCTION("""COMPUTED_VALUE"""),"Unlock from 6F Mekaroku-Go. One Mk-1 Bullet Tuber.")</f>
        <v>Unlock from 6F Mekaroku-Go. One Mk-1 Bullet Tuber.</v>
      </c>
    </row>
    <row r="88">
      <c r="A88" s="17">
        <f>IFERROR(__xludf.DUMMYFUNCTION("""COMPUTED_VALUE"""),8.0)</f>
        <v>8</v>
      </c>
      <c r="B88" s="18">
        <f>IFERROR(__xludf.DUMMYFUNCTION("""COMPUTED_VALUE"""),0.0)</f>
        <v>0</v>
      </c>
      <c r="C88" s="19" t="str">
        <f>IFERROR(__xludf.DUMMYFUNCTION("""COMPUTED_VALUE"""),"Meta-Koya")</f>
        <v>Meta-Koya</v>
      </c>
      <c r="D88" s="18"/>
      <c r="E88" s="18"/>
      <c r="F88" s="18"/>
      <c r="G88" s="18"/>
      <c r="H88" s="18" t="str">
        <f>IFERROR(__xludf.DUMMYFUNCTION("""COMPUTED_VALUE"""),"Fiber")</f>
        <v>Fiber</v>
      </c>
      <c r="I88" s="18"/>
      <c r="J88" s="18"/>
      <c r="K88" s="18"/>
      <c r="L88" s="20"/>
    </row>
    <row r="89">
      <c r="A89" s="17">
        <f>IFERROR(__xludf.DUMMYFUNCTION("""COMPUTED_VALUE"""),7.0)</f>
        <v>7</v>
      </c>
      <c r="B89" s="18">
        <f>IFERROR(__xludf.DUMMYFUNCTION("""COMPUTED_VALUE"""),0.0)</f>
        <v>0</v>
      </c>
      <c r="C89" s="19" t="str">
        <f>IFERROR(__xludf.DUMMYFUNCTION("""COMPUTED_VALUE"""),"Daneda")</f>
        <v>Daneda</v>
      </c>
      <c r="D89" s="18"/>
      <c r="E89" s="18"/>
      <c r="F89" s="18"/>
      <c r="G89" s="18"/>
      <c r="H89" s="18" t="str">
        <f>IFERROR(__xludf.DUMMYFUNCTION("""COMPUTED_VALUE"""),"Oil")</f>
        <v>Oil</v>
      </c>
      <c r="I89" s="18"/>
      <c r="J89" s="18"/>
      <c r="K89" s="18"/>
      <c r="L89" s="20" t="str">
        <f>IFERROR(__xludf.DUMMYFUNCTION("""COMPUTED_VALUE"""),"Unlock from Niko-Senzoku Lots of Snails.")</f>
        <v>Unlock from Niko-Senzoku Lots of Snails.</v>
      </c>
    </row>
    <row r="90">
      <c r="A90" s="17">
        <f>IFERROR(__xludf.DUMMYFUNCTION("""COMPUTED_VALUE"""),7.0)</f>
        <v>7</v>
      </c>
      <c r="B90" s="18">
        <f>IFERROR(__xludf.DUMMYFUNCTION("""COMPUTED_VALUE"""),0.0)</f>
        <v>0</v>
      </c>
      <c r="C90" s="19" t="str">
        <f>IFERROR(__xludf.DUMMYFUNCTION("""COMPUTED_VALUE"""),"Yuki")</f>
        <v>Yuki</v>
      </c>
      <c r="D90" s="18"/>
      <c r="E90" s="18"/>
      <c r="F90" s="18">
        <f>IFERROR(__xludf.DUMMYFUNCTION("""COMPUTED_VALUE"""),1.5)</f>
        <v>1.5</v>
      </c>
      <c r="G90" s="18" t="str">
        <f>IFERROR(__xludf.DUMMYFUNCTION("""COMPUTED_VALUE"""),"●")</f>
        <v>●</v>
      </c>
      <c r="H90" s="18" t="str">
        <f>IFERROR(__xludf.DUMMYFUNCTION("""COMPUTED_VALUE"""),"Fiber")</f>
        <v>Fiber</v>
      </c>
      <c r="I90" s="18"/>
      <c r="J90" s="18"/>
      <c r="K90" s="18"/>
      <c r="L90" s="20" t="str">
        <f>IFERROR(__xludf.DUMMYFUNCTION("""COMPUTED_VALUE"""),"Unlocked from HYAKUDORI (after Jin-Die Kill) Three Mk-1 Bullet Tubers.")</f>
        <v>Unlocked from HYAKUDORI (after Jin-Die Kill) Three Mk-1 Bullet Tubers.</v>
      </c>
    </row>
    <row r="91">
      <c r="A91" s="17">
        <f>IFERROR(__xludf.DUMMYFUNCTION("""COMPUTED_VALUE"""),7.0)</f>
        <v>7</v>
      </c>
      <c r="B91" s="18">
        <f>IFERROR(__xludf.DUMMYFUNCTION("""COMPUTED_VALUE"""),3.0)</f>
        <v>3</v>
      </c>
      <c r="C91" s="19" t="str">
        <f>IFERROR(__xludf.DUMMYFUNCTION("""COMPUTED_VALUE"""),"Goshi-Magome")</f>
        <v>Goshi-Magome</v>
      </c>
      <c r="D91" s="18"/>
      <c r="E91" s="18"/>
      <c r="F91" s="22"/>
      <c r="G91" s="18"/>
      <c r="H91" s="18" t="str">
        <f>IFERROR(__xludf.DUMMYFUNCTION("""COMPUTED_VALUE"""),"Copper")</f>
        <v>Copper</v>
      </c>
      <c r="I91" s="18"/>
      <c r="J91" s="18"/>
      <c r="K91" s="18"/>
      <c r="L91" s="20"/>
    </row>
    <row r="92">
      <c r="A92" s="17">
        <f>IFERROR(__xludf.DUMMYFUNCTION("""COMPUTED_VALUE"""),6.0)</f>
        <v>6</v>
      </c>
      <c r="B92" s="18">
        <f>IFERROR(__xludf.DUMMYFUNCTION("""COMPUTED_VALUE"""),3.0)</f>
        <v>3</v>
      </c>
      <c r="C92" s="19" t="str">
        <f>IFERROR(__xludf.DUMMYFUNCTION("""COMPUTED_VALUE"""),"Moka-Magome")</f>
        <v>Moka-Magome</v>
      </c>
      <c r="D92" s="18" t="str">
        <f>IFERROR(__xludf.DUMMYFUNCTION("""COMPUTED_VALUE"""),"M")</f>
        <v>M</v>
      </c>
      <c r="E92" s="18"/>
      <c r="F92" s="18">
        <f>IFERROR(__xludf.DUMMYFUNCTION("""COMPUTED_VALUE"""),1.4)</f>
        <v>1.4</v>
      </c>
      <c r="G92" s="18"/>
      <c r="H92" s="18" t="str">
        <f>IFERROR(__xludf.DUMMYFUNCTION("""COMPUTED_VALUE"""),"Iron")</f>
        <v>Iron</v>
      </c>
      <c r="I92" s="18"/>
      <c r="J92" s="18" t="str">
        <f>IFERROR(__xludf.DUMMYFUNCTION("""COMPUTED_VALUE"""),"WE Blue")</f>
        <v>WE Blue</v>
      </c>
      <c r="K92" s="18" t="str">
        <f>IFERROR(__xludf.DUMMYFUNCTION("""COMPUTED_VALUE"""),"Blue")</f>
        <v>Blue</v>
      </c>
      <c r="L92" s="20" t="str">
        <f>IFERROR(__xludf.DUMMYFUNCTION("""COMPUTED_VALUE"""),"BOSS: JIN-DIE. Drops War Ensemble Blue Metal. TRAP: Blue Metals, 5 Screamers.")</f>
        <v>BOSS: JIN-DIE. Drops War Ensemble Blue Metal. TRAP: Blue Metals, 5 Screamers.</v>
      </c>
    </row>
    <row r="93">
      <c r="A93" s="17">
        <f>IFERROR(__xludf.DUMMYFUNCTION("""COMPUTED_VALUE"""),6.0)</f>
        <v>6</v>
      </c>
      <c r="B93" s="18">
        <f>IFERROR(__xludf.DUMMYFUNCTION("""COMPUTED_VALUE"""),0.0)</f>
        <v>0</v>
      </c>
      <c r="C93" s="19" t="str">
        <f>IFERROR(__xludf.DUMMYFUNCTION("""COMPUTED_VALUE"""),"Mekaroku-Go")</f>
        <v>Mekaroku-Go</v>
      </c>
      <c r="D93" s="18"/>
      <c r="E93" s="18"/>
      <c r="F93" s="18"/>
      <c r="G93" s="18"/>
      <c r="H93" s="18" t="str">
        <f>IFERROR(__xludf.DUMMYFUNCTION("""COMPUTED_VALUE"""),"All")</f>
        <v>All</v>
      </c>
      <c r="I93" s="18"/>
      <c r="J93" s="18"/>
      <c r="K93" s="18"/>
      <c r="L93" s="20" t="str">
        <f>IFERROR(__xludf.DUMMYFUNCTION("""COMPUTED_VALUE"""),"Four Mk-1 Bullet Tubers, three of them in one room.")</f>
        <v>Four Mk-1 Bullet Tubers, three of them in one room.</v>
      </c>
    </row>
    <row r="94">
      <c r="A94" s="17">
        <f>IFERROR(__xludf.DUMMYFUNCTION("""COMPUTED_VALUE"""),6.0)</f>
        <v>6</v>
      </c>
      <c r="B94" s="18">
        <f>IFERROR(__xludf.DUMMYFUNCTION("""COMPUTED_VALUE"""),3.0)</f>
        <v>3</v>
      </c>
      <c r="C94" s="19" t="str">
        <f>IFERROR(__xludf.DUMMYFUNCTION("""COMPUTED_VALUE"""),"Heimo-Jima")</f>
        <v>Heimo-Jima</v>
      </c>
      <c r="D94" s="18"/>
      <c r="E94" s="18"/>
      <c r="F94" s="18"/>
      <c r="G94" s="18"/>
      <c r="H94" s="18" t="str">
        <f>IFERROR(__xludf.DUMMYFUNCTION("""COMPUTED_VALUE"""),"Copper")</f>
        <v>Copper</v>
      </c>
      <c r="I94" s="18"/>
      <c r="J94" s="18"/>
      <c r="K94" s="18"/>
      <c r="L94" s="20" t="str">
        <f>IFERROR(__xludf.DUMMYFUNCTION("""COMPUTED_VALUE"""),"Unlock from 9F Dasahi-Machi. One long hallway with 25 Mk-1 Scratch Tubers and a Hater.")</f>
        <v>Unlock from 9F Dasahi-Machi. One long hallway with 25 Mk-1 Scratch Tubers and a Hater.</v>
      </c>
    </row>
    <row r="95">
      <c r="A95" s="17">
        <f>IFERROR(__xludf.DUMMYFUNCTION("""COMPUTED_VALUE"""),5.0)</f>
        <v>5</v>
      </c>
      <c r="B95" s="18">
        <f>IFERROR(__xludf.DUMMYFUNCTION("""COMPUTED_VALUE"""),0.0)</f>
        <v>0</v>
      </c>
      <c r="C95" s="19" t="str">
        <f>IFERROR(__xludf.DUMMYFUNCTION("""COMPUTED_VALUE"""),"Hyakudori")</f>
        <v>Hyakudori</v>
      </c>
      <c r="D95" s="18" t="str">
        <f>IFERROR(__xludf.DUMMYFUNCTION("""COMPUTED_VALUE"""),"M")</f>
        <v>M</v>
      </c>
      <c r="E95" s="18"/>
      <c r="F95" s="18">
        <f>IFERROR(__xludf.DUMMYFUNCTION("""COMPUTED_VALUE"""),1.3)</f>
        <v>1.3</v>
      </c>
      <c r="G95" s="18" t="str">
        <f>IFERROR(__xludf.DUMMYFUNCTION("""COMPUTED_VALUE"""),"●")</f>
        <v>●</v>
      </c>
      <c r="H95" s="18" t="str">
        <f>IFERROR(__xludf.DUMMYFUNCTION("""COMPUTED_VALUE"""),"Fiber")</f>
        <v>Fiber</v>
      </c>
      <c r="I95" s="18"/>
      <c r="J95" s="18"/>
      <c r="K95" s="18"/>
      <c r="L95" s="20" t="str">
        <f>IFERROR(__xludf.DUMMYFUNCTION("""COMPUTED_VALUE"""),"Unlock from 3F Kami-Ikedoi.")</f>
        <v>Unlock from 3F Kami-Ikedoi.</v>
      </c>
    </row>
    <row r="96">
      <c r="A96" s="17">
        <f>IFERROR(__xludf.DUMMYFUNCTION("""COMPUTED_VALUE"""),5.0)</f>
        <v>5</v>
      </c>
      <c r="B96" s="18">
        <f>IFERROR(__xludf.DUMMYFUNCTION("""COMPUTED_VALUE"""),0.0)</f>
        <v>0</v>
      </c>
      <c r="C96" s="19" t="str">
        <f>IFERROR(__xludf.DUMMYFUNCTION("""COMPUTED_VALUE"""),"Joten-Jima")</f>
        <v>Joten-Jima</v>
      </c>
      <c r="D96" s="18"/>
      <c r="E96" s="18"/>
      <c r="F96" s="18"/>
      <c r="G96" s="18"/>
      <c r="H96" s="18" t="str">
        <f>IFERROR(__xludf.DUMMYFUNCTION("""COMPUTED_VALUE"""),"Wood")</f>
        <v>Wood</v>
      </c>
      <c r="I96" s="18"/>
      <c r="J96" s="18"/>
      <c r="K96" s="18"/>
      <c r="L96" s="20"/>
    </row>
    <row r="97">
      <c r="A97" s="17">
        <f>IFERROR(__xludf.DUMMYFUNCTION("""COMPUTED_VALUE"""),5.0)</f>
        <v>5</v>
      </c>
      <c r="B97" s="18">
        <f>IFERROR(__xludf.DUMMYFUNCTION("""COMPUTED_VALUE"""),3.0)</f>
        <v>3</v>
      </c>
      <c r="C97" s="19" t="str">
        <f>IFERROR(__xludf.DUMMYFUNCTION("""COMPUTED_VALUE"""),"Denden-Chofu")</f>
        <v>Denden-Chofu</v>
      </c>
      <c r="D97" s="18"/>
      <c r="E97" s="18"/>
      <c r="F97" s="18"/>
      <c r="G97" s="18"/>
      <c r="H97" s="18" t="str">
        <f>IFERROR(__xludf.DUMMYFUNCTION("""COMPUTED_VALUE"""),"Fiber")</f>
        <v>Fiber</v>
      </c>
      <c r="I97" s="18" t="str">
        <f>IFERROR(__xludf.DUMMYFUNCTION("""COMPUTED_VALUE"""),"G")</f>
        <v>G</v>
      </c>
      <c r="J97" s="18"/>
      <c r="K97" s="18"/>
      <c r="L97" s="20" t="str">
        <f>IFERROR(__xludf.DUMMYFUNCTION("""COMPUTED_VALUE"""),"Gyakufunsha can appear. Many Wool spawns.")</f>
        <v>Gyakufunsha can appear. Many Wool spawns.</v>
      </c>
    </row>
    <row r="98">
      <c r="A98" s="17">
        <f>IFERROR(__xludf.DUMMYFUNCTION("""COMPUTED_VALUE"""),5.0)</f>
        <v>5</v>
      </c>
      <c r="B98" s="18">
        <f>IFERROR(__xludf.DUMMYFUNCTION("""COMPUTED_VALUE"""),3.0)</f>
        <v>3</v>
      </c>
      <c r="C98" s="19" t="str">
        <f>IFERROR(__xludf.DUMMYFUNCTION("""COMPUTED_VALUE"""),"Moka-Ikegami")</f>
        <v>Moka-Ikegami</v>
      </c>
      <c r="D98" s="18"/>
      <c r="E98" s="18"/>
      <c r="F98" s="18"/>
      <c r="G98" s="18"/>
      <c r="H98" s="18" t="str">
        <f>IFERROR(__xludf.DUMMYFUNCTION("""COMPUTED_VALUE"""),"Copper")</f>
        <v>Copper</v>
      </c>
      <c r="I98" s="18"/>
      <c r="J98" s="18"/>
      <c r="K98" s="18"/>
      <c r="L98" s="20"/>
    </row>
    <row r="99">
      <c r="A99" s="17">
        <f>IFERROR(__xludf.DUMMYFUNCTION("""COMPUTED_VALUE"""),4.0)</f>
        <v>4</v>
      </c>
      <c r="B99" s="18">
        <f>IFERROR(__xludf.DUMMYFUNCTION("""COMPUTED_VALUE"""),0.0)</f>
        <v>0</v>
      </c>
      <c r="C99" s="19" t="str">
        <f>IFERROR(__xludf.DUMMYFUNCTION("""COMPUTED_VALUE"""),"Tagahara")</f>
        <v>Tagahara</v>
      </c>
      <c r="D99" s="18" t="str">
        <f>IFERROR(__xludf.DUMMYFUNCTION("""COMPUTED_VALUE"""),"M")</f>
        <v>M</v>
      </c>
      <c r="E99" s="18"/>
      <c r="F99" s="18"/>
      <c r="G99" s="18" t="str">
        <f>IFERROR(__xludf.DUMMYFUNCTION("""COMPUTED_VALUE"""),"●")</f>
        <v>●</v>
      </c>
      <c r="H99" s="18" t="str">
        <f>IFERROR(__xludf.DUMMYFUNCTION("""COMPUTED_VALUE"""),"Iron")</f>
        <v>Iron</v>
      </c>
      <c r="I99" s="18"/>
      <c r="J99" s="18"/>
      <c r="K99" s="18"/>
      <c r="L99" s="20"/>
    </row>
    <row r="100">
      <c r="A100" s="17">
        <f>IFERROR(__xludf.DUMMYFUNCTION("""COMPUTED_VALUE"""),4.0)</f>
        <v>4</v>
      </c>
      <c r="B100" s="18">
        <f>IFERROR(__xludf.DUMMYFUNCTION("""COMPUTED_VALUE"""),3.0)</f>
        <v>3</v>
      </c>
      <c r="C100" s="19" t="str">
        <f>IFERROR(__xludf.DUMMYFUNCTION("""COMPUTED_VALUE"""),"Shimo-Mariko")</f>
        <v>Shimo-Mariko</v>
      </c>
      <c r="D100" s="18"/>
      <c r="E100" s="18"/>
      <c r="F100" s="18"/>
      <c r="G100" s="18"/>
      <c r="H100" s="18" t="str">
        <f>IFERROR(__xludf.DUMMYFUNCTION("""COMPUTED_VALUE"""),"Wood")</f>
        <v>Wood</v>
      </c>
      <c r="I100" s="18"/>
      <c r="J100" s="18"/>
      <c r="K100" s="18"/>
      <c r="L100" s="20"/>
    </row>
    <row r="101">
      <c r="A101" s="17">
        <f>IFERROR(__xludf.DUMMYFUNCTION("""COMPUTED_VALUE"""),4.0)</f>
        <v>4</v>
      </c>
      <c r="B101" s="18">
        <f>IFERROR(__xludf.DUMMYFUNCTION("""COMPUTED_VALUE"""),3.0)</f>
        <v>3</v>
      </c>
      <c r="C101" s="19" t="str">
        <f>IFERROR(__xludf.DUMMYFUNCTION("""COMPUTED_VALUE"""),"Kyowa-Jima")</f>
        <v>Kyowa-Jima</v>
      </c>
      <c r="D101" s="18"/>
      <c r="E101" s="18"/>
      <c r="F101" s="18"/>
      <c r="G101" s="18"/>
      <c r="H101" s="18" t="str">
        <f>IFERROR(__xludf.DUMMYFUNCTION("""COMPUTED_VALUE"""),"Oil")</f>
        <v>Oil</v>
      </c>
      <c r="I101" s="18"/>
      <c r="J101" s="18"/>
      <c r="K101" s="18"/>
      <c r="L101" s="20" t="str">
        <f>IFERROR(__xludf.DUMMYFUNCTION("""COMPUTED_VALUE"""),"Chance for Golden Frogs and Golden Rats.")</f>
        <v>Chance for Golden Frogs and Golden Rats.</v>
      </c>
    </row>
    <row r="102">
      <c r="A102" s="17">
        <f>IFERROR(__xludf.DUMMYFUNCTION("""COMPUTED_VALUE"""),3.0)</f>
        <v>3</v>
      </c>
      <c r="B102" s="18">
        <f>IFERROR(__xludf.DUMMYFUNCTION("""COMPUTED_VALUE"""),0.0)</f>
        <v>0</v>
      </c>
      <c r="C102" s="19" t="str">
        <f>IFERROR(__xludf.DUMMYFUNCTION("""COMPUTED_VALUE"""),"Tamata")</f>
        <v>Tamata</v>
      </c>
      <c r="D102" s="18" t="str">
        <f>IFERROR(__xludf.DUMMYFUNCTION("""COMPUTED_VALUE"""),"M")</f>
        <v>M</v>
      </c>
      <c r="E102" s="18"/>
      <c r="F102" s="18">
        <f>IFERROR(__xludf.DUMMYFUNCTION("""COMPUTED_VALUE"""),1.2)</f>
        <v>1.2</v>
      </c>
      <c r="G102" s="18"/>
      <c r="H102" s="18" t="str">
        <f>IFERROR(__xludf.DUMMYFUNCTION("""COMPUTED_VALUE"""),"Fiber")</f>
        <v>Fiber</v>
      </c>
      <c r="I102" s="18"/>
      <c r="J102" s="18" t="str">
        <f>IFERROR(__xludf.DUMMYFUNCTION("""COMPUTED_VALUE"""),"DOD Blue")</f>
        <v>DOD Blue</v>
      </c>
      <c r="K102" s="18" t="str">
        <f>IFERROR(__xludf.DUMMYFUNCTION("""COMPUTED_VALUE"""),"Blue")</f>
        <v>Blue</v>
      </c>
      <c r="L102" s="20" t="str">
        <f>IFERROR(__xludf.DUMMYFUNCTION("""COMPUTED_VALUE"""),"BOSS: COEN. Drops DOD ARMS Blue Metal. TRAP: Blue Metals, only active Mon / Thu / Fri.")</f>
        <v>BOSS: COEN. Drops DOD ARMS Blue Metal. TRAP: Blue Metals, only active Mon / Thu / Fri.</v>
      </c>
    </row>
    <row r="103">
      <c r="A103" s="22">
        <f>IFERROR(__xludf.DUMMYFUNCTION("""COMPUTED_VALUE"""),3.0)</f>
        <v>3</v>
      </c>
      <c r="B103" s="18">
        <f>IFERROR(__xludf.DUMMYFUNCTION("""COMPUTED_VALUE"""),0.0)</f>
        <v>0</v>
      </c>
      <c r="C103" s="19" t="str">
        <f>IFERROR(__xludf.DUMMYFUNCTION("""COMPUTED_VALUE"""),"Kami-Ikedoi")</f>
        <v>Kami-Ikedoi</v>
      </c>
      <c r="D103" s="18"/>
      <c r="E103" s="18"/>
      <c r="F103" s="18"/>
      <c r="G103" s="18" t="str">
        <f>IFERROR(__xludf.DUMMYFUNCTION("""COMPUTED_VALUE"""),"●")</f>
        <v>●</v>
      </c>
      <c r="H103" s="18" t="str">
        <f>IFERROR(__xludf.DUMMYFUNCTION("""COMPUTED_VALUE"""),"All")</f>
        <v>All</v>
      </c>
      <c r="I103" s="23"/>
      <c r="J103" s="18"/>
      <c r="K103" s="18" t="str">
        <f>IFERROR(__xludf.DUMMYFUNCTION("""COMPUTED_VALUE"""),"Blue")</f>
        <v>Blue</v>
      </c>
      <c r="L103" s="20" t="str">
        <f>IFERROR(__xludf.DUMMYFUNCTION("""COMPUTED_VALUE"""),"TRAP: Blue Metals. 3 Screamers. Trap is active every day, but doesn't always spawn.")</f>
        <v>TRAP: Blue Metals. 3 Screamers. Trap is active every day, but doesn't always spawn.</v>
      </c>
    </row>
    <row r="104">
      <c r="A104" s="22">
        <f>IFERROR(__xludf.DUMMYFUNCTION("""COMPUTED_VALUE"""),3.0)</f>
        <v>3</v>
      </c>
      <c r="B104" s="18">
        <f>IFERROR(__xludf.DUMMYFUNCTION("""COMPUTED_VALUE"""),3.0)</f>
        <v>3</v>
      </c>
      <c r="C104" s="19" t="str">
        <f>IFERROR(__xludf.DUMMYFUNCTION("""COMPUTED_VALUE"""),"Kimo-Magome")</f>
        <v>Kimo-Magome</v>
      </c>
      <c r="D104" s="18"/>
      <c r="E104" s="18"/>
      <c r="F104" s="18"/>
      <c r="G104" s="18"/>
      <c r="H104" s="18" t="str">
        <f>IFERROR(__xludf.DUMMYFUNCTION("""COMPUTED_VALUE"""),"Aluminum")</f>
        <v>Aluminum</v>
      </c>
      <c r="I104" s="18"/>
      <c r="J104" s="18"/>
      <c r="K104" s="18"/>
      <c r="L104" s="20" t="str">
        <f>IFERROR(__xludf.DUMMYFUNCTION("""COMPUTED_VALUE"""),"Single Hater in Trap room.")</f>
        <v>Single Hater in Trap room.</v>
      </c>
    </row>
    <row r="105">
      <c r="A105" s="22">
        <f>IFERROR(__xludf.DUMMYFUNCTION("""COMPUTED_VALUE"""),2.0)</f>
        <v>2</v>
      </c>
      <c r="B105" s="18">
        <f>IFERROR(__xludf.DUMMYFUNCTION("""COMPUTED_VALUE"""),0.0)</f>
        <v>0</v>
      </c>
      <c r="C105" s="19" t="str">
        <f>IFERROR(__xludf.DUMMYFUNCTION("""COMPUTED_VALUE"""),"Imokawa-Cho")</f>
        <v>Imokawa-Cho</v>
      </c>
      <c r="D105" s="18"/>
      <c r="E105" s="18"/>
      <c r="F105" s="18">
        <f>IFERROR(__xludf.DUMMYFUNCTION("""COMPUTED_VALUE"""),1.1)</f>
        <v>1.1</v>
      </c>
      <c r="G105" s="18" t="str">
        <f>IFERROR(__xludf.DUMMYFUNCTION("""COMPUTED_VALUE"""),"●")</f>
        <v>●</v>
      </c>
      <c r="H105" s="18" t="str">
        <f>IFERROR(__xludf.DUMMYFUNCTION("""COMPUTED_VALUE"""),"All")</f>
        <v>All</v>
      </c>
      <c r="I105" s="18"/>
      <c r="J105" s="18"/>
      <c r="K105" s="18"/>
      <c r="L105" s="20"/>
    </row>
    <row r="106">
      <c r="A106" s="22">
        <f>IFERROR(__xludf.DUMMYFUNCTION("""COMPUTED_VALUE"""),2.0)</f>
        <v>2</v>
      </c>
      <c r="B106" s="18">
        <f>IFERROR(__xludf.DUMMYFUNCTION("""COMPUTED_VALUE"""),0.0)</f>
        <v>0</v>
      </c>
      <c r="C106" s="19" t="str">
        <f>IFERROR(__xludf.DUMMYFUNCTION("""COMPUTED_VALUE"""),"Wanoki")</f>
        <v>Wanoki</v>
      </c>
      <c r="D106" s="18"/>
      <c r="E106" s="18"/>
      <c r="F106" s="18"/>
      <c r="G106" s="18"/>
      <c r="H106" s="18" t="str">
        <f>IFERROR(__xludf.DUMMYFUNCTION("""COMPUTED_VALUE"""),"Aluminum")</f>
        <v>Aluminum</v>
      </c>
      <c r="I106" s="18"/>
      <c r="J106" s="18"/>
      <c r="K106" s="18"/>
      <c r="L106" s="20" t="str">
        <f>IFERROR(__xludf.DUMMYFUNCTION("""COMPUTED_VALUE"""),"Over 18 Screamers, good for Mastery farming or Screamer quests.")</f>
        <v>Over 18 Screamers, good for Mastery farming or Screamer quests.</v>
      </c>
    </row>
    <row r="107">
      <c r="A107" s="22">
        <f>IFERROR(__xludf.DUMMYFUNCTION("""COMPUTED_VALUE"""),1.0)</f>
        <v>1</v>
      </c>
      <c r="B107" s="18">
        <f>IFERROR(__xludf.DUMMYFUNCTION("""COMPUTED_VALUE"""),0.0)</f>
        <v>0</v>
      </c>
      <c r="C107" s="19" t="str">
        <f>IFERROR(__xludf.DUMMYFUNCTION("""COMPUTED_VALUE"""),"Ikegara")</f>
        <v>Ikegara</v>
      </c>
      <c r="D107" s="18" t="str">
        <f>IFERROR(__xludf.DUMMYFUNCTION("""COMPUTED_VALUE"""),"M")</f>
        <v>M</v>
      </c>
      <c r="E107" s="18"/>
      <c r="F107" s="18"/>
      <c r="G107" s="18" t="str">
        <f>IFERROR(__xludf.DUMMYFUNCTION("""COMPUTED_VALUE"""),"●")</f>
        <v>●</v>
      </c>
      <c r="H107" s="18" t="str">
        <f>IFERROR(__xludf.DUMMYFUNCTION("""COMPUTED_VALUE"""),"×")</f>
        <v>×</v>
      </c>
      <c r="I107" s="18"/>
      <c r="J107" s="18"/>
      <c r="K107" s="18"/>
      <c r="L107" s="20"/>
    </row>
    <row r="108">
      <c r="A108" s="22"/>
      <c r="B108" s="18"/>
      <c r="C108" s="19"/>
      <c r="D108" s="18"/>
      <c r="E108" s="18"/>
      <c r="F108" s="18"/>
      <c r="G108" s="18"/>
      <c r="H108" s="18"/>
      <c r="I108" s="18"/>
      <c r="J108" s="18"/>
      <c r="K108" s="18"/>
      <c r="L108" s="20"/>
    </row>
    <row r="109">
      <c r="A109" s="22"/>
      <c r="B109" s="18"/>
      <c r="C109" s="19"/>
      <c r="D109" s="18"/>
      <c r="E109" s="18"/>
      <c r="F109" s="18"/>
      <c r="G109" s="18"/>
      <c r="H109" s="18"/>
      <c r="I109" s="18"/>
      <c r="J109" s="18"/>
      <c r="K109" s="18"/>
      <c r="L109" s="20"/>
    </row>
    <row r="110">
      <c r="A110" s="22"/>
      <c r="B110" s="18"/>
      <c r="C110" s="19"/>
      <c r="D110" s="18"/>
      <c r="E110" s="18"/>
      <c r="F110" s="18"/>
      <c r="G110" s="18"/>
      <c r="H110" s="18"/>
      <c r="I110" s="18"/>
      <c r="J110" s="18"/>
      <c r="K110" s="18"/>
      <c r="L110" s="20"/>
    </row>
    <row r="111">
      <c r="A111" s="22"/>
      <c r="B111" s="18"/>
      <c r="C111" s="19"/>
      <c r="D111" s="18"/>
      <c r="E111" s="18"/>
      <c r="F111" s="18"/>
      <c r="G111" s="18"/>
      <c r="H111" s="18"/>
      <c r="I111" s="18"/>
      <c r="J111" s="18"/>
      <c r="K111" s="18"/>
      <c r="L111" s="20"/>
    </row>
    <row r="112">
      <c r="A112" s="22"/>
      <c r="B112" s="18"/>
      <c r="C112" s="19"/>
      <c r="D112" s="18"/>
      <c r="E112" s="18"/>
      <c r="F112" s="18"/>
      <c r="G112" s="18"/>
      <c r="H112" s="18"/>
      <c r="I112" s="18"/>
      <c r="J112" s="18"/>
      <c r="K112" s="18"/>
      <c r="L112" s="20"/>
    </row>
    <row r="113">
      <c r="A113" s="22"/>
      <c r="B113" s="18"/>
      <c r="C113" s="19"/>
      <c r="D113" s="18"/>
      <c r="E113" s="18"/>
      <c r="F113" s="18"/>
      <c r="G113" s="18"/>
      <c r="H113" s="18"/>
      <c r="I113" s="18"/>
      <c r="J113" s="18"/>
      <c r="K113" s="18"/>
      <c r="L113" s="20"/>
    </row>
    <row r="114">
      <c r="A114" s="22"/>
      <c r="B114" s="18"/>
      <c r="C114" s="19"/>
      <c r="D114" s="18"/>
      <c r="E114" s="18"/>
      <c r="F114" s="18"/>
      <c r="G114" s="18"/>
      <c r="H114" s="18"/>
      <c r="I114" s="18"/>
      <c r="J114" s="18"/>
      <c r="K114" s="18"/>
      <c r="L114" s="20"/>
    </row>
    <row r="115">
      <c r="A115" s="22"/>
      <c r="B115" s="18"/>
      <c r="C115" s="19"/>
      <c r="D115" s="18"/>
      <c r="E115" s="18"/>
      <c r="F115" s="18"/>
      <c r="G115" s="18"/>
      <c r="H115" s="18"/>
      <c r="I115" s="18"/>
      <c r="J115" s="18"/>
      <c r="K115" s="18"/>
      <c r="L115" s="20"/>
    </row>
    <row r="116">
      <c r="A116" s="22"/>
      <c r="B116" s="18"/>
      <c r="C116" s="19"/>
      <c r="D116" s="18"/>
      <c r="E116" s="18"/>
      <c r="F116" s="18"/>
      <c r="G116" s="18"/>
      <c r="H116" s="18"/>
      <c r="I116" s="18"/>
      <c r="J116" s="18"/>
      <c r="K116" s="18"/>
      <c r="L116" s="20"/>
    </row>
    <row r="117">
      <c r="A117" s="22"/>
      <c r="B117" s="18"/>
      <c r="C117" s="19"/>
      <c r="D117" s="18"/>
      <c r="E117" s="18"/>
      <c r="F117" s="18"/>
      <c r="G117" s="18"/>
      <c r="H117" s="18"/>
      <c r="I117" s="18"/>
      <c r="J117" s="18"/>
      <c r="K117" s="18"/>
      <c r="L117" s="20"/>
    </row>
    <row r="118">
      <c r="A118" s="22"/>
      <c r="B118" s="18"/>
      <c r="C118" s="19"/>
      <c r="D118" s="18"/>
      <c r="E118" s="18"/>
      <c r="F118" s="18"/>
      <c r="G118" s="18"/>
      <c r="H118" s="18"/>
      <c r="I118" s="18"/>
      <c r="J118" s="18"/>
      <c r="K118" s="18"/>
      <c r="L118" s="20"/>
    </row>
    <row r="119">
      <c r="A119" s="22"/>
      <c r="B119" s="18"/>
      <c r="C119" s="19"/>
      <c r="D119" s="18"/>
      <c r="E119" s="18"/>
      <c r="F119" s="18"/>
      <c r="G119" s="18"/>
      <c r="H119" s="18"/>
      <c r="I119" s="18"/>
      <c r="J119" s="18"/>
      <c r="K119" s="18"/>
      <c r="L119" s="20"/>
    </row>
    <row r="120">
      <c r="A120" s="22"/>
      <c r="B120" s="18"/>
      <c r="C120" s="19"/>
      <c r="D120" s="18"/>
      <c r="E120" s="18"/>
      <c r="F120" s="18"/>
      <c r="G120" s="18"/>
      <c r="H120" s="18"/>
      <c r="I120" s="18"/>
      <c r="J120" s="18"/>
      <c r="K120" s="18"/>
      <c r="L120" s="20"/>
    </row>
    <row r="121">
      <c r="A121" s="22"/>
      <c r="B121" s="18"/>
      <c r="C121" s="19"/>
      <c r="D121" s="18"/>
      <c r="E121" s="18"/>
      <c r="F121" s="18"/>
      <c r="G121" s="18"/>
      <c r="H121" s="18"/>
      <c r="I121" s="18"/>
      <c r="J121" s="18"/>
      <c r="K121" s="18"/>
      <c r="L121" s="20"/>
    </row>
    <row r="122">
      <c r="A122" s="22"/>
      <c r="B122" s="18"/>
      <c r="C122" s="19"/>
      <c r="D122" s="18"/>
      <c r="E122" s="18"/>
      <c r="F122" s="18"/>
      <c r="G122" s="18"/>
      <c r="H122" s="18"/>
      <c r="I122" s="18"/>
      <c r="J122" s="18"/>
      <c r="K122" s="18"/>
      <c r="L122" s="20"/>
    </row>
    <row r="123">
      <c r="A123" s="22"/>
      <c r="B123" s="18"/>
      <c r="C123" s="19"/>
      <c r="D123" s="18"/>
      <c r="E123" s="18"/>
      <c r="F123" s="18"/>
      <c r="G123" s="18"/>
      <c r="H123" s="18"/>
      <c r="I123" s="18"/>
      <c r="J123" s="18"/>
      <c r="K123" s="18"/>
      <c r="L123" s="20"/>
    </row>
    <row r="124">
      <c r="A124" s="22"/>
      <c r="B124" s="18"/>
      <c r="C124" s="19"/>
      <c r="D124" s="18"/>
      <c r="E124" s="18"/>
      <c r="F124" s="18"/>
      <c r="G124" s="18"/>
      <c r="H124" s="18"/>
      <c r="I124" s="18"/>
      <c r="J124" s="18"/>
      <c r="K124" s="18"/>
      <c r="L124" s="20"/>
    </row>
    <row r="125">
      <c r="A125" s="22"/>
      <c r="B125" s="18"/>
      <c r="C125" s="19"/>
      <c r="D125" s="18"/>
      <c r="E125" s="18"/>
      <c r="F125" s="18"/>
      <c r="G125" s="18"/>
      <c r="H125" s="18"/>
      <c r="I125" s="18"/>
      <c r="J125" s="18"/>
      <c r="K125" s="18"/>
      <c r="L125" s="20"/>
    </row>
    <row r="126">
      <c r="A126" s="22"/>
      <c r="B126" s="18"/>
      <c r="C126" s="19"/>
      <c r="D126" s="18"/>
      <c r="E126" s="18"/>
      <c r="F126" s="18"/>
      <c r="G126" s="18"/>
      <c r="H126" s="18"/>
      <c r="I126" s="18"/>
      <c r="J126" s="18"/>
      <c r="K126" s="18"/>
      <c r="L126" s="20"/>
    </row>
    <row r="127">
      <c r="A127" s="22"/>
      <c r="B127" s="18"/>
      <c r="C127" s="19"/>
      <c r="D127" s="18"/>
      <c r="E127" s="18"/>
      <c r="F127" s="18"/>
      <c r="G127" s="18"/>
      <c r="H127" s="18"/>
      <c r="I127" s="18"/>
      <c r="J127" s="18"/>
      <c r="K127" s="18"/>
      <c r="L127" s="20"/>
    </row>
    <row r="128">
      <c r="A128" s="22"/>
      <c r="B128" s="18"/>
      <c r="C128" s="19"/>
      <c r="D128" s="18"/>
      <c r="E128" s="18"/>
      <c r="F128" s="18"/>
      <c r="G128" s="18"/>
      <c r="H128" s="18"/>
      <c r="I128" s="18"/>
      <c r="J128" s="18"/>
      <c r="K128" s="18"/>
      <c r="L128" s="20"/>
    </row>
    <row r="129">
      <c r="A129" s="22"/>
      <c r="B129" s="18"/>
      <c r="C129" s="19"/>
      <c r="D129" s="18"/>
      <c r="E129" s="18"/>
      <c r="F129" s="18"/>
      <c r="G129" s="18"/>
      <c r="H129" s="18"/>
      <c r="I129" s="18"/>
      <c r="J129" s="18"/>
      <c r="K129" s="18"/>
      <c r="L129" s="20"/>
    </row>
    <row r="130">
      <c r="A130" s="22"/>
      <c r="B130" s="18"/>
      <c r="C130" s="19"/>
      <c r="D130" s="18"/>
      <c r="E130" s="18"/>
      <c r="F130" s="18"/>
      <c r="G130" s="18"/>
      <c r="H130" s="18"/>
      <c r="I130" s="18"/>
      <c r="J130" s="18"/>
      <c r="K130" s="18"/>
      <c r="L130" s="20"/>
    </row>
    <row r="131">
      <c r="A131" s="22"/>
      <c r="B131" s="18"/>
      <c r="C131" s="19"/>
      <c r="D131" s="18"/>
      <c r="E131" s="18"/>
      <c r="F131" s="18"/>
      <c r="G131" s="18"/>
      <c r="H131" s="18"/>
      <c r="I131" s="18"/>
      <c r="J131" s="18"/>
      <c r="K131" s="18"/>
      <c r="L131" s="20"/>
    </row>
    <row r="132">
      <c r="A132" s="22"/>
      <c r="B132" s="18"/>
      <c r="C132" s="19"/>
      <c r="D132" s="18"/>
      <c r="E132" s="18"/>
      <c r="F132" s="18"/>
      <c r="G132" s="18"/>
      <c r="H132" s="18"/>
      <c r="I132" s="18"/>
      <c r="J132" s="18"/>
      <c r="K132" s="18"/>
      <c r="L132" s="20"/>
    </row>
    <row r="133">
      <c r="A133" s="22"/>
      <c r="B133" s="18"/>
      <c r="C133" s="19"/>
      <c r="D133" s="18"/>
      <c r="E133" s="18"/>
      <c r="F133" s="18"/>
      <c r="G133" s="18"/>
      <c r="H133" s="18"/>
      <c r="I133" s="18"/>
      <c r="J133" s="18"/>
      <c r="K133" s="18"/>
      <c r="L133" s="20"/>
    </row>
    <row r="134">
      <c r="A134" s="22"/>
      <c r="B134" s="18"/>
      <c r="C134" s="19"/>
      <c r="D134" s="18"/>
      <c r="E134" s="18"/>
      <c r="F134" s="18"/>
      <c r="G134" s="18"/>
      <c r="H134" s="18"/>
      <c r="I134" s="18"/>
      <c r="J134" s="18"/>
      <c r="K134" s="18"/>
      <c r="L134" s="20"/>
    </row>
    <row r="135">
      <c r="A135" s="22"/>
      <c r="B135" s="18"/>
      <c r="C135" s="19"/>
      <c r="D135" s="18"/>
      <c r="E135" s="18"/>
      <c r="F135" s="18"/>
      <c r="G135" s="18"/>
      <c r="H135" s="18"/>
      <c r="I135" s="18"/>
      <c r="J135" s="18"/>
      <c r="K135" s="18"/>
      <c r="L135" s="20"/>
    </row>
    <row r="136">
      <c r="A136" s="22"/>
      <c r="B136" s="18"/>
      <c r="C136" s="19"/>
      <c r="D136" s="18"/>
      <c r="E136" s="18"/>
      <c r="F136" s="18"/>
      <c r="G136" s="18"/>
      <c r="H136" s="18"/>
      <c r="I136" s="18"/>
      <c r="J136" s="18"/>
      <c r="K136" s="18"/>
      <c r="L136" s="20"/>
    </row>
    <row r="137">
      <c r="A137" s="22"/>
      <c r="B137" s="18"/>
      <c r="C137" s="19"/>
      <c r="D137" s="18"/>
      <c r="E137" s="18"/>
      <c r="F137" s="18"/>
      <c r="G137" s="18"/>
      <c r="H137" s="18"/>
      <c r="I137" s="18"/>
      <c r="J137" s="18"/>
      <c r="K137" s="18"/>
      <c r="L137" s="20"/>
    </row>
    <row r="138">
      <c r="A138" s="22"/>
      <c r="B138" s="18"/>
      <c r="C138" s="19"/>
      <c r="D138" s="18"/>
      <c r="E138" s="18"/>
      <c r="F138" s="18"/>
      <c r="G138" s="18"/>
      <c r="H138" s="18"/>
      <c r="I138" s="18"/>
      <c r="J138" s="18"/>
      <c r="K138" s="18"/>
      <c r="L138" s="20"/>
    </row>
    <row r="139">
      <c r="A139" s="22"/>
      <c r="B139" s="18"/>
      <c r="C139" s="19"/>
      <c r="D139" s="18"/>
      <c r="E139" s="18"/>
      <c r="F139" s="18"/>
      <c r="G139" s="18"/>
      <c r="H139" s="18"/>
      <c r="I139" s="18"/>
      <c r="J139" s="18"/>
      <c r="K139" s="18"/>
      <c r="L139" s="20"/>
    </row>
    <row r="140">
      <c r="A140" s="22"/>
      <c r="B140" s="18"/>
      <c r="C140" s="19"/>
      <c r="D140" s="18"/>
      <c r="E140" s="18"/>
      <c r="F140" s="18"/>
      <c r="G140" s="18"/>
      <c r="H140" s="18"/>
      <c r="I140" s="18"/>
      <c r="J140" s="18"/>
      <c r="K140" s="18"/>
      <c r="L140" s="20"/>
    </row>
    <row r="141">
      <c r="A141" s="22"/>
      <c r="B141" s="18"/>
      <c r="C141" s="19"/>
      <c r="D141" s="18"/>
      <c r="E141" s="18"/>
      <c r="F141" s="18"/>
      <c r="G141" s="18"/>
      <c r="H141" s="18"/>
      <c r="I141" s="18"/>
      <c r="J141" s="18"/>
      <c r="K141" s="18"/>
      <c r="L141" s="20"/>
    </row>
    <row r="142">
      <c r="A142" s="22"/>
      <c r="B142" s="18"/>
      <c r="C142" s="19"/>
      <c r="D142" s="18"/>
      <c r="E142" s="18"/>
      <c r="F142" s="18"/>
      <c r="G142" s="18"/>
      <c r="H142" s="18"/>
      <c r="I142" s="18"/>
      <c r="J142" s="18"/>
      <c r="K142" s="18"/>
      <c r="L142" s="20"/>
    </row>
    <row r="143">
      <c r="A143" s="22"/>
      <c r="B143" s="18"/>
      <c r="C143" s="19"/>
      <c r="D143" s="18"/>
      <c r="E143" s="18"/>
      <c r="F143" s="18"/>
      <c r="G143" s="18"/>
      <c r="H143" s="18"/>
      <c r="I143" s="18"/>
      <c r="J143" s="18"/>
      <c r="K143" s="18"/>
      <c r="L143" s="20"/>
    </row>
    <row r="144">
      <c r="A144" s="22"/>
      <c r="B144" s="18"/>
      <c r="C144" s="19"/>
      <c r="D144" s="18"/>
      <c r="E144" s="18"/>
      <c r="F144" s="18"/>
      <c r="G144" s="18"/>
      <c r="H144" s="18"/>
      <c r="I144" s="18"/>
      <c r="J144" s="18"/>
      <c r="K144" s="18"/>
      <c r="L144" s="20"/>
    </row>
    <row r="145">
      <c r="A145" s="22"/>
      <c r="B145" s="18"/>
      <c r="C145" s="19"/>
      <c r="D145" s="18"/>
      <c r="E145" s="18"/>
      <c r="F145" s="18"/>
      <c r="G145" s="18"/>
      <c r="H145" s="18"/>
      <c r="I145" s="18"/>
      <c r="J145" s="18"/>
      <c r="K145" s="18"/>
      <c r="L145" s="20"/>
    </row>
    <row r="146">
      <c r="A146" s="22"/>
      <c r="B146" s="18"/>
      <c r="C146" s="19"/>
      <c r="D146" s="18"/>
      <c r="E146" s="18"/>
      <c r="F146" s="18"/>
      <c r="G146" s="18"/>
      <c r="H146" s="18"/>
      <c r="I146" s="18"/>
      <c r="J146" s="18"/>
      <c r="K146" s="18"/>
      <c r="L146" s="20"/>
    </row>
    <row r="147">
      <c r="A147" s="22"/>
      <c r="B147" s="18"/>
      <c r="C147" s="19"/>
      <c r="D147" s="18"/>
      <c r="E147" s="18"/>
      <c r="F147" s="18"/>
      <c r="G147" s="18"/>
      <c r="H147" s="18"/>
      <c r="I147" s="18"/>
      <c r="J147" s="18"/>
      <c r="K147" s="18"/>
      <c r="L147" s="20"/>
    </row>
    <row r="148">
      <c r="A148" s="22"/>
      <c r="B148" s="18"/>
      <c r="C148" s="19"/>
      <c r="D148" s="18"/>
      <c r="E148" s="18"/>
      <c r="F148" s="18"/>
      <c r="G148" s="18"/>
      <c r="H148" s="18"/>
      <c r="I148" s="18"/>
      <c r="J148" s="18"/>
      <c r="K148" s="18"/>
      <c r="L148" s="20"/>
    </row>
    <row r="149">
      <c r="A149" s="22"/>
      <c r="B149" s="18"/>
      <c r="C149" s="19"/>
      <c r="D149" s="18"/>
      <c r="E149" s="18"/>
      <c r="F149" s="18"/>
      <c r="G149" s="18"/>
      <c r="H149" s="18"/>
      <c r="I149" s="18"/>
      <c r="J149" s="18"/>
      <c r="K149" s="18"/>
      <c r="L149" s="20"/>
    </row>
    <row r="150">
      <c r="A150" s="22"/>
      <c r="B150" s="18"/>
      <c r="C150" s="19"/>
      <c r="D150" s="18"/>
      <c r="E150" s="18"/>
      <c r="F150" s="18"/>
      <c r="G150" s="18"/>
      <c r="H150" s="18"/>
      <c r="I150" s="18"/>
      <c r="J150" s="18"/>
      <c r="K150" s="18"/>
      <c r="L150" s="20"/>
    </row>
    <row r="151">
      <c r="A151" s="22"/>
      <c r="B151" s="18"/>
      <c r="C151" s="19"/>
      <c r="D151" s="18"/>
      <c r="E151" s="18"/>
      <c r="F151" s="18"/>
      <c r="G151" s="18"/>
      <c r="H151" s="18"/>
      <c r="I151" s="18"/>
      <c r="J151" s="18"/>
      <c r="K151" s="18"/>
      <c r="L151" s="20"/>
    </row>
    <row r="152">
      <c r="A152" s="22"/>
      <c r="B152" s="18"/>
      <c r="C152" s="19"/>
      <c r="D152" s="18"/>
      <c r="E152" s="18"/>
      <c r="F152" s="18"/>
      <c r="G152" s="18"/>
      <c r="H152" s="18"/>
      <c r="I152" s="18"/>
      <c r="J152" s="18"/>
      <c r="K152" s="18"/>
      <c r="L152" s="20"/>
    </row>
    <row r="153">
      <c r="A153" s="22"/>
      <c r="B153" s="18"/>
      <c r="C153" s="19"/>
      <c r="D153" s="18"/>
      <c r="E153" s="18"/>
      <c r="F153" s="18"/>
      <c r="G153" s="18"/>
      <c r="H153" s="18"/>
      <c r="I153" s="18"/>
      <c r="J153" s="18"/>
      <c r="K153" s="18"/>
      <c r="L153" s="20"/>
    </row>
    <row r="154">
      <c r="A154" s="22"/>
      <c r="B154" s="18"/>
      <c r="C154" s="19"/>
      <c r="D154" s="18"/>
      <c r="E154" s="18"/>
      <c r="F154" s="18"/>
      <c r="G154" s="18"/>
      <c r="H154" s="18"/>
      <c r="I154" s="18"/>
      <c r="J154" s="18"/>
      <c r="K154" s="18"/>
      <c r="L154" s="20"/>
    </row>
    <row r="155">
      <c r="A155" s="22"/>
      <c r="B155" s="18"/>
      <c r="C155" s="19"/>
      <c r="D155" s="18"/>
      <c r="E155" s="18"/>
      <c r="F155" s="18"/>
      <c r="G155" s="18"/>
      <c r="H155" s="18"/>
      <c r="I155" s="18"/>
      <c r="J155" s="18"/>
      <c r="K155" s="18"/>
      <c r="L155" s="20"/>
    </row>
    <row r="156">
      <c r="A156" s="22"/>
      <c r="B156" s="18"/>
      <c r="C156" s="19"/>
      <c r="D156" s="18"/>
      <c r="E156" s="18"/>
      <c r="F156" s="18"/>
      <c r="G156" s="18"/>
      <c r="H156" s="18"/>
      <c r="I156" s="18"/>
      <c r="J156" s="18"/>
      <c r="K156" s="18"/>
      <c r="L156" s="20"/>
    </row>
    <row r="157">
      <c r="A157" s="22"/>
      <c r="B157" s="18"/>
      <c r="C157" s="19"/>
      <c r="D157" s="18"/>
      <c r="E157" s="18"/>
      <c r="F157" s="18"/>
      <c r="G157" s="18"/>
      <c r="H157" s="18"/>
      <c r="I157" s="18"/>
      <c r="J157" s="18"/>
      <c r="K157" s="18"/>
      <c r="L157" s="20"/>
    </row>
    <row r="158">
      <c r="A158" s="22"/>
      <c r="B158" s="18"/>
      <c r="C158" s="19"/>
      <c r="D158" s="18"/>
      <c r="E158" s="18"/>
      <c r="F158" s="18"/>
      <c r="G158" s="18"/>
      <c r="H158" s="18"/>
      <c r="I158" s="18"/>
      <c r="J158" s="18"/>
      <c r="K158" s="18"/>
      <c r="L158" s="20"/>
    </row>
    <row r="159">
      <c r="A159" s="22"/>
      <c r="B159" s="18"/>
      <c r="C159" s="19"/>
      <c r="D159" s="18"/>
      <c r="E159" s="18"/>
      <c r="F159" s="18"/>
      <c r="G159" s="18"/>
      <c r="H159" s="18"/>
      <c r="I159" s="18"/>
      <c r="J159" s="18"/>
      <c r="K159" s="18"/>
      <c r="L159" s="20"/>
    </row>
    <row r="160">
      <c r="A160" s="22"/>
      <c r="B160" s="18"/>
      <c r="C160" s="19"/>
      <c r="D160" s="18"/>
      <c r="E160" s="18"/>
      <c r="F160" s="18"/>
      <c r="G160" s="18"/>
      <c r="H160" s="18"/>
      <c r="I160" s="18"/>
      <c r="J160" s="18"/>
      <c r="K160" s="18"/>
      <c r="L160" s="20"/>
    </row>
    <row r="161">
      <c r="A161" s="22"/>
      <c r="B161" s="18"/>
      <c r="C161" s="19"/>
      <c r="D161" s="18"/>
      <c r="E161" s="18"/>
      <c r="F161" s="18"/>
      <c r="G161" s="18"/>
      <c r="H161" s="18"/>
      <c r="I161" s="18"/>
      <c r="J161" s="18"/>
      <c r="K161" s="18"/>
      <c r="L161" s="20"/>
    </row>
    <row r="162">
      <c r="A162" s="22"/>
      <c r="B162" s="18"/>
      <c r="C162" s="19"/>
      <c r="D162" s="18"/>
      <c r="E162" s="18"/>
      <c r="F162" s="18"/>
      <c r="G162" s="18"/>
      <c r="H162" s="18"/>
      <c r="I162" s="18"/>
      <c r="J162" s="18"/>
      <c r="K162" s="18"/>
      <c r="L162" s="20"/>
    </row>
    <row r="163">
      <c r="A163" s="22"/>
      <c r="B163" s="18"/>
      <c r="C163" s="19"/>
      <c r="D163" s="18"/>
      <c r="E163" s="18"/>
      <c r="F163" s="18"/>
      <c r="G163" s="18"/>
      <c r="H163" s="18"/>
      <c r="I163" s="18"/>
      <c r="J163" s="18"/>
      <c r="K163" s="18"/>
      <c r="L163" s="20"/>
    </row>
    <row r="164">
      <c r="A164" s="22"/>
      <c r="B164" s="18"/>
      <c r="C164" s="19"/>
      <c r="D164" s="18"/>
      <c r="E164" s="18"/>
      <c r="F164" s="18"/>
      <c r="G164" s="18"/>
      <c r="H164" s="18"/>
      <c r="I164" s="18"/>
      <c r="J164" s="18"/>
      <c r="K164" s="18"/>
      <c r="L164" s="20"/>
    </row>
    <row r="165">
      <c r="A165" s="22"/>
      <c r="B165" s="18"/>
      <c r="C165" s="19"/>
      <c r="D165" s="18"/>
      <c r="E165" s="18"/>
      <c r="F165" s="18"/>
      <c r="G165" s="18"/>
      <c r="H165" s="18"/>
      <c r="I165" s="18"/>
      <c r="J165" s="18"/>
      <c r="K165" s="18"/>
      <c r="L165" s="20"/>
    </row>
    <row r="166">
      <c r="A166" s="22"/>
      <c r="B166" s="18"/>
      <c r="C166" s="19"/>
      <c r="D166" s="18"/>
      <c r="E166" s="18"/>
      <c r="F166" s="18"/>
      <c r="G166" s="18"/>
      <c r="H166" s="18"/>
      <c r="I166" s="18"/>
      <c r="J166" s="18"/>
      <c r="K166" s="18"/>
      <c r="L166" s="20"/>
    </row>
    <row r="167">
      <c r="A167" s="22"/>
      <c r="B167" s="18"/>
      <c r="C167" s="19"/>
      <c r="D167" s="18"/>
      <c r="E167" s="18"/>
      <c r="F167" s="18"/>
      <c r="G167" s="18"/>
      <c r="H167" s="18"/>
      <c r="I167" s="18"/>
      <c r="J167" s="18"/>
      <c r="K167" s="18"/>
      <c r="L167" s="20"/>
    </row>
  </sheetData>
  <mergeCells count="182">
    <mergeCell ref="L37:P37"/>
    <mergeCell ref="L38:P38"/>
    <mergeCell ref="L30:P30"/>
    <mergeCell ref="L31:P31"/>
    <mergeCell ref="L32:P32"/>
    <mergeCell ref="L33:P33"/>
    <mergeCell ref="L34:P34"/>
    <mergeCell ref="L35:P35"/>
    <mergeCell ref="L36:P36"/>
    <mergeCell ref="L46:P46"/>
    <mergeCell ref="L47:P47"/>
    <mergeCell ref="L39:P39"/>
    <mergeCell ref="L40:P40"/>
    <mergeCell ref="L41:P41"/>
    <mergeCell ref="L42:P42"/>
    <mergeCell ref="L43:P43"/>
    <mergeCell ref="L44:P44"/>
    <mergeCell ref="L45:P45"/>
    <mergeCell ref="L55:P55"/>
    <mergeCell ref="L56:P56"/>
    <mergeCell ref="L48:P48"/>
    <mergeCell ref="L49:P49"/>
    <mergeCell ref="L50:P50"/>
    <mergeCell ref="L51:P51"/>
    <mergeCell ref="L52:P52"/>
    <mergeCell ref="L53:P53"/>
    <mergeCell ref="L54:P54"/>
    <mergeCell ref="L64:P64"/>
    <mergeCell ref="L65:P65"/>
    <mergeCell ref="L57:P57"/>
    <mergeCell ref="L58:P58"/>
    <mergeCell ref="L59:P59"/>
    <mergeCell ref="L60:P60"/>
    <mergeCell ref="L61:P61"/>
    <mergeCell ref="L62:P62"/>
    <mergeCell ref="L63:P63"/>
    <mergeCell ref="L73:P73"/>
    <mergeCell ref="L74:P74"/>
    <mergeCell ref="L66:P66"/>
    <mergeCell ref="L67:P67"/>
    <mergeCell ref="L68:P68"/>
    <mergeCell ref="L69:P69"/>
    <mergeCell ref="L70:P70"/>
    <mergeCell ref="L71:P71"/>
    <mergeCell ref="L72:P72"/>
    <mergeCell ref="L82:P82"/>
    <mergeCell ref="L83:P83"/>
    <mergeCell ref="L75:P75"/>
    <mergeCell ref="L76:P76"/>
    <mergeCell ref="L77:P77"/>
    <mergeCell ref="L78:P78"/>
    <mergeCell ref="L79:P79"/>
    <mergeCell ref="L80:P80"/>
    <mergeCell ref="L81:P81"/>
    <mergeCell ref="L91:P91"/>
    <mergeCell ref="L92:P92"/>
    <mergeCell ref="L84:P84"/>
    <mergeCell ref="L85:P85"/>
    <mergeCell ref="L86:P86"/>
    <mergeCell ref="L87:P87"/>
    <mergeCell ref="L88:P88"/>
    <mergeCell ref="L89:P89"/>
    <mergeCell ref="L90:P90"/>
    <mergeCell ref="L163:P163"/>
    <mergeCell ref="L164:P164"/>
    <mergeCell ref="L156:P156"/>
    <mergeCell ref="L157:P157"/>
    <mergeCell ref="L158:P158"/>
    <mergeCell ref="L159:P159"/>
    <mergeCell ref="L160:P160"/>
    <mergeCell ref="L161:P161"/>
    <mergeCell ref="L162:P162"/>
    <mergeCell ref="R1:S1"/>
    <mergeCell ref="Q2:Z167"/>
    <mergeCell ref="A1:C2"/>
    <mergeCell ref="D1:D2"/>
    <mergeCell ref="E1:H2"/>
    <mergeCell ref="I1:L1"/>
    <mergeCell ref="M1:M2"/>
    <mergeCell ref="N1:P2"/>
    <mergeCell ref="I2:L2"/>
    <mergeCell ref="A3:A4"/>
    <mergeCell ref="B3:B4"/>
    <mergeCell ref="C3:C4"/>
    <mergeCell ref="D3:D4"/>
    <mergeCell ref="E3:G3"/>
    <mergeCell ref="H3:H4"/>
    <mergeCell ref="I3:I4"/>
    <mergeCell ref="J3:J4"/>
    <mergeCell ref="K3:K4"/>
    <mergeCell ref="L3:P4"/>
    <mergeCell ref="L5:P5"/>
    <mergeCell ref="L6:P6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18:P18"/>
    <mergeCell ref="L19:P19"/>
    <mergeCell ref="L20:P20"/>
    <mergeCell ref="L21:P21"/>
    <mergeCell ref="L22:P22"/>
    <mergeCell ref="L165:P165"/>
    <mergeCell ref="L166:P166"/>
    <mergeCell ref="L167:P167"/>
    <mergeCell ref="L23:P23"/>
    <mergeCell ref="L24:P24"/>
    <mergeCell ref="L25:P25"/>
    <mergeCell ref="L26:P26"/>
    <mergeCell ref="L27:P27"/>
    <mergeCell ref="L28:P28"/>
    <mergeCell ref="L29:P29"/>
    <mergeCell ref="L100:P100"/>
    <mergeCell ref="L101:P101"/>
    <mergeCell ref="L93:P93"/>
    <mergeCell ref="L94:P94"/>
    <mergeCell ref="L95:P95"/>
    <mergeCell ref="L96:P96"/>
    <mergeCell ref="L97:P97"/>
    <mergeCell ref="L98:P98"/>
    <mergeCell ref="L99:P99"/>
    <mergeCell ref="L109:P109"/>
    <mergeCell ref="L110:P110"/>
    <mergeCell ref="L102:P102"/>
    <mergeCell ref="L103:P103"/>
    <mergeCell ref="L104:P104"/>
    <mergeCell ref="L105:P105"/>
    <mergeCell ref="L106:P106"/>
    <mergeCell ref="L107:P107"/>
    <mergeCell ref="L108:P108"/>
    <mergeCell ref="L118:P118"/>
    <mergeCell ref="L119:P119"/>
    <mergeCell ref="L111:P111"/>
    <mergeCell ref="L112:P112"/>
    <mergeCell ref="L113:P113"/>
    <mergeCell ref="L114:P114"/>
    <mergeCell ref="L115:P115"/>
    <mergeCell ref="L116:P116"/>
    <mergeCell ref="L117:P117"/>
    <mergeCell ref="L127:P127"/>
    <mergeCell ref="L128:P128"/>
    <mergeCell ref="L120:P120"/>
    <mergeCell ref="L121:P121"/>
    <mergeCell ref="L122:P122"/>
    <mergeCell ref="L123:P123"/>
    <mergeCell ref="L124:P124"/>
    <mergeCell ref="L125:P125"/>
    <mergeCell ref="L126:P126"/>
    <mergeCell ref="L136:P136"/>
    <mergeCell ref="L137:P137"/>
    <mergeCell ref="L129:P129"/>
    <mergeCell ref="L130:P130"/>
    <mergeCell ref="L131:P131"/>
    <mergeCell ref="L132:P132"/>
    <mergeCell ref="L133:P133"/>
    <mergeCell ref="L134:P134"/>
    <mergeCell ref="L135:P135"/>
    <mergeCell ref="L145:P145"/>
    <mergeCell ref="L146:P146"/>
    <mergeCell ref="L138:P138"/>
    <mergeCell ref="L139:P139"/>
    <mergeCell ref="L140:P140"/>
    <mergeCell ref="L141:P141"/>
    <mergeCell ref="L142:P142"/>
    <mergeCell ref="L143:P143"/>
    <mergeCell ref="L144:P144"/>
    <mergeCell ref="L154:P154"/>
    <mergeCell ref="L155:P155"/>
    <mergeCell ref="L147:P147"/>
    <mergeCell ref="L148:P148"/>
    <mergeCell ref="L149:P149"/>
    <mergeCell ref="L150:P150"/>
    <mergeCell ref="L151:P151"/>
    <mergeCell ref="L152:P152"/>
    <mergeCell ref="L153:P153"/>
  </mergeCells>
  <conditionalFormatting sqref="H5:H136">
    <cfRule type="containsText" dxfId="0" priority="1" operator="containsText" text="Copper">
      <formula>NOT(ISERROR(SEARCH(("Copper"),(H5))))</formula>
    </cfRule>
  </conditionalFormatting>
  <conditionalFormatting sqref="H5:H136">
    <cfRule type="containsText" dxfId="1" priority="2" operator="containsText" text="Wood">
      <formula>NOT(ISERROR(SEARCH(("Wood"),(H5))))</formula>
    </cfRule>
  </conditionalFormatting>
  <conditionalFormatting sqref="H5:H136">
    <cfRule type="containsText" dxfId="2" priority="3" operator="containsText" text="Fiber">
      <formula>NOT(ISERROR(SEARCH(("Fiber"),(H5))))</formula>
    </cfRule>
  </conditionalFormatting>
  <conditionalFormatting sqref="H5:H136">
    <cfRule type="containsText" dxfId="3" priority="4" operator="containsText" text="Oil">
      <formula>NOT(ISERROR(SEARCH(("Oil"),(H5))))</formula>
    </cfRule>
  </conditionalFormatting>
  <conditionalFormatting sqref="H5:H136">
    <cfRule type="containsText" dxfId="4" priority="5" operator="containsText" text="Aluminum">
      <formula>NOT(ISERROR(SEARCH(("Aluminum"),(H5))))</formula>
    </cfRule>
  </conditionalFormatting>
  <conditionalFormatting sqref="H5:H136">
    <cfRule type="containsText" dxfId="5" priority="6" operator="containsText" text="Iron">
      <formula>NOT(ISERROR(SEARCH(("Iron"),(H5))))</formula>
    </cfRule>
  </conditionalFormatting>
  <conditionalFormatting sqref="H5:H136">
    <cfRule type="containsText" dxfId="6" priority="7" operator="containsText" text="All">
      <formula>NOT(ISERROR(SEARCH(("All"),(H5))))</formula>
    </cfRule>
  </conditionalFormatting>
  <conditionalFormatting sqref="H5:H136">
    <cfRule type="containsText" dxfId="7" priority="8" operator="containsText" text="×">
      <formula>NOT(ISERROR(SEARCH(("×"),(H5))))</formula>
    </cfRule>
  </conditionalFormatting>
  <conditionalFormatting sqref="H5:H136">
    <cfRule type="expression" dxfId="8" priority="9">
      <formula>not(isblank($B5))</formula>
    </cfRule>
  </conditionalFormatting>
  <conditionalFormatting sqref="J5:K167">
    <cfRule type="containsText" dxfId="9" priority="10" operator="containsText" text="Blue">
      <formula>NOT(ISERROR(SEARCH(("Blue"),(J5))))</formula>
    </cfRule>
  </conditionalFormatting>
  <conditionalFormatting sqref="J5:K167">
    <cfRule type="containsText" dxfId="10" priority="11" operator="containsText" text="Green">
      <formula>NOT(ISERROR(SEARCH(("Green"),(J5))))</formula>
    </cfRule>
  </conditionalFormatting>
  <conditionalFormatting sqref="J5:K167">
    <cfRule type="containsText" dxfId="11" priority="12" operator="containsText" text="Black">
      <formula>NOT(ISERROR(SEARCH(("Black"),(J5))))</formula>
    </cfRule>
  </conditionalFormatting>
  <conditionalFormatting sqref="J5:K167">
    <cfRule type="containsText" dxfId="12" priority="13" operator="containsText" text="Red">
      <formula>NOT(ISERROR(SEARCH(("Red"),(J5))))</formula>
    </cfRule>
  </conditionalFormatting>
  <conditionalFormatting sqref="E5:G167">
    <cfRule type="notContainsBlanks" dxfId="14" priority="14">
      <formula>LEN(TRIM(E5))&gt;0</formula>
    </cfRule>
  </conditionalFormatting>
  <conditionalFormatting sqref="I5:I167">
    <cfRule type="notContainsBlanks" dxfId="13" priority="15">
      <formula>LEN(TRIM(I5))&gt;0</formula>
    </cfRule>
  </conditionalFormatting>
  <conditionalFormatting sqref="J5:K167">
    <cfRule type="containsText" dxfId="13" priority="16" operator="containsText" text="44CE">
      <formula>NOT(ISERROR(SEARCH(("44CE"),(J5))))</formula>
    </cfRule>
  </conditionalFormatting>
  <conditionalFormatting sqref="A5:P167">
    <cfRule type="expression" dxfId="15" priority="17">
      <formula>$D5="Divider"</formula>
    </cfRule>
  </conditionalFormatting>
  <conditionalFormatting sqref="A5:P167">
    <cfRule type="expression" dxfId="16" priority="18">
      <formula>$D5="44CE"</formula>
    </cfRule>
  </conditionalFormatting>
  <conditionalFormatting sqref="A5:P167">
    <cfRule type="expression" dxfId="17" priority="19">
      <formula>$D5="M"</formula>
    </cfRule>
  </conditionalFormatting>
  <conditionalFormatting sqref="A5:P167">
    <cfRule type="expression" dxfId="18" priority="20">
      <formula>AND($B5=1,isblank($D5))</formula>
    </cfRule>
  </conditionalFormatting>
  <conditionalFormatting sqref="A5:P167">
    <cfRule type="expression" dxfId="19" priority="21">
      <formula>AND($B5=2,isblank($D5))</formula>
    </cfRule>
  </conditionalFormatting>
  <conditionalFormatting sqref="A5:P167">
    <cfRule type="expression" dxfId="20" priority="22">
      <formula>AND($B5=3,isblank($D5))</formula>
    </cfRule>
  </conditionalFormatting>
  <conditionalFormatting sqref="A5:P167">
    <cfRule type="expression" dxfId="18" priority="23">
      <formula>AND($B5=4,isblank($D5))</formula>
    </cfRule>
  </conditionalFormatting>
  <conditionalFormatting sqref="A5:P167">
    <cfRule type="expression" dxfId="21" priority="24">
      <formula>AND($B5=5,isblank($D5))</formula>
    </cfRule>
  </conditionalFormatting>
  <conditionalFormatting sqref="A5:P167">
    <cfRule type="expression" dxfId="18" priority="25">
      <formula>AND($B5=6,isblank($D5))</formula>
    </cfRule>
  </conditionalFormatting>
  <conditionalFormatting sqref="A5:P167">
    <cfRule type="expression" dxfId="20" priority="26">
      <formula>AND($B5=7,isblank($D5))</formula>
    </cfRule>
  </conditionalFormatting>
  <conditionalFormatting sqref="A5:P167">
    <cfRule type="expression" dxfId="8" priority="27">
      <formula>not(isblank($B5))</formula>
    </cfRule>
  </conditionalFormatting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75"/>
  <cols>
    <col customWidth="1" min="1" max="1" width="3.14"/>
    <col customWidth="1" hidden="1" min="2" max="2" width="2.71"/>
    <col customWidth="1" min="3" max="3" width="15.29"/>
    <col customWidth="1" hidden="1" min="4" max="4" width="11.57"/>
    <col customWidth="1" min="5" max="7" width="4.43"/>
    <col customWidth="1" min="8" max="8" width="11.29"/>
    <col customWidth="1" min="9" max="9" width="4.43"/>
    <col customWidth="1" min="10" max="10" width="10.43"/>
    <col customWidth="1" min="11" max="12" width="6.57"/>
    <col customWidth="1" min="13" max="13" width="7.57"/>
    <col customWidth="1" min="14" max="15" width="14.43"/>
    <col customWidth="1" min="16" max="16" width="31.57"/>
    <col customWidth="1" min="17" max="17" width="14.43"/>
  </cols>
  <sheetData>
    <row r="1" ht="15.75" customHeight="1">
      <c r="A1" s="30" t="str">
        <f>text(Floor_data!$O$4+2,"ddddddddd")</f>
        <v>Wednesday</v>
      </c>
      <c r="D1" s="31">
        <f>IF(VLOOKUP(Floor_data!$O$4,Floor_data!$N$11:$O$17,1,TRUE)+2 &gt;7,VLOOKUP(Floor_data!$O$4,Floor_data!$N$11:$O$17,1,TRUE)-5,VLOOKUP(Floor_data!$O$4,Floor_data!$N$11:$O$17,1,TRUE)+2)</f>
        <v>4</v>
      </c>
      <c r="E1" s="32" t="s">
        <v>19</v>
      </c>
      <c r="J1" s="5" t="s">
        <v>2</v>
      </c>
      <c r="K1" s="28" t="str">
        <f>VLOOKUP($D$1,Floor_data!$N$11:$P$17,3,FALSE)</f>
        <v>3F Omoki and 27F Yukiyoshi: Gyakufunsha
The Four Forcemen unleashed!</v>
      </c>
      <c r="Q1" s="7" t="s">
        <v>3</v>
      </c>
      <c r="R1" s="8" t="str">
        <f>VLOOKUP($D1,Floor_data!$N$11:$Q$17,4,FALSE)</f>
        <v>https://i.imgur.com/T0arBPo.png</v>
      </c>
    </row>
    <row r="2" ht="15.75" customHeight="1">
      <c r="E2" s="33" t="s">
        <v>20</v>
      </c>
      <c r="Q2" s="9" t="str">
        <f>IMAGE(VLOOKUP($D$1,Floor_data!$N$11:$Q$17,4,FALSE),4,3520,1010)</f>
        <v/>
      </c>
    </row>
    <row r="3">
      <c r="A3" s="10" t="s">
        <v>4</v>
      </c>
      <c r="B3" s="10" t="s">
        <v>5</v>
      </c>
      <c r="C3" s="10" t="s">
        <v>6</v>
      </c>
      <c r="D3" s="10" t="s">
        <v>7</v>
      </c>
      <c r="E3" s="11" t="s">
        <v>8</v>
      </c>
      <c r="H3" s="10" t="s">
        <v>9</v>
      </c>
      <c r="I3" s="12" t="s">
        <v>10</v>
      </c>
      <c r="J3" s="13" t="s">
        <v>11</v>
      </c>
      <c r="K3" s="14" t="s">
        <v>12</v>
      </c>
      <c r="L3" s="15" t="s">
        <v>13</v>
      </c>
    </row>
    <row r="4">
      <c r="E4" s="16" t="s">
        <v>14</v>
      </c>
      <c r="F4" s="16" t="s">
        <v>15</v>
      </c>
      <c r="G4" s="16" t="s">
        <v>16</v>
      </c>
    </row>
    <row r="5" ht="10.5" customHeight="1">
      <c r="A5" s="17">
        <f>IFERROR(__xludf.DUMMYFUNCTION("QUERY(Floor_data!$A$2:$L$315,""select A,B,C,D,E,F,G,H,I,J,K,L where B=0 or B=""&amp;$D$1&amp;"""")"),41.0)</f>
        <v>41</v>
      </c>
      <c r="B5" s="18">
        <f>IFERROR(__xludf.DUMMYFUNCTION("""COMPUTED_VALUE"""),0.0)</f>
        <v>0</v>
      </c>
      <c r="C5" s="19" t="str">
        <f>IFERROR(__xludf.DUMMYFUNCTION("""COMPUTED_VALUE"""),"Chojo")</f>
        <v>Chojo</v>
      </c>
      <c r="D5" s="18"/>
      <c r="E5" s="18"/>
      <c r="F5" s="18"/>
      <c r="G5" s="18"/>
      <c r="H5" s="18" t="str">
        <f>IFERROR(__xludf.DUMMYFUNCTION("""COMPUTED_VALUE"""),"×")</f>
        <v>×</v>
      </c>
      <c r="I5" s="18"/>
      <c r="J5" s="18"/>
      <c r="K5" s="18"/>
      <c r="L5" s="20" t="str">
        <f>IFERROR(__xludf.DUMMYFUNCTION("""COMPUTED_VALUE"""),"Final floor of the main game.")</f>
        <v>Final floor of the main game.</v>
      </c>
    </row>
    <row r="6" ht="3.75" customHeight="1">
      <c r="A6" s="17">
        <f>IFERROR(__xludf.DUMMYFUNCTION("""COMPUTED_VALUE"""),40.0)</f>
        <v>40</v>
      </c>
      <c r="B6" s="18">
        <f>IFERROR(__xludf.DUMMYFUNCTION("""COMPUTED_VALUE"""),0.0)</f>
        <v>0</v>
      </c>
      <c r="C6" s="19" t="str">
        <f>IFERROR(__xludf.DUMMYFUNCTION("""COMPUTED_VALUE"""),"Futagi")</f>
        <v>Futagi</v>
      </c>
      <c r="D6" s="18" t="str">
        <f>IFERROR(__xludf.DUMMYFUNCTION("""COMPUTED_VALUE"""),"M")</f>
        <v>M</v>
      </c>
      <c r="E6" s="18"/>
      <c r="F6" s="18">
        <f>IFERROR(__xludf.DUMMYFUNCTION("""COMPUTED_VALUE"""),4.6)</f>
        <v>4.6</v>
      </c>
      <c r="G6" s="18" t="str">
        <f>IFERROR(__xludf.DUMMYFUNCTION("""COMPUTED_VALUE"""),"●")</f>
        <v>●</v>
      </c>
      <c r="H6" s="18" t="str">
        <f>IFERROR(__xludf.DUMMYFUNCTION("""COMPUTED_VALUE"""),"×")</f>
        <v>×</v>
      </c>
      <c r="I6" s="18"/>
      <c r="J6" s="18" t="str">
        <f>IFERROR(__xludf.DUMMYFUNCTION("""COMPUTED_VALUE"""),"MILK Red")</f>
        <v>MILK Red</v>
      </c>
      <c r="K6" s="18"/>
      <c r="L6" s="20" t="str">
        <f>IFERROR(__xludf.DUMMYFUNCTION("""COMPUTED_VALUE"""),"BOSS: Taro Gunkanyama. Must kill 38F JIN-DIE to unlock the floor.")</f>
        <v>BOSS: Taro Gunkanyama. Must kill 38F JIN-DIE to unlock the floor.</v>
      </c>
    </row>
    <row r="7" ht="9.75" customHeight="1">
      <c r="A7" s="17">
        <f>IFERROR(__xludf.DUMMYFUNCTION("""COMPUTED_VALUE"""),39.0)</f>
        <v>39</v>
      </c>
      <c r="B7" s="18">
        <f>IFERROR(__xludf.DUMMYFUNCTION("""COMPUTED_VALUE"""),0.0)</f>
        <v>0</v>
      </c>
      <c r="C7" s="19" t="str">
        <f>IFERROR(__xludf.DUMMYFUNCTION("""COMPUTED_VALUE"""),"Nakasaki")</f>
        <v>Nakasaki</v>
      </c>
      <c r="D7" s="18" t="str">
        <f>IFERROR(__xludf.DUMMYFUNCTION("""COMPUTED_VALUE"""),"M")</f>
        <v>M</v>
      </c>
      <c r="E7" s="18"/>
      <c r="F7" s="18"/>
      <c r="G7" s="18"/>
      <c r="H7" s="18" t="str">
        <f>IFERROR(__xludf.DUMMYFUNCTION("""COMPUTED_VALUE"""),"Iron")</f>
        <v>Iron</v>
      </c>
      <c r="I7" s="18"/>
      <c r="J7" s="18"/>
      <c r="K7" s="18"/>
      <c r="L7" s="20"/>
    </row>
    <row r="8">
      <c r="A8" s="17">
        <f>IFERROR(__xludf.DUMMYFUNCTION("""COMPUTED_VALUE"""),39.0)</f>
        <v>39</v>
      </c>
      <c r="B8" s="18">
        <f>IFERROR(__xludf.DUMMYFUNCTION("""COMPUTED_VALUE"""),0.0)</f>
        <v>0</v>
      </c>
      <c r="C8" s="19" t="str">
        <f>IFERROR(__xludf.DUMMYFUNCTION("""COMPUTED_VALUE"""),"Haratsuka")</f>
        <v>Haratsuka</v>
      </c>
      <c r="D8" s="18"/>
      <c r="E8" s="18"/>
      <c r="F8" s="18">
        <f>IFERROR(__xludf.DUMMYFUNCTION("""COMPUTED_VALUE"""),4.5)</f>
        <v>4.5</v>
      </c>
      <c r="G8" s="18"/>
      <c r="H8" s="18" t="str">
        <f>IFERROR(__xludf.DUMMYFUNCTION("""COMPUTED_VALUE"""),"Oil")</f>
        <v>Oil</v>
      </c>
      <c r="I8" s="18" t="str">
        <f>IFERROR(__xludf.DUMMYFUNCTION("""COMPUTED_VALUE"""),"G")</f>
        <v>G</v>
      </c>
      <c r="J8" s="18"/>
      <c r="K8" s="18"/>
      <c r="L8" s="20" t="str">
        <f>IFERROR(__xludf.DUMMYFUNCTION("""COMPUTED_VALUE"""),"Gyakufunsha can appear. Three Mk-5 Bullet Tubers.")</f>
        <v>Gyakufunsha can appear. Three Mk-5 Bullet Tubers.</v>
      </c>
    </row>
    <row r="9">
      <c r="A9" s="17">
        <f>IFERROR(__xludf.DUMMYFUNCTION("""COMPUTED_VALUE"""),38.0)</f>
        <v>38</v>
      </c>
      <c r="B9" s="18">
        <f>IFERROR(__xludf.DUMMYFUNCTION("""COMPUTED_VALUE"""),0.0)</f>
        <v>0</v>
      </c>
      <c r="C9" s="19" t="str">
        <f>IFERROR(__xludf.DUMMYFUNCTION("""COMPUTED_VALUE"""),"Yataka-Cho")</f>
        <v>Yataka-Cho</v>
      </c>
      <c r="D9" s="18"/>
      <c r="E9" s="18"/>
      <c r="F9" s="18"/>
      <c r="G9" s="18"/>
      <c r="H9" s="18" t="str">
        <f>IFERROR(__xludf.DUMMYFUNCTION("""COMPUTED_VALUE"""),"Fiber")</f>
        <v>Fiber</v>
      </c>
      <c r="I9" s="18"/>
      <c r="J9" s="18"/>
      <c r="K9" s="18" t="str">
        <f>IFERROR(__xludf.DUMMYFUNCTION("""COMPUTED_VALUE"""),"Red")</f>
        <v>Red</v>
      </c>
      <c r="L9" s="20" t="str">
        <f>IFERROR(__xludf.DUMMYFUNCTION("""COMPUTED_VALUE"""),"TRAP: Red or Black Metals. Five Screamers one after another.")</f>
        <v>TRAP: Red or Black Metals. Five Screamers one after another.</v>
      </c>
    </row>
    <row r="10">
      <c r="A10" s="17">
        <f>IFERROR(__xludf.DUMMYFUNCTION("""COMPUTED_VALUE"""),38.0)</f>
        <v>38</v>
      </c>
      <c r="B10" s="18">
        <f>IFERROR(__xludf.DUMMYFUNCTION("""COMPUTED_VALUE"""),0.0)</f>
        <v>0</v>
      </c>
      <c r="C10" s="19" t="str">
        <f>IFERROR(__xludf.DUMMYFUNCTION("""COMPUTED_VALUE"""),"Ebata")</f>
        <v>Ebata</v>
      </c>
      <c r="D10" s="18"/>
      <c r="E10" s="18"/>
      <c r="F10" s="18">
        <f>IFERROR(__xludf.DUMMYFUNCTION("""COMPUTED_VALUE"""),4.4)</f>
        <v>4.4</v>
      </c>
      <c r="G10" s="18"/>
      <c r="H10" s="18" t="str">
        <f>IFERROR(__xludf.DUMMYFUNCTION("""COMPUTED_VALUE"""),"Aluminum")</f>
        <v>Aluminum</v>
      </c>
      <c r="I10" s="18"/>
      <c r="J10" s="18" t="str">
        <f>IFERROR(__xludf.DUMMYFUNCTION("""COMPUTED_VALUE"""),"WE Red")</f>
        <v>WE Red</v>
      </c>
      <c r="K10" s="18"/>
      <c r="L10" s="20" t="str">
        <f>IFERROR(__xludf.DUMMYFUNCTION("""COMPUTED_VALUE"""),"BOSS: JIN-DIE. Drops War Ensemble Red Metal. Two Mk-5 Bullet Tubers.")</f>
        <v>BOSS: JIN-DIE. Drops War Ensemble Red Metal. Two Mk-5 Bullet Tubers.</v>
      </c>
    </row>
    <row r="11">
      <c r="A11" s="17">
        <f>IFERROR(__xludf.DUMMYFUNCTION("""COMPUTED_VALUE"""),38.0)</f>
        <v>38</v>
      </c>
      <c r="B11" s="18">
        <f>IFERROR(__xludf.DUMMYFUNCTION("""COMPUTED_VALUE"""),4.0)</f>
        <v>4</v>
      </c>
      <c r="C11" s="19" t="str">
        <f>IFERROR(__xludf.DUMMYFUNCTION("""COMPUTED_VALUE"""),"Koba")</f>
        <v>Koba</v>
      </c>
      <c r="D11" s="18"/>
      <c r="E11" s="18"/>
      <c r="F11" s="18"/>
      <c r="G11" s="18"/>
      <c r="H11" s="18" t="str">
        <f>IFERROR(__xludf.DUMMYFUNCTION("""COMPUTED_VALUE"""),"×")</f>
        <v>×</v>
      </c>
      <c r="I11" s="18"/>
      <c r="J11" s="18"/>
      <c r="K11" s="18"/>
      <c r="L11" s="20"/>
    </row>
    <row r="12">
      <c r="A12" s="17">
        <f>IFERROR(__xludf.DUMMYFUNCTION("""COMPUTED_VALUE"""),38.0)</f>
        <v>38</v>
      </c>
      <c r="B12" s="18">
        <f>IFERROR(__xludf.DUMMYFUNCTION("""COMPUTED_VALUE"""),4.0)</f>
        <v>4</v>
      </c>
      <c r="C12" s="19" t="str">
        <f>IFERROR(__xludf.DUMMYFUNCTION("""COMPUTED_VALUE"""),"Takanowa")</f>
        <v>Takanowa</v>
      </c>
      <c r="D12" s="18" t="str">
        <f>IFERROR(__xludf.DUMMYFUNCTION("""COMPUTED_VALUE"""),"44CE")</f>
        <v>44CE</v>
      </c>
      <c r="E12" s="18"/>
      <c r="F12" s="18"/>
      <c r="G12" s="18"/>
      <c r="H12" s="18" t="str">
        <f>IFERROR(__xludf.DUMMYFUNCTION("""COMPUTED_VALUE"""),"×")</f>
        <v>×</v>
      </c>
      <c r="I12" s="18"/>
      <c r="J12" s="18" t="str">
        <f>IFERROR(__xludf.DUMMYFUNCTION("""COMPUTED_VALUE"""),"MILK 44CE")</f>
        <v>MILK 44CE</v>
      </c>
      <c r="K12" s="18"/>
      <c r="L12" s="20" t="str">
        <f>IFERROR(__xludf.DUMMYFUNCTION("""COMPUTED_VALUE"""),"BOSS: Pale Wind - Nightmare. All PW BPs + MILK 44CE metal.")</f>
        <v>BOSS: Pale Wind - Nightmare. All PW BPs + MILK 44CE metal.</v>
      </c>
    </row>
    <row r="13">
      <c r="A13" s="17">
        <f>IFERROR(__xludf.DUMMYFUNCTION("""COMPUTED_VALUE"""),37.0)</f>
        <v>37</v>
      </c>
      <c r="B13" s="18">
        <f>IFERROR(__xludf.DUMMYFUNCTION("""COMPUTED_VALUE"""),0.0)</f>
        <v>0</v>
      </c>
      <c r="C13" s="19" t="str">
        <f>IFERROR(__xludf.DUMMYFUNCTION("""COMPUTED_VALUE"""),"Hiromatsu")</f>
        <v>Hiromatsu</v>
      </c>
      <c r="D13" s="18" t="str">
        <f>IFERROR(__xludf.DUMMYFUNCTION("""COMPUTED_VALUE"""),"M")</f>
        <v>M</v>
      </c>
      <c r="E13" s="18"/>
      <c r="F13" s="18">
        <f>IFERROR(__xludf.DUMMYFUNCTION("""COMPUTED_VALUE"""),4.3)</f>
        <v>4.3</v>
      </c>
      <c r="G13" s="18"/>
      <c r="H13" s="18" t="str">
        <f>IFERROR(__xludf.DUMMYFUNCTION("""COMPUTED_VALUE"""),"All")</f>
        <v>All</v>
      </c>
      <c r="I13" s="18"/>
      <c r="J13" s="18"/>
      <c r="K13" s="18"/>
      <c r="L13" s="20" t="str">
        <f>IFERROR(__xludf.DUMMYFUNCTION("""COMPUTED_VALUE"""),"Must unlock from 36F Itanodai.")</f>
        <v>Must unlock from 36F Itanodai.</v>
      </c>
    </row>
    <row r="14">
      <c r="A14" s="17">
        <f>IFERROR(__xludf.DUMMYFUNCTION("""COMPUTED_VALUE"""),37.0)</f>
        <v>37</v>
      </c>
      <c r="B14" s="18">
        <f>IFERROR(__xludf.DUMMYFUNCTION("""COMPUTED_VALUE"""),0.0)</f>
        <v>0</v>
      </c>
      <c r="C14" s="19" t="str">
        <f>IFERROR(__xludf.DUMMYFUNCTION("""COMPUTED_VALUE"""),"Mitsuba")</f>
        <v>Mitsuba</v>
      </c>
      <c r="D14" s="18"/>
      <c r="E14" s="18"/>
      <c r="F14" s="18"/>
      <c r="G14" s="18"/>
      <c r="H14" s="18" t="str">
        <f>IFERROR(__xludf.DUMMYFUNCTION("""COMPUTED_VALUE"""),"Oil")</f>
        <v>Oil</v>
      </c>
      <c r="I14" s="18"/>
      <c r="J14" s="18"/>
      <c r="K14" s="18"/>
      <c r="L14" s="20"/>
    </row>
    <row r="15">
      <c r="A15" s="17">
        <f>IFERROR(__xludf.DUMMYFUNCTION("""COMPUTED_VALUE"""),37.0)</f>
        <v>37</v>
      </c>
      <c r="B15" s="18">
        <f>IFERROR(__xludf.DUMMYFUNCTION("""COMPUTED_VALUE"""),4.0)</f>
        <v>4</v>
      </c>
      <c r="C15" s="19" t="str">
        <f>IFERROR(__xludf.DUMMYFUNCTION("""COMPUTED_VALUE"""),"Moguro")</f>
        <v>Moguro</v>
      </c>
      <c r="D15" s="18"/>
      <c r="E15" s="18"/>
      <c r="F15" s="18"/>
      <c r="G15" s="18" t="str">
        <f>IFERROR(__xludf.DUMMYFUNCTION("""COMPUTED_VALUE"""),"●")</f>
        <v>●</v>
      </c>
      <c r="H15" s="18" t="str">
        <f>IFERROR(__xludf.DUMMYFUNCTION("""COMPUTED_VALUE"""),"Iron")</f>
        <v>Iron</v>
      </c>
      <c r="I15" s="18"/>
      <c r="J15" s="18"/>
      <c r="K15" s="18"/>
      <c r="L15" s="20"/>
    </row>
    <row r="16">
      <c r="A16" s="17">
        <f>IFERROR(__xludf.DUMMYFUNCTION("""COMPUTED_VALUE"""),36.0)</f>
        <v>36</v>
      </c>
      <c r="B16" s="18">
        <f>IFERROR(__xludf.DUMMYFUNCTION("""COMPUTED_VALUE"""),0.0)</f>
        <v>0</v>
      </c>
      <c r="C16" s="19" t="str">
        <f>IFERROR(__xludf.DUMMYFUNCTION("""COMPUTED_VALUE"""),"Yatsuo")</f>
        <v>Yatsuo</v>
      </c>
      <c r="D16" s="18" t="str">
        <f>IFERROR(__xludf.DUMMYFUNCTION("""COMPUTED_VALUE"""),"M")</f>
        <v>M</v>
      </c>
      <c r="E16" s="18">
        <f>IFERROR(__xludf.DUMMYFUNCTION("""COMPUTED_VALUE"""),8.0)</f>
        <v>8</v>
      </c>
      <c r="F16" s="18"/>
      <c r="G16" s="18" t="str">
        <f>IFERROR(__xludf.DUMMYFUNCTION("""COMPUTED_VALUE"""),"●")</f>
        <v>●</v>
      </c>
      <c r="H16" s="18" t="str">
        <f>IFERROR(__xludf.DUMMYFUNCTION("""COMPUTED_VALUE"""),"All")</f>
        <v>All</v>
      </c>
      <c r="I16" s="18"/>
      <c r="J16" s="18"/>
      <c r="K16" s="18"/>
      <c r="L16" s="20" t="str">
        <f>IFERROR(__xludf.DUMMYFUNCTION("""COMPUTED_VALUE"""),"Only properly connects to 35F Wakaba on Monday.")</f>
        <v>Only properly connects to 35F Wakaba on Monday.</v>
      </c>
    </row>
    <row r="17">
      <c r="A17" s="17">
        <f>IFERROR(__xludf.DUMMYFUNCTION("""COMPUTED_VALUE"""),36.0)</f>
        <v>36</v>
      </c>
      <c r="B17" s="18">
        <f>IFERROR(__xludf.DUMMYFUNCTION("""COMPUTED_VALUE"""),0.0)</f>
        <v>0</v>
      </c>
      <c r="C17" s="19" t="str">
        <f>IFERROR(__xludf.DUMMYFUNCTION("""COMPUTED_VALUE"""),"Itanodai")</f>
        <v>Itanodai</v>
      </c>
      <c r="D17" s="18"/>
      <c r="E17" s="18"/>
      <c r="F17" s="18">
        <f>IFERROR(__xludf.DUMMYFUNCTION("""COMPUTED_VALUE"""),4.2)</f>
        <v>4.2</v>
      </c>
      <c r="G17" s="18"/>
      <c r="H17" s="18" t="str">
        <f>IFERROR(__xludf.DUMMYFUNCTION("""COMPUTED_VALUE"""),"Wood")</f>
        <v>Wood</v>
      </c>
      <c r="I17" s="18"/>
      <c r="J17" s="18" t="str">
        <f>IFERROR(__xludf.DUMMYFUNCTION("""COMPUTED_VALUE"""),"CW Red ")</f>
        <v>CW Red </v>
      </c>
      <c r="K17" s="18"/>
      <c r="L17" s="20" t="str">
        <f>IFERROR(__xludf.DUMMYFUNCTION("""COMPUTED_VALUE"""),"BOSS: GOTO-9. Drops Candle Wolf Red Metal.")</f>
        <v>BOSS: GOTO-9. Drops Candle Wolf Red Metal.</v>
      </c>
    </row>
    <row r="18">
      <c r="A18" s="17">
        <f>IFERROR(__xludf.DUMMYFUNCTION("""COMPUTED_VALUE"""),36.0)</f>
        <v>36</v>
      </c>
      <c r="B18" s="18">
        <f>IFERROR(__xludf.DUMMYFUNCTION("""COMPUTED_VALUE"""),0.0)</f>
        <v>0</v>
      </c>
      <c r="C18" s="19" t="str">
        <f>IFERROR(__xludf.DUMMYFUNCTION("""COMPUTED_VALUE"""),"Hiranuma")</f>
        <v>Hiranuma</v>
      </c>
      <c r="D18" s="18"/>
      <c r="E18" s="18"/>
      <c r="F18" s="18"/>
      <c r="G18" s="18"/>
      <c r="H18" s="18" t="str">
        <f>IFERROR(__xludf.DUMMYFUNCTION("""COMPUTED_VALUE"""),"Copper")</f>
        <v>Copper</v>
      </c>
      <c r="I18" s="18"/>
      <c r="J18" s="18"/>
      <c r="K18" s="18"/>
      <c r="L18" s="20"/>
    </row>
    <row r="19">
      <c r="A19" s="17">
        <f>IFERROR(__xludf.DUMMYFUNCTION("""COMPUTED_VALUE"""),36.0)</f>
        <v>36</v>
      </c>
      <c r="B19" s="18">
        <f>IFERROR(__xludf.DUMMYFUNCTION("""COMPUTED_VALUE"""),4.0)</f>
        <v>4</v>
      </c>
      <c r="C19" s="19" t="str">
        <f>IFERROR(__xludf.DUMMYFUNCTION("""COMPUTED_VALUE"""),"Momonoki-Zaka")</f>
        <v>Momonoki-Zaka</v>
      </c>
      <c r="D19" s="18"/>
      <c r="E19" s="18"/>
      <c r="F19" s="18"/>
      <c r="G19" s="18"/>
      <c r="H19" s="18" t="str">
        <f>IFERROR(__xludf.DUMMYFUNCTION("""COMPUTED_VALUE"""),"Fiber")</f>
        <v>Fiber</v>
      </c>
      <c r="I19" s="18"/>
      <c r="J19" s="18"/>
      <c r="K19" s="18"/>
      <c r="L19" s="20"/>
    </row>
    <row r="20">
      <c r="A20" s="17">
        <f>IFERROR(__xludf.DUMMYFUNCTION("""COMPUTED_VALUE"""),35.0)</f>
        <v>35</v>
      </c>
      <c r="B20" s="18">
        <f>IFERROR(__xludf.DUMMYFUNCTION("""COMPUTED_VALUE"""),0.0)</f>
        <v>0</v>
      </c>
      <c r="C20" s="19" t="str">
        <f>IFERROR(__xludf.DUMMYFUNCTION("""COMPUTED_VALUE"""),"Shina-Yama")</f>
        <v>Shina-Yama</v>
      </c>
      <c r="D20" s="18"/>
      <c r="E20" s="18"/>
      <c r="F20" s="18">
        <f>IFERROR(__xludf.DUMMYFUNCTION("""COMPUTED_VALUE"""),4.1)</f>
        <v>4.1</v>
      </c>
      <c r="G20" s="18"/>
      <c r="H20" s="18" t="str">
        <f>IFERROR(__xludf.DUMMYFUNCTION("""COMPUTED_VALUE"""),"Aluminum")</f>
        <v>Aluminum</v>
      </c>
      <c r="I20" s="18"/>
      <c r="J20" s="18"/>
      <c r="K20" s="18"/>
      <c r="L20" s="20" t="str">
        <f>IFERROR(__xludf.DUMMYFUNCTION("""COMPUTED_VALUE"""),"Must unlock from 34F Nitanda.")</f>
        <v>Must unlock from 34F Nitanda.</v>
      </c>
    </row>
    <row r="21">
      <c r="A21" s="17">
        <f>IFERROR(__xludf.DUMMYFUNCTION("""COMPUTED_VALUE"""),35.0)</f>
        <v>35</v>
      </c>
      <c r="B21" s="18">
        <f>IFERROR(__xludf.DUMMYFUNCTION("""COMPUTED_VALUE"""),0.0)</f>
        <v>0</v>
      </c>
      <c r="C21" s="19" t="str">
        <f>IFERROR(__xludf.DUMMYFUNCTION("""COMPUTED_VALUE"""),"Wakaba")</f>
        <v>Wakaba</v>
      </c>
      <c r="D21" s="18"/>
      <c r="E21" s="18">
        <f>IFERROR(__xludf.DUMMYFUNCTION("""COMPUTED_VALUE"""),7.0)</f>
        <v>7</v>
      </c>
      <c r="F21" s="18"/>
      <c r="G21" s="18" t="str">
        <f>IFERROR(__xludf.DUMMYFUNCTION("""COMPUTED_VALUE"""),"●")</f>
        <v>●</v>
      </c>
      <c r="H21" s="18" t="str">
        <f>IFERROR(__xludf.DUMMYFUNCTION("""COMPUTED_VALUE"""),"Iron")</f>
        <v>Iron</v>
      </c>
      <c r="I21" s="18"/>
      <c r="J21" s="18"/>
      <c r="K21" s="18" t="str">
        <f>IFERROR(__xludf.DUMMYFUNCTION("""COMPUTED_VALUE"""),"Red")</f>
        <v>Red</v>
      </c>
      <c r="L21" s="20" t="str">
        <f>IFERROR(__xludf.DUMMYFUNCTION("""COMPUTED_VALUE"""),"TRAP: Red or Black Metals. 4 Mk-5 Scratch, Mk-5 Hover, a Screamer.
Gate in the garden locks automatically; cannot approach from Nagazaka/Sengoku.")</f>
        <v>TRAP: Red or Black Metals. 4 Mk-5 Scratch, Mk-5 Hover, a Screamer.
Gate in the garden locks automatically; cannot approach from Nagazaka/Sengoku.</v>
      </c>
    </row>
    <row r="22">
      <c r="A22" s="17">
        <f>IFERROR(__xludf.DUMMYFUNCTION("""COMPUTED_VALUE"""),35.0)</f>
        <v>35</v>
      </c>
      <c r="B22" s="18">
        <f>IFERROR(__xludf.DUMMYFUNCTION("""COMPUTED_VALUE"""),4.0)</f>
        <v>4</v>
      </c>
      <c r="C22" s="19" t="str">
        <f>IFERROR(__xludf.DUMMYFUNCTION("""COMPUTED_VALUE"""),"Dainoba")</f>
        <v>Dainoba</v>
      </c>
      <c r="D22" s="18" t="str">
        <f>IFERROR(__xludf.DUMMYFUNCTION("""COMPUTED_VALUE"""),"44CE")</f>
        <v>44CE</v>
      </c>
      <c r="E22" s="18"/>
      <c r="F22" s="18"/>
      <c r="G22" s="18"/>
      <c r="H22" s="18" t="str">
        <f>IFERROR(__xludf.DUMMYFUNCTION("""COMPUTED_VALUE"""),"×")</f>
        <v>×</v>
      </c>
      <c r="I22" s="18"/>
      <c r="J22" s="18"/>
      <c r="K22" s="18"/>
      <c r="L22" s="20" t="str">
        <f>IFERROR(__xludf.DUMMYFUNCTION("""COMPUTED_VALUE"""),"BOSS: Pale Wind - Hard. Drops KC, all PW Armor BPs, and MILK Metals.")</f>
        <v>BOSS: Pale Wind - Hard. Drops KC, all PW Armor BPs, and MILK Metals.</v>
      </c>
    </row>
    <row r="23">
      <c r="A23" s="17">
        <f>IFERROR(__xludf.DUMMYFUNCTION("""COMPUTED_VALUE"""),34.0)</f>
        <v>34</v>
      </c>
      <c r="B23" s="18">
        <f>IFERROR(__xludf.DUMMYFUNCTION("""COMPUTED_VALUE"""),0.0)</f>
        <v>0</v>
      </c>
      <c r="C23" s="19" t="str">
        <f>IFERROR(__xludf.DUMMYFUNCTION("""COMPUTED_VALUE"""),"Nitanda")</f>
        <v>Nitanda</v>
      </c>
      <c r="D23" s="18"/>
      <c r="E23" s="18"/>
      <c r="F23" s="18"/>
      <c r="G23" s="18" t="str">
        <f>IFERROR(__xludf.DUMMYFUNCTION("""COMPUTED_VALUE"""),"●")</f>
        <v>●</v>
      </c>
      <c r="H23" s="18" t="str">
        <f>IFERROR(__xludf.DUMMYFUNCTION("""COMPUTED_VALUE"""),"×")</f>
        <v>×</v>
      </c>
      <c r="I23" s="18"/>
      <c r="J23" s="18" t="str">
        <f>IFERROR(__xludf.DUMMYFUNCTION("""COMPUTED_VALUE"""),"DOD Red")</f>
        <v>DOD Red</v>
      </c>
      <c r="K23" s="18"/>
      <c r="L23" s="20" t="str">
        <f>IFERROR(__xludf.DUMMYFUNCTION("""COMPUTED_VALUE"""),"BOSS: COEN. Drops DOD ARMS Red Metal.")</f>
        <v>BOSS: COEN. Drops DOD ARMS Red Metal.</v>
      </c>
    </row>
    <row r="24">
      <c r="A24" s="17">
        <f>IFERROR(__xludf.DUMMYFUNCTION("""COMPUTED_VALUE"""),34.0)</f>
        <v>34</v>
      </c>
      <c r="B24" s="18">
        <f>IFERROR(__xludf.DUMMYFUNCTION("""COMPUTED_VALUE"""),4.0)</f>
        <v>4</v>
      </c>
      <c r="C24" s="19" t="str">
        <f>IFERROR(__xludf.DUMMYFUNCTION("""COMPUTED_VALUE"""),"Kohashi")</f>
        <v>Kohashi</v>
      </c>
      <c r="D24" s="18"/>
      <c r="E24" s="18"/>
      <c r="F24" s="18"/>
      <c r="G24" s="18"/>
      <c r="H24" s="18" t="str">
        <f>IFERROR(__xludf.DUMMYFUNCTION("""COMPUTED_VALUE"""),"×")</f>
        <v>×</v>
      </c>
      <c r="I24" s="18"/>
      <c r="J24" s="18"/>
      <c r="K24" s="18"/>
      <c r="L24" s="20" t="str">
        <f>IFERROR(__xludf.DUMMYFUNCTION("""COMPUTED_VALUE"""),"Three traps, each with a Mk-4 Reversal Tuber. Chance for a Golden Bird.")</f>
        <v>Three traps, each with a Mk-4 Reversal Tuber. Chance for a Golden Bird.</v>
      </c>
    </row>
    <row r="25">
      <c r="A25" s="17">
        <f>IFERROR(__xludf.DUMMYFUNCTION("""COMPUTED_VALUE"""),34.0)</f>
        <v>34</v>
      </c>
      <c r="B25" s="18">
        <f>IFERROR(__xludf.DUMMYFUNCTION("""COMPUTED_VALUE"""),4.0)</f>
        <v>4</v>
      </c>
      <c r="C25" s="19" t="str">
        <f>IFERROR(__xludf.DUMMYFUNCTION("""COMPUTED_VALUE"""),"Otani-Yama")</f>
        <v>Otani-Yama</v>
      </c>
      <c r="D25" s="18"/>
      <c r="E25" s="18"/>
      <c r="F25" s="18"/>
      <c r="G25" s="18"/>
      <c r="H25" s="18" t="str">
        <f>IFERROR(__xludf.DUMMYFUNCTION("""COMPUTED_VALUE"""),"Iron")</f>
        <v>Iron</v>
      </c>
      <c r="I25" s="18"/>
      <c r="J25" s="18"/>
      <c r="K25" s="18"/>
      <c r="L25" s="20"/>
    </row>
    <row r="26">
      <c r="A26" s="17">
        <f>IFERROR(__xludf.DUMMYFUNCTION("""COMPUTED_VALUE"""),33.0)</f>
        <v>33</v>
      </c>
      <c r="B26" s="18">
        <f>IFERROR(__xludf.DUMMYFUNCTION("""COMPUTED_VALUE"""),0.0)</f>
        <v>0</v>
      </c>
      <c r="C26" s="19" t="str">
        <f>IFERROR(__xludf.DUMMYFUNCTION("""COMPUTED_VALUE"""),"Togose")</f>
        <v>Togose</v>
      </c>
      <c r="D26" s="18" t="str">
        <f>IFERROR(__xludf.DUMMYFUNCTION("""COMPUTED_VALUE"""),"M")</f>
        <v>M</v>
      </c>
      <c r="E26" s="18"/>
      <c r="F26" s="18"/>
      <c r="G26" s="18"/>
      <c r="H26" s="18" t="str">
        <f>IFERROR(__xludf.DUMMYFUNCTION("""COMPUTED_VALUE"""),"All")</f>
        <v>All</v>
      </c>
      <c r="I26" s="18"/>
      <c r="J26" s="18"/>
      <c r="K26" s="18"/>
      <c r="L26" s="20"/>
    </row>
    <row r="27">
      <c r="A27" s="17">
        <f>IFERROR(__xludf.DUMMYFUNCTION("""COMPUTED_VALUE"""),33.0)</f>
        <v>33</v>
      </c>
      <c r="B27" s="18">
        <f>IFERROR(__xludf.DUMMYFUNCTION("""COMPUTED_VALUE"""),0.0)</f>
        <v>0</v>
      </c>
      <c r="C27" s="19" t="str">
        <f>IFERROR(__xludf.DUMMYFUNCTION("""COMPUTED_VALUE"""),"Uchinobu")</f>
        <v>Uchinobu</v>
      </c>
      <c r="D27" s="18"/>
      <c r="E27" s="18"/>
      <c r="F27" s="18"/>
      <c r="G27" s="18"/>
      <c r="H27" s="18" t="str">
        <f>IFERROR(__xludf.DUMMYFUNCTION("""COMPUTED_VALUE"""),"Fiber")</f>
        <v>Fiber</v>
      </c>
      <c r="I27" s="18" t="str">
        <f>IFERROR(__xludf.DUMMYFUNCTION("""COMPUTED_VALUE"""),"G")</f>
        <v>G</v>
      </c>
      <c r="J27" s="18"/>
      <c r="K27" s="18"/>
      <c r="L27" s="20"/>
    </row>
    <row r="28">
      <c r="A28" s="17">
        <f>IFERROR(__xludf.DUMMYFUNCTION("""COMPUTED_VALUE"""),33.0)</f>
        <v>33</v>
      </c>
      <c r="B28" s="18">
        <f>IFERROR(__xludf.DUMMYFUNCTION("""COMPUTED_VALUE"""),4.0)</f>
        <v>4</v>
      </c>
      <c r="C28" s="19" t="str">
        <f>IFERROR(__xludf.DUMMYFUNCTION("""COMPUTED_VALUE"""),"Akabadai")</f>
        <v>Akabadai</v>
      </c>
      <c r="D28" s="18"/>
      <c r="E28" s="18"/>
      <c r="F28" s="18"/>
      <c r="G28" s="18"/>
      <c r="H28" s="18" t="str">
        <f>IFERROR(__xludf.DUMMYFUNCTION("""COMPUTED_VALUE"""),"Wood")</f>
        <v>Wood</v>
      </c>
      <c r="I28" s="18"/>
      <c r="J28" s="18"/>
      <c r="K28" s="18"/>
      <c r="L28" s="20"/>
    </row>
    <row r="29" ht="1.5" customHeight="1">
      <c r="A29" s="17">
        <f>IFERROR(__xludf.DUMMYFUNCTION("""COMPUTED_VALUE"""),32.0)</f>
        <v>32</v>
      </c>
      <c r="B29" s="18">
        <f>IFERROR(__xludf.DUMMYFUNCTION("""COMPUTED_VALUE"""),4.0)</f>
        <v>4</v>
      </c>
      <c r="C29" s="19" t="str">
        <f>IFERROR(__xludf.DUMMYFUNCTION("""COMPUTED_VALUE"""),"Shirokin")</f>
        <v>Shirokin</v>
      </c>
      <c r="D29" s="18" t="str">
        <f>IFERROR(__xludf.DUMMYFUNCTION("""COMPUTED_VALUE"""),"44CE")</f>
        <v>44CE</v>
      </c>
      <c r="E29" s="18"/>
      <c r="F29" s="18"/>
      <c r="G29" s="18"/>
      <c r="H29" s="18" t="str">
        <f>IFERROR(__xludf.DUMMYFUNCTION("""COMPUTED_VALUE"""),"×")</f>
        <v>×</v>
      </c>
      <c r="I29" s="18"/>
      <c r="J29" s="18"/>
      <c r="K29" s="18"/>
      <c r="L29" s="20" t="str">
        <f>IFERROR(__xludf.DUMMYFUNCTION("""COMPUTED_VALUE"""),"BOSS: Pale Wind - Normal. Drops KC, or (rarely) BPs from Taro's area.")</f>
        <v>BOSS: Pale Wind - Normal. Drops KC, or (rarely) BPs from Taro's area.</v>
      </c>
    </row>
    <row r="30" ht="1.5" customHeight="1">
      <c r="A30" s="17">
        <f>IFERROR(__xludf.DUMMYFUNCTION("""COMPUTED_VALUE"""),32.0)</f>
        <v>32</v>
      </c>
      <c r="B30" s="18">
        <f>IFERROR(__xludf.DUMMYFUNCTION("""COMPUTED_VALUE"""),0.0)</f>
        <v>0</v>
      </c>
      <c r="C30" s="19" t="str">
        <f>IFERROR(__xludf.DUMMYFUNCTION("""COMPUTED_VALUE"""),"Koshi-Yama")</f>
        <v>Koshi-Yama</v>
      </c>
      <c r="D30" s="18"/>
      <c r="E30" s="18"/>
      <c r="F30" s="18"/>
      <c r="G30" s="18"/>
      <c r="H30" s="18" t="str">
        <f>IFERROR(__xludf.DUMMYFUNCTION("""COMPUTED_VALUE"""),"Iron")</f>
        <v>Iron</v>
      </c>
      <c r="I30" s="18"/>
      <c r="J30" s="18"/>
      <c r="K30" s="18" t="str">
        <f>IFERROR(__xludf.DUMMYFUNCTION("""COMPUTED_VALUE"""),"Red")</f>
        <v>Red</v>
      </c>
      <c r="L30" s="20" t="str">
        <f>IFERROR(__xludf.DUMMYFUNCTION("""COMPUTED_VALUE"""),"TRAP: Red or Black Metals. Mk-4 Bone Tuber, two Screamers. Unlock from 33F Uchinobu.")</f>
        <v>TRAP: Red or Black Metals. Mk-4 Bone Tuber, two Screamers. Unlock from 33F Uchinobu.</v>
      </c>
    </row>
    <row r="31" ht="1.5" customHeight="1">
      <c r="A31" s="17">
        <f>IFERROR(__xludf.DUMMYFUNCTION("""COMPUTED_VALUE"""),32.0)</f>
        <v>32</v>
      </c>
      <c r="B31" s="18">
        <f>IFERROR(__xludf.DUMMYFUNCTION("""COMPUTED_VALUE"""),0.0)</f>
        <v>0</v>
      </c>
      <c r="C31" s="19" t="str">
        <f>IFERROR(__xludf.DUMMYFUNCTION("""COMPUTED_VALUE"""),"Katsuma")</f>
        <v>Katsuma</v>
      </c>
      <c r="D31" s="18"/>
      <c r="E31" s="18"/>
      <c r="F31" s="18"/>
      <c r="G31" s="18" t="str">
        <f>IFERROR(__xludf.DUMMYFUNCTION("""COMPUTED_VALUE"""),"●")</f>
        <v>●</v>
      </c>
      <c r="H31" s="18" t="str">
        <f>IFERROR(__xludf.DUMMYFUNCTION("""COMPUTED_VALUE"""),"Oil")</f>
        <v>Oil</v>
      </c>
      <c r="I31" s="18"/>
      <c r="J31" s="18" t="str">
        <f>IFERROR(__xludf.DUMMYFUNCTION("""COMPUTED_VALUE"""),"MILK Red")</f>
        <v>MILK Red</v>
      </c>
      <c r="K31" s="18"/>
      <c r="L31" s="20" t="str">
        <f>IFERROR(__xludf.DUMMYFUNCTION("""COMPUTED_VALUE"""),"BOSS: U-10. Drops MILK Red Metal.")</f>
        <v>BOSS: U-10. Drops MILK Red Metal.</v>
      </c>
    </row>
    <row r="32" ht="1.5" customHeight="1">
      <c r="A32" s="17">
        <f>IFERROR(__xludf.DUMMYFUNCTION("""COMPUTED_VALUE"""),32.0)</f>
        <v>32</v>
      </c>
      <c r="B32" s="18">
        <f>IFERROR(__xludf.DUMMYFUNCTION("""COMPUTED_VALUE"""),0.0)</f>
        <v>0</v>
      </c>
      <c r="C32" s="19" t="str">
        <f>IFERROR(__xludf.DUMMYFUNCTION("""COMPUTED_VALUE"""),"Osuki")</f>
        <v>Osuki</v>
      </c>
      <c r="D32" s="18"/>
      <c r="E32" s="18"/>
      <c r="F32" s="18"/>
      <c r="G32" s="18"/>
      <c r="H32" s="18" t="str">
        <f>IFERROR(__xludf.DUMMYFUNCTION("""COMPUTED_VALUE"""),"Copper")</f>
        <v>Copper</v>
      </c>
      <c r="I32" s="18"/>
      <c r="J32" s="18"/>
      <c r="K32" s="18"/>
      <c r="L32" s="20"/>
    </row>
    <row r="33">
      <c r="A33" s="17">
        <f>IFERROR(__xludf.DUMMYFUNCTION("""COMPUTED_VALUE"""),31.0)</f>
        <v>31</v>
      </c>
      <c r="B33" s="18">
        <f>IFERROR(__xludf.DUMMYFUNCTION("""COMPUTED_VALUE"""),0.0)</f>
        <v>0</v>
      </c>
      <c r="C33" s="19" t="str">
        <f>IFERROR(__xludf.DUMMYFUNCTION("""COMPUTED_VALUE"""),"Obara")</f>
        <v>Obara</v>
      </c>
      <c r="D33" s="18" t="str">
        <f>IFERROR(__xludf.DUMMYFUNCTION("""COMPUTED_VALUE"""),"M")</f>
        <v>M</v>
      </c>
      <c r="E33" s="18"/>
      <c r="F33" s="18"/>
      <c r="G33" s="18" t="str">
        <f>IFERROR(__xludf.DUMMYFUNCTION("""COMPUTED_VALUE"""),"●")</f>
        <v>●</v>
      </c>
      <c r="H33" s="18" t="str">
        <f>IFERROR(__xludf.DUMMYFUNCTION("""COMPUTED_VALUE"""),"All")</f>
        <v>All</v>
      </c>
      <c r="I33" s="18"/>
      <c r="J33" s="18"/>
      <c r="K33" s="18"/>
      <c r="L33" s="20"/>
    </row>
    <row r="34">
      <c r="A34" s="17">
        <f>IFERROR(__xludf.DUMMYFUNCTION("""COMPUTED_VALUE"""),31.0)</f>
        <v>31</v>
      </c>
      <c r="B34" s="18">
        <f>IFERROR(__xludf.DUMMYFUNCTION("""COMPUTED_VALUE"""),0.0)</f>
        <v>0</v>
      </c>
      <c r="C34" s="19" t="str">
        <f>IFERROR(__xludf.DUMMYFUNCTION("""COMPUTED_VALUE"""),"Koi")</f>
        <v>Koi</v>
      </c>
      <c r="D34" s="18"/>
      <c r="E34" s="18"/>
      <c r="F34" s="18"/>
      <c r="G34" s="18"/>
      <c r="H34" s="18" t="str">
        <f>IFERROR(__xludf.DUMMYFUNCTION("""COMPUTED_VALUE"""),"×")</f>
        <v>×</v>
      </c>
      <c r="I34" s="18"/>
      <c r="J34" s="18"/>
      <c r="K34" s="18"/>
      <c r="L34" s="20" t="str">
        <f>IFERROR(__xludf.DUMMYFUNCTION("""COMPUTED_VALUE"""),"One Mk-4 Reversal Tuber in a dead-end trap room.")</f>
        <v>One Mk-4 Reversal Tuber in a dead-end trap room.</v>
      </c>
    </row>
    <row r="35">
      <c r="A35" s="17">
        <f>IFERROR(__xludf.DUMMYFUNCTION("""COMPUTED_VALUE"""),30.0)</f>
        <v>30</v>
      </c>
      <c r="B35" s="18">
        <f>IFERROR(__xludf.DUMMYFUNCTION("""COMPUTED_VALUE"""),0.0)</f>
        <v>0</v>
      </c>
      <c r="C35" s="19" t="str">
        <f>IFERROR(__xludf.DUMMYFUNCTION("""COMPUTED_VALUE"""),"Towada")</f>
        <v>Towada</v>
      </c>
      <c r="D35" s="18"/>
      <c r="E35" s="18"/>
      <c r="F35" s="18"/>
      <c r="G35" s="18"/>
      <c r="H35" s="18" t="str">
        <f>IFERROR(__xludf.DUMMYFUNCTION("""COMPUTED_VALUE"""),"All")</f>
        <v>All</v>
      </c>
      <c r="I35" s="18"/>
      <c r="J35" s="18"/>
      <c r="K35" s="18"/>
      <c r="L35" s="20"/>
    </row>
    <row r="36">
      <c r="A36" s="17">
        <f>IFERROR(__xludf.DUMMYFUNCTION("""COMPUTED_VALUE"""),30.0)</f>
        <v>30</v>
      </c>
      <c r="B36" s="18">
        <f>IFERROR(__xludf.DUMMYFUNCTION("""COMPUTED_VALUE"""),4.0)</f>
        <v>4</v>
      </c>
      <c r="C36" s="19" t="str">
        <f>IFERROR(__xludf.DUMMYFUNCTION("""COMPUTED_VALUE"""),"Nabokucho")</f>
        <v>Nabokucho</v>
      </c>
      <c r="D36" s="18" t="str">
        <f>IFERROR(__xludf.DUMMYFUNCTION("""COMPUTED_VALUE"""),"44CE")</f>
        <v>44CE</v>
      </c>
      <c r="E36" s="18"/>
      <c r="F36" s="18"/>
      <c r="G36" s="18"/>
      <c r="H36" s="18" t="str">
        <f>IFERROR(__xludf.DUMMYFUNCTION("""COMPUTED_VALUE"""),"×")</f>
        <v>×</v>
      </c>
      <c r="I36" s="18"/>
      <c r="J36" s="18" t="str">
        <f>IFERROR(__xludf.DUMMYFUNCTION("""COMPUTED_VALUE"""),"CW 44CE")</f>
        <v>CW 44CE</v>
      </c>
      <c r="K36" s="18"/>
      <c r="L36" s="20" t="str">
        <f>IFERROR(__xludf.DUMMYFUNCTION("""COMPUTED_VALUE"""),"BOSS: Black Thunder - Nightmare. All BT BPs + CW 44CE metal.")</f>
        <v>BOSS: Black Thunder - Nightmare. All BT BPs + CW 44CE metal.</v>
      </c>
    </row>
    <row r="37">
      <c r="A37" s="17">
        <f>IFERROR(__xludf.DUMMYFUNCTION("""COMPUTED_VALUE"""),30.0)</f>
        <v>30</v>
      </c>
      <c r="B37" s="18">
        <f>IFERROR(__xludf.DUMMYFUNCTION("""COMPUTED_VALUE"""),0.0)</f>
        <v>0</v>
      </c>
      <c r="C37" s="19" t="str">
        <f>IFERROR(__xludf.DUMMYFUNCTION("""COMPUTED_VALUE"""),"Saigetsu")</f>
        <v>Saigetsu</v>
      </c>
      <c r="D37" s="18" t="str">
        <f>IFERROR(__xludf.DUMMYFUNCTION("""COMPUTED_VALUE"""),"M")</f>
        <v>M</v>
      </c>
      <c r="E37" s="18"/>
      <c r="F37" s="18">
        <f>IFERROR(__xludf.DUMMYFUNCTION("""COMPUTED_VALUE"""),3.6)</f>
        <v>3.6</v>
      </c>
      <c r="G37" s="18" t="str">
        <f>IFERROR(__xludf.DUMMYFUNCTION("""COMPUTED_VALUE"""),"●")</f>
        <v>●</v>
      </c>
      <c r="H37" s="18" t="str">
        <f>IFERROR(__xludf.DUMMYFUNCTION("""COMPUTED_VALUE"""),"×")</f>
        <v>×</v>
      </c>
      <c r="I37" s="18"/>
      <c r="J37" s="18" t="str">
        <f>IFERROR(__xludf.DUMMYFUNCTION("""COMPUTED_VALUE"""),"CW Black")</f>
        <v>CW Black</v>
      </c>
      <c r="K37" s="18"/>
      <c r="L37" s="20" t="str">
        <f>IFERROR(__xludf.DUMMYFUNCTION("""COMPUTED_VALUE"""),"BOSS: Mr. Crowley.")</f>
        <v>BOSS: Mr. Crowley.</v>
      </c>
    </row>
    <row r="38">
      <c r="A38" s="17">
        <f>IFERROR(__xludf.DUMMYFUNCTION("""COMPUTED_VALUE"""),29.0)</f>
        <v>29</v>
      </c>
      <c r="B38" s="18">
        <f>IFERROR(__xludf.DUMMYFUNCTION("""COMPUTED_VALUE"""),0.0)</f>
        <v>0</v>
      </c>
      <c r="C38" s="19" t="str">
        <f>IFERROR(__xludf.DUMMYFUNCTION("""COMPUTED_VALUE"""),"Hashidaka")</f>
        <v>Hashidaka</v>
      </c>
      <c r="D38" s="18"/>
      <c r="E38" s="18"/>
      <c r="F38" s="18">
        <f>IFERROR(__xludf.DUMMYFUNCTION("""COMPUTED_VALUE"""),3.5)</f>
        <v>3.5</v>
      </c>
      <c r="G38" s="18" t="str">
        <f>IFERROR(__xludf.DUMMYFUNCTION("""COMPUTED_VALUE"""),"●")</f>
        <v>●</v>
      </c>
      <c r="H38" s="18" t="str">
        <f>IFERROR(__xludf.DUMMYFUNCTION("""COMPUTED_VALUE"""),"Iron")</f>
        <v>Iron</v>
      </c>
      <c r="I38" s="18"/>
      <c r="J38" s="18"/>
      <c r="K38" s="18"/>
      <c r="L38" s="20" t="str">
        <f>IFERROR(__xludf.DUMMYFUNCTION("""COMPUTED_VALUE"""),"Unlock from 28F Hyakkoku and/or Hyakuda. One Mk-4 Reversal Tuber.")</f>
        <v>Unlock from 28F Hyakkoku and/or Hyakuda. One Mk-4 Reversal Tuber.</v>
      </c>
    </row>
    <row r="39">
      <c r="A39" s="17">
        <f>IFERROR(__xludf.DUMMYFUNCTION("""COMPUTED_VALUE"""),28.0)</f>
        <v>28</v>
      </c>
      <c r="B39" s="18">
        <f>IFERROR(__xludf.DUMMYFUNCTION("""COMPUTED_VALUE"""),0.0)</f>
        <v>0</v>
      </c>
      <c r="C39" s="19" t="str">
        <f>IFERROR(__xludf.DUMMYFUNCTION("""COMPUTED_VALUE"""),"Hyakkoku")</f>
        <v>Hyakkoku</v>
      </c>
      <c r="D39" s="18"/>
      <c r="E39" s="18"/>
      <c r="F39" s="18"/>
      <c r="G39" s="18"/>
      <c r="H39" s="18" t="str">
        <f>IFERROR(__xludf.DUMMYFUNCTION("""COMPUTED_VALUE"""),"All")</f>
        <v>All</v>
      </c>
      <c r="I39" s="18"/>
      <c r="J39" s="18"/>
      <c r="K39" s="18" t="str">
        <f>IFERROR(__xludf.DUMMYFUNCTION("""COMPUTED_VALUE"""),"Black")</f>
        <v>Black</v>
      </c>
      <c r="L39" s="20" t="str">
        <f>IFERROR(__xludf.DUMMYFUNCTION("""COMPUTED_VALUE"""),"TRAP: Black or Green Metals. Four Mk-4 Scratch, one Mk-4 Hover, spear Screamer.")</f>
        <v>TRAP: Black or Green Metals. Four Mk-4 Scratch, one Mk-4 Hover, spear Screamer.</v>
      </c>
    </row>
    <row r="40">
      <c r="A40" s="17">
        <f>IFERROR(__xludf.DUMMYFUNCTION("""COMPUTED_VALUE"""),28.0)</f>
        <v>28</v>
      </c>
      <c r="B40" s="18">
        <f>IFERROR(__xludf.DUMMYFUNCTION("""COMPUTED_VALUE"""),0.0)</f>
        <v>0</v>
      </c>
      <c r="C40" s="19" t="str">
        <f>IFERROR(__xludf.DUMMYFUNCTION("""COMPUTED_VALUE"""),"Hyakuda")</f>
        <v>Hyakuda</v>
      </c>
      <c r="D40" s="18"/>
      <c r="E40" s="18"/>
      <c r="F40" s="18"/>
      <c r="G40" s="18" t="str">
        <f>IFERROR(__xludf.DUMMYFUNCTION("""COMPUTED_VALUE"""),"●")</f>
        <v>●</v>
      </c>
      <c r="H40" s="18" t="str">
        <f>IFERROR(__xludf.DUMMYFUNCTION("""COMPUTED_VALUE"""),"Fiber")</f>
        <v>Fiber</v>
      </c>
      <c r="I40" s="18"/>
      <c r="J40" s="18"/>
      <c r="K40" s="18" t="str">
        <f>IFERROR(__xludf.DUMMYFUNCTION("""COMPUTED_VALUE"""),"Black")</f>
        <v>Black</v>
      </c>
      <c r="L40" s="20" t="str">
        <f>IFERROR(__xludf.DUMMYFUNCTION("""COMPUTED_VALUE"""),"TRAP: Black or Green Metals. Five Screamers, one at a time.")</f>
        <v>TRAP: Black or Green Metals. Five Screamers, one at a time.</v>
      </c>
    </row>
    <row r="41">
      <c r="A41" s="17">
        <f>IFERROR(__xludf.DUMMYFUNCTION("""COMPUTED_VALUE"""),27.0)</f>
        <v>27</v>
      </c>
      <c r="B41" s="18">
        <f>IFERROR(__xludf.DUMMYFUNCTION("""COMPUTED_VALUE"""),4.0)</f>
        <v>4</v>
      </c>
      <c r="C41" s="19" t="str">
        <f>IFERROR(__xludf.DUMMYFUNCTION("""COMPUTED_VALUE"""),"Yukiyoshi")</f>
        <v>Yukiyoshi</v>
      </c>
      <c r="D41" s="18"/>
      <c r="E41" s="18"/>
      <c r="F41" s="18"/>
      <c r="G41" s="18"/>
      <c r="H41" s="18" t="str">
        <f>IFERROR(__xludf.DUMMYFUNCTION("""COMPUTED_VALUE"""),"Fiber")</f>
        <v>Fiber</v>
      </c>
      <c r="I41" s="18" t="str">
        <f>IFERROR(__xludf.DUMMYFUNCTION("""COMPUTED_VALUE"""),"G★")</f>
        <v>G★</v>
      </c>
      <c r="J41" s="18"/>
      <c r="K41" s="18"/>
      <c r="L41" s="20" t="str">
        <f>IFERROR(__xludf.DUMMYFUNCTION("""COMPUTED_VALUE"""),"Gyakufunsha always appears, sells 3-5★ mats, all Tuber metals, and Black / Red Metals.")</f>
        <v>Gyakufunsha always appears, sells 3-5★ mats, all Tuber metals, and Black / Red Metals.</v>
      </c>
    </row>
    <row r="42">
      <c r="A42" s="17">
        <f>IFERROR(__xludf.DUMMYFUNCTION("""COMPUTED_VALUE"""),27.0)</f>
        <v>27</v>
      </c>
      <c r="B42" s="18">
        <f>IFERROR(__xludf.DUMMYFUNCTION("""COMPUTED_VALUE"""),0.0)</f>
        <v>0</v>
      </c>
      <c r="C42" s="19" t="str">
        <f>IFERROR(__xludf.DUMMYFUNCTION("""COMPUTED_VALUE"""),"Shinko-Bashi")</f>
        <v>Shinko-Bashi</v>
      </c>
      <c r="D42" s="18" t="str">
        <f>IFERROR(__xludf.DUMMYFUNCTION("""COMPUTED_VALUE"""),"M")</f>
        <v>M</v>
      </c>
      <c r="E42" s="18"/>
      <c r="F42" s="18">
        <f>IFERROR(__xludf.DUMMYFUNCTION("""COMPUTED_VALUE"""),3.4)</f>
        <v>3.4</v>
      </c>
      <c r="G42" s="18"/>
      <c r="H42" s="18" t="str">
        <f>IFERROR(__xludf.DUMMYFUNCTION("""COMPUTED_VALUE"""),"Fiber")</f>
        <v>Fiber</v>
      </c>
      <c r="I42" s="18"/>
      <c r="J42" s="18"/>
      <c r="K42" s="18"/>
      <c r="L42" s="20" t="str">
        <f>IFERROR(__xludf.DUMMYFUNCTION("""COMPUTED_VALUE"""),"Elevator is locked behind two gates until both 26F COEN and 26F JIN-DIE are defeated.")</f>
        <v>Elevator is locked behind two gates until both 26F COEN and 26F JIN-DIE are defeated.</v>
      </c>
    </row>
    <row r="43">
      <c r="A43" s="17">
        <f>IFERROR(__xludf.DUMMYFUNCTION("""COMPUTED_VALUE"""),27.0)</f>
        <v>27</v>
      </c>
      <c r="B43" s="18">
        <f>IFERROR(__xludf.DUMMYFUNCTION("""COMPUTED_VALUE"""),4.0)</f>
        <v>4</v>
      </c>
      <c r="C43" s="19" t="str">
        <f>IFERROR(__xludf.DUMMYFUNCTION("""COMPUTED_VALUE"""),"Kurokawa")</f>
        <v>Kurokawa</v>
      </c>
      <c r="D43" s="18"/>
      <c r="E43" s="18"/>
      <c r="F43" s="18"/>
      <c r="G43" s="18"/>
      <c r="H43" s="18" t="str">
        <f>IFERROR(__xludf.DUMMYFUNCTION("""COMPUTED_VALUE"""),"All")</f>
        <v>All</v>
      </c>
      <c r="I43" s="18"/>
      <c r="J43" s="18"/>
      <c r="K43" s="18"/>
      <c r="L43" s="20"/>
    </row>
    <row r="44">
      <c r="A44" s="17">
        <f>IFERROR(__xludf.DUMMYFUNCTION("""COMPUTED_VALUE"""),26.0)</f>
        <v>26</v>
      </c>
      <c r="B44" s="18">
        <f>IFERROR(__xludf.DUMMYFUNCTION("""COMPUTED_VALUE"""),0.0)</f>
        <v>0</v>
      </c>
      <c r="C44" s="19" t="str">
        <f>IFERROR(__xludf.DUMMYFUNCTION("""COMPUTED_VALUE"""),"Oshimi")</f>
        <v>Oshimi</v>
      </c>
      <c r="D44" s="18"/>
      <c r="E44" s="18"/>
      <c r="F44" s="18"/>
      <c r="G44" s="18"/>
      <c r="H44" s="18" t="str">
        <f>IFERROR(__xludf.DUMMYFUNCTION("""COMPUTED_VALUE"""),"Copper")</f>
        <v>Copper</v>
      </c>
      <c r="I44" s="18"/>
      <c r="J44" s="18" t="str">
        <f>IFERROR(__xludf.DUMMYFUNCTION("""COMPUTED_VALUE"""),"DOD Black")</f>
        <v>DOD Black</v>
      </c>
      <c r="K44" s="18"/>
      <c r="L44" s="20" t="str">
        <f>IFERROR(__xludf.DUMMYFUNCTION("""COMPUTED_VALUE"""),"BOSS: COEN. Drops DOD ARMS Black Metal. Unlocks one of the gates to the 27F Elevator.")</f>
        <v>BOSS: COEN. Drops DOD ARMS Black Metal. Unlocks one of the gates to the 27F Elevator.</v>
      </c>
    </row>
    <row r="45">
      <c r="A45" s="17">
        <f>IFERROR(__xludf.DUMMYFUNCTION("""COMPUTED_VALUE"""),26.0)</f>
        <v>26</v>
      </c>
      <c r="B45" s="18">
        <f>IFERROR(__xludf.DUMMYFUNCTION("""COMPUTED_VALUE"""),0.0)</f>
        <v>0</v>
      </c>
      <c r="C45" s="19" t="str">
        <f>IFERROR(__xludf.DUMMYFUNCTION("""COMPUTED_VALUE"""),"Shimomeno")</f>
        <v>Shimomeno</v>
      </c>
      <c r="D45" s="18"/>
      <c r="E45" s="18"/>
      <c r="F45" s="18"/>
      <c r="G45" s="18"/>
      <c r="H45" s="18" t="str">
        <f>IFERROR(__xludf.DUMMYFUNCTION("""COMPUTED_VALUE"""),"Oil")</f>
        <v>Oil</v>
      </c>
      <c r="I45" s="18"/>
      <c r="J45" s="18" t="str">
        <f>IFERROR(__xludf.DUMMYFUNCTION("""COMPUTED_VALUE"""),"WE Black")</f>
        <v>WE Black</v>
      </c>
      <c r="K45" s="18"/>
      <c r="L45" s="20" t="str">
        <f>IFERROR(__xludf.DUMMYFUNCTION("""COMPUTED_VALUE"""),"BOSS: JIN-DIE. Drops War Ensemble Black Metal. Unlocks one of the gates to the 27F Elevator.")</f>
        <v>BOSS: JIN-DIE. Drops War Ensemble Black Metal. Unlocks one of the gates to the 27F Elevator.</v>
      </c>
    </row>
    <row r="46">
      <c r="A46" s="17">
        <f>IFERROR(__xludf.DUMMYFUNCTION("""COMPUTED_VALUE"""),26.0)</f>
        <v>26</v>
      </c>
      <c r="B46" s="18">
        <f>IFERROR(__xludf.DUMMYFUNCTION("""COMPUTED_VALUE"""),4.0)</f>
        <v>4</v>
      </c>
      <c r="C46" s="19" t="str">
        <f>IFERROR(__xludf.DUMMYFUNCTION("""COMPUTED_VALUE"""),"Hatake-gara")</f>
        <v>Hatake-gara</v>
      </c>
      <c r="D46" s="18" t="str">
        <f>IFERROR(__xludf.DUMMYFUNCTION("""COMPUTED_VALUE"""),"44CE")</f>
        <v>44CE</v>
      </c>
      <c r="E46" s="18"/>
      <c r="F46" s="18"/>
      <c r="G46" s="18"/>
      <c r="H46" s="18" t="str">
        <f>IFERROR(__xludf.DUMMYFUNCTION("""COMPUTED_VALUE"""),"×")</f>
        <v>×</v>
      </c>
      <c r="I46" s="18"/>
      <c r="J46" s="18"/>
      <c r="K46" s="18"/>
      <c r="L46" s="20" t="str">
        <f>IFERROR(__xludf.DUMMYFUNCTION("""COMPUTED_VALUE"""),"BOSS: Black Thunder - Hard. Drops KC, all BT Armor / Head of Medusa BPs, and CW Metals.")</f>
        <v>BOSS: Black Thunder - Hard. Drops KC, all BT Armor / Head of Medusa BPs, and CW Metals.</v>
      </c>
    </row>
    <row r="47">
      <c r="A47" s="17">
        <f>IFERROR(__xludf.DUMMYFUNCTION("""COMPUTED_VALUE"""),25.0)</f>
        <v>25</v>
      </c>
      <c r="B47" s="18">
        <f>IFERROR(__xludf.DUMMYFUNCTION("""COMPUTED_VALUE"""),0.0)</f>
        <v>0</v>
      </c>
      <c r="C47" s="19" t="str">
        <f>IFERROR(__xludf.DUMMYFUNCTION("""COMPUTED_VALUE"""),"Kanie")</f>
        <v>Kanie</v>
      </c>
      <c r="D47" s="18" t="str">
        <f>IFERROR(__xludf.DUMMYFUNCTION("""COMPUTED_VALUE"""),"M")</f>
        <v>M</v>
      </c>
      <c r="E47" s="18"/>
      <c r="F47" s="18">
        <f>IFERROR(__xludf.DUMMYFUNCTION("""COMPUTED_VALUE"""),3.3)</f>
        <v>3.3</v>
      </c>
      <c r="G47" s="18"/>
      <c r="H47" s="18" t="str">
        <f>IFERROR(__xludf.DUMMYFUNCTION("""COMPUTED_VALUE"""),"All")</f>
        <v>All</v>
      </c>
      <c r="I47" s="18"/>
      <c r="J47" s="18"/>
      <c r="K47" s="18"/>
      <c r="L47" s="20"/>
    </row>
    <row r="48">
      <c r="A48" s="17">
        <f>IFERROR(__xludf.DUMMYFUNCTION("""COMPUTED_VALUE"""),25.0)</f>
        <v>25</v>
      </c>
      <c r="B48" s="18">
        <f>IFERROR(__xludf.DUMMYFUNCTION("""COMPUTED_VALUE"""),4.0)</f>
        <v>4</v>
      </c>
      <c r="C48" s="19" t="str">
        <f>IFERROR(__xludf.DUMMYFUNCTION("""COMPUTED_VALUE"""),"Oshi-Hama")</f>
        <v>Oshi-Hama</v>
      </c>
      <c r="D48" s="18"/>
      <c r="E48" s="18"/>
      <c r="F48" s="18"/>
      <c r="G48" s="18"/>
      <c r="H48" s="18" t="str">
        <f>IFERROR(__xludf.DUMMYFUNCTION("""COMPUTED_VALUE"""),"Oil")</f>
        <v>Oil</v>
      </c>
      <c r="I48" s="18"/>
      <c r="J48" s="18"/>
      <c r="K48" s="18"/>
      <c r="L48" s="20" t="str">
        <f>IFERROR(__xludf.DUMMYFUNCTION("""COMPUTED_VALUE"""),"Unlock from both 22F Agasu and 27F Yukiyoshi.")</f>
        <v>Unlock from both 22F Agasu and 27F Yukiyoshi.</v>
      </c>
    </row>
    <row r="49">
      <c r="A49" s="17">
        <f>IFERROR(__xludf.DUMMYFUNCTION("""COMPUTED_VALUE"""),24.0)</f>
        <v>24</v>
      </c>
      <c r="B49" s="18">
        <f>IFERROR(__xludf.DUMMYFUNCTION("""COMPUTED_VALUE"""),0.0)</f>
        <v>0</v>
      </c>
      <c r="C49" s="19" t="str">
        <f>IFERROR(__xludf.DUMMYFUNCTION("""COMPUTED_VALUE"""),"Moriba")</f>
        <v>Moriba</v>
      </c>
      <c r="D49" s="18"/>
      <c r="E49" s="18"/>
      <c r="F49" s="18"/>
      <c r="G49" s="18"/>
      <c r="H49" s="18" t="str">
        <f>IFERROR(__xludf.DUMMYFUNCTION("""COMPUTED_VALUE"""),"×")</f>
        <v>×</v>
      </c>
      <c r="I49" s="18" t="str">
        <f>IFERROR(__xludf.DUMMYFUNCTION("""COMPUTED_VALUE"""),"G")</f>
        <v>G</v>
      </c>
      <c r="J49" s="18"/>
      <c r="K49" s="18"/>
      <c r="L49" s="20" t="str">
        <f>IFERROR(__xludf.DUMMYFUNCTION("""COMPUTED_VALUE"""),"Gyakufunsha can appear. Small area with a single Hater - good for farming CHARGERS.")</f>
        <v>Gyakufunsha can appear. Small area with a single Hater - good for farming CHARGERS.</v>
      </c>
    </row>
    <row r="50">
      <c r="A50" s="17">
        <f>IFERROR(__xludf.DUMMYFUNCTION("""COMPUTED_VALUE"""),24.0)</f>
        <v>24</v>
      </c>
      <c r="B50" s="18">
        <f>IFERROR(__xludf.DUMMYFUNCTION("""COMPUTED_VALUE"""),0.0)</f>
        <v>0</v>
      </c>
      <c r="C50" s="19" t="str">
        <f>IFERROR(__xludf.DUMMYFUNCTION("""COMPUTED_VALUE"""),"Sumikiyo")</f>
        <v>Sumikiyo</v>
      </c>
      <c r="D50" s="18"/>
      <c r="E50" s="18"/>
      <c r="F50" s="18">
        <f>IFERROR(__xludf.DUMMYFUNCTION("""COMPUTED_VALUE"""),3.2)</f>
        <v>3.2</v>
      </c>
      <c r="G50" s="18"/>
      <c r="H50" s="18" t="str">
        <f>IFERROR(__xludf.DUMMYFUNCTION("""COMPUTED_VALUE"""),"Iron")</f>
        <v>Iron</v>
      </c>
      <c r="I50" s="18"/>
      <c r="J50" s="18"/>
      <c r="K50" s="18"/>
      <c r="L50" s="20" t="str">
        <f>IFERROR(__xludf.DUMMYFUNCTION("""COMPUTED_VALUE"""),"Unlock from 23F Echizen-Jima.")</f>
        <v>Unlock from 23F Echizen-Jima.</v>
      </c>
    </row>
    <row r="51">
      <c r="A51" s="17">
        <f>IFERROR(__xludf.DUMMYFUNCTION("""COMPUTED_VALUE"""),24.0)</f>
        <v>24</v>
      </c>
      <c r="B51" s="18">
        <f>IFERROR(__xludf.DUMMYFUNCTION("""COMPUTED_VALUE"""),0.0)</f>
        <v>0</v>
      </c>
      <c r="C51" s="19" t="str">
        <f>IFERROR(__xludf.DUMMYFUNCTION("""COMPUTED_VALUE"""),"Agasu")</f>
        <v>Agasu</v>
      </c>
      <c r="D51" s="18"/>
      <c r="E51" s="18"/>
      <c r="F51" s="18"/>
      <c r="G51" s="18" t="str">
        <f>IFERROR(__xludf.DUMMYFUNCTION("""COMPUTED_VALUE"""),"●")</f>
        <v>●</v>
      </c>
      <c r="H51" s="18" t="str">
        <f>IFERROR(__xludf.DUMMYFUNCTION("""COMPUTED_VALUE"""),"Wood")</f>
        <v>Wood</v>
      </c>
      <c r="I51" s="18"/>
      <c r="J51" s="18"/>
      <c r="K51" s="18"/>
      <c r="L51" s="20" t="str">
        <f>IFERROR(__xludf.DUMMYFUNCTION("""COMPUTED_VALUE"""),"Unlock from 23F Echizen-Jima.")</f>
        <v>Unlock from 23F Echizen-Jima.</v>
      </c>
    </row>
    <row r="52">
      <c r="A52" s="17">
        <f>IFERROR(__xludf.DUMMYFUNCTION("""COMPUTED_VALUE"""),23.0)</f>
        <v>23</v>
      </c>
      <c r="B52" s="18">
        <f>IFERROR(__xludf.DUMMYFUNCTION("""COMPUTED_VALUE"""),0.0)</f>
        <v>0</v>
      </c>
      <c r="C52" s="19" t="str">
        <f>IFERROR(__xludf.DUMMYFUNCTION("""COMPUTED_VALUE"""),"Echizen-Jima")</f>
        <v>Echizen-Jima</v>
      </c>
      <c r="D52" s="18" t="str">
        <f>IFERROR(__xludf.DUMMYFUNCTION("""COMPUTED_VALUE"""),"M")</f>
        <v>M</v>
      </c>
      <c r="E52" s="18"/>
      <c r="F52" s="18"/>
      <c r="G52" s="18"/>
      <c r="H52" s="18" t="str">
        <f>IFERROR(__xludf.DUMMYFUNCTION("""COMPUTED_VALUE"""),"Fiber")</f>
        <v>Fiber</v>
      </c>
      <c r="I52" s="18"/>
      <c r="J52" s="18" t="str">
        <f>IFERROR(__xludf.DUMMYFUNCTION("""COMPUTED_VALUE"""),"CW Black")</f>
        <v>CW Black</v>
      </c>
      <c r="K52" s="18"/>
      <c r="L52" s="20" t="str">
        <f>IFERROR(__xludf.DUMMYFUNCTION("""COMPUTED_VALUE"""),"BOSS: GOTO-9. Drops Candle Wolf Black Metals.")</f>
        <v>BOSS: GOTO-9. Drops Candle Wolf Black Metals.</v>
      </c>
    </row>
    <row r="53" ht="1.5" customHeight="1">
      <c r="A53" s="17">
        <f>IFERROR(__xludf.DUMMYFUNCTION("""COMPUTED_VALUE"""),23.0)</f>
        <v>23</v>
      </c>
      <c r="B53" s="18">
        <f>IFERROR(__xludf.DUMMYFUNCTION("""COMPUTED_VALUE"""),0.0)</f>
        <v>0</v>
      </c>
      <c r="C53" s="19" t="str">
        <f>IFERROR(__xludf.DUMMYFUNCTION("""COMPUTED_VALUE"""),"Honkawa")</f>
        <v>Honkawa</v>
      </c>
      <c r="D53" s="18"/>
      <c r="E53" s="18">
        <f>IFERROR(__xludf.DUMMYFUNCTION("""COMPUTED_VALUE"""),5.0)</f>
        <v>5</v>
      </c>
      <c r="F53" s="18"/>
      <c r="G53" s="18"/>
      <c r="H53" s="18" t="str">
        <f>IFERROR(__xludf.DUMMYFUNCTION("""COMPUTED_VALUE"""),"Aluminum")</f>
        <v>Aluminum</v>
      </c>
      <c r="I53" s="18"/>
      <c r="J53" s="18"/>
      <c r="K53" s="18"/>
      <c r="L53" s="20" t="str">
        <f>IFERROR(__xludf.DUMMYFUNCTION("""COMPUTED_VALUE"""),"Chance for a Golden Scorpion.")</f>
        <v>Chance for a Golden Scorpion.</v>
      </c>
    </row>
    <row r="54" ht="1.5" customHeight="1">
      <c r="A54" s="17">
        <f>IFERROR(__xludf.DUMMYFUNCTION("""COMPUTED_VALUE"""),23.0)</f>
        <v>23</v>
      </c>
      <c r="B54" s="18">
        <f>IFERROR(__xludf.DUMMYFUNCTION("""COMPUTED_VALUE"""),4.0)</f>
        <v>4</v>
      </c>
      <c r="C54" s="19" t="str">
        <f>IFERROR(__xludf.DUMMYFUNCTION("""COMPUTED_VALUE"""),"Sensu-Bashi")</f>
        <v>Sensu-Bashi</v>
      </c>
      <c r="D54" s="18"/>
      <c r="E54" s="18"/>
      <c r="F54" s="18"/>
      <c r="G54" s="18" t="str">
        <f>IFERROR(__xludf.DUMMYFUNCTION("""COMPUTED_VALUE"""),"●")</f>
        <v>●</v>
      </c>
      <c r="H54" s="18" t="str">
        <f>IFERROR(__xludf.DUMMYFUNCTION("""COMPUTED_VALUE"""),"Fiber")</f>
        <v>Fiber</v>
      </c>
      <c r="I54" s="18"/>
      <c r="J54" s="18"/>
      <c r="K54" s="18"/>
      <c r="L54" s="20" t="str">
        <f>IFERROR(__xludf.DUMMYFUNCTION("""COMPUTED_VALUE"""),"Only connects to 22F Iwajima on Wednesdays / Sundays.")</f>
        <v>Only connects to 22F Iwajima on Wednesdays / Sundays.</v>
      </c>
    </row>
    <row r="55" ht="1.5" customHeight="1">
      <c r="A55" s="17">
        <f>IFERROR(__xludf.DUMMYFUNCTION("""COMPUTED_VALUE"""),22.0)</f>
        <v>22</v>
      </c>
      <c r="B55" s="18">
        <f>IFERROR(__xludf.DUMMYFUNCTION("""COMPUTED_VALUE"""),0.0)</f>
        <v>0</v>
      </c>
      <c r="C55" s="19" t="str">
        <f>IFERROR(__xludf.DUMMYFUNCTION("""COMPUTED_VALUE"""),"Kawabe")</f>
        <v>Kawabe</v>
      </c>
      <c r="D55" s="18"/>
      <c r="E55" s="18"/>
      <c r="F55" s="18">
        <f>IFERROR(__xludf.DUMMYFUNCTION("""COMPUTED_VALUE"""),3.1)</f>
        <v>3.1</v>
      </c>
      <c r="G55" s="18" t="str">
        <f>IFERROR(__xludf.DUMMYFUNCTION("""COMPUTED_VALUE"""),"●")</f>
        <v>●</v>
      </c>
      <c r="H55" s="18" t="str">
        <f>IFERROR(__xludf.DUMMYFUNCTION("""COMPUTED_VALUE"""),"All")</f>
        <v>All</v>
      </c>
      <c r="I55" s="18"/>
      <c r="J55" s="18"/>
      <c r="K55" s="18" t="str">
        <f>IFERROR(__xludf.DUMMYFUNCTION("""COMPUTED_VALUE"""),"Black")</f>
        <v>Black</v>
      </c>
      <c r="L55" s="20" t="str">
        <f>IFERROR(__xludf.DUMMYFUNCTION("""COMPUTED_VALUE"""),"TRAP: Black or Green Metals. Two Mk-3 Bone, one axe Screamer.")</f>
        <v>TRAP: Black or Green Metals. Two Mk-3 Bone, one axe Screamer.</v>
      </c>
    </row>
    <row r="56" ht="1.5" customHeight="1">
      <c r="A56" s="17">
        <f>IFERROR(__xludf.DUMMYFUNCTION("""COMPUTED_VALUE"""),22.0)</f>
        <v>22</v>
      </c>
      <c r="B56" s="18">
        <f>IFERROR(__xludf.DUMMYFUNCTION("""COMPUTED_VALUE"""),4.0)</f>
        <v>4</v>
      </c>
      <c r="C56" s="19" t="str">
        <f>IFERROR(__xludf.DUMMYFUNCTION("""COMPUTED_VALUE"""),"Iwajima")</f>
        <v>Iwajima</v>
      </c>
      <c r="D56" s="18"/>
      <c r="E56" s="18"/>
      <c r="F56" s="18"/>
      <c r="G56" s="18"/>
      <c r="H56" s="18" t="str">
        <f>IFERROR(__xludf.DUMMYFUNCTION("""COMPUTED_VALUE"""),"×")</f>
        <v>×</v>
      </c>
      <c r="I56" s="18"/>
      <c r="J56" s="18"/>
      <c r="K56" s="18"/>
      <c r="L56" s="20" t="str">
        <f>IFERROR(__xludf.DUMMYFUNCTION("""COMPUTED_VALUE"""),"Unock from 23F Honkawa. One Mk-3 Reversal Tuber; Don't loot all chests or it'll stop spawning.")</f>
        <v>Unock from 23F Honkawa. One Mk-3 Reversal Tuber; Don't loot all chests or it'll stop spawning.</v>
      </c>
    </row>
    <row r="57">
      <c r="A57" s="17">
        <f>IFERROR(__xludf.DUMMYFUNCTION("""COMPUTED_VALUE"""),22.0)</f>
        <v>22</v>
      </c>
      <c r="B57" s="18">
        <f>IFERROR(__xludf.DUMMYFUNCTION("""COMPUTED_VALUE"""),4.0)</f>
        <v>4</v>
      </c>
      <c r="C57" s="19" t="str">
        <f>IFERROR(__xludf.DUMMYFUNCTION("""COMPUTED_VALUE"""),"Hizashi-gaoka")</f>
        <v>Hizashi-gaoka</v>
      </c>
      <c r="D57" s="18" t="str">
        <f>IFERROR(__xludf.DUMMYFUNCTION("""COMPUTED_VALUE"""),"44CE")</f>
        <v>44CE</v>
      </c>
      <c r="E57" s="18"/>
      <c r="F57" s="18"/>
      <c r="G57" s="18"/>
      <c r="H57" s="18" t="str">
        <f>IFERROR(__xludf.DUMMYFUNCTION("""COMPUTED_VALUE"""),"×")</f>
        <v>×</v>
      </c>
      <c r="I57" s="18"/>
      <c r="J57" s="18"/>
      <c r="K57" s="18"/>
      <c r="L57" s="20" t="str">
        <f>IFERROR(__xludf.DUMMYFUNCTION("""COMPUTED_VALUE"""),"BOSS: Black Thunder - Normal. Drops KC, or (rarely) BPs from Crowley's area.")</f>
        <v>BOSS: Black Thunder - Normal. Drops KC, or (rarely) BPs from Crowley's area.</v>
      </c>
    </row>
    <row r="58">
      <c r="A58" s="17">
        <f>IFERROR(__xludf.DUMMYFUNCTION("""COMPUTED_VALUE"""),21.0)</f>
        <v>21</v>
      </c>
      <c r="B58" s="18">
        <f>IFERROR(__xludf.DUMMYFUNCTION("""COMPUTED_VALUE"""),0.0)</f>
        <v>0</v>
      </c>
      <c r="C58" s="19" t="str">
        <f>IFERROR(__xludf.DUMMYFUNCTION("""COMPUTED_VALUE"""),"Akami")</f>
        <v>Akami</v>
      </c>
      <c r="D58" s="18" t="str">
        <f>IFERROR(__xludf.DUMMYFUNCTION("""COMPUTED_VALUE"""),"M")</f>
        <v>M</v>
      </c>
      <c r="E58" s="18"/>
      <c r="F58" s="18"/>
      <c r="G58" s="18" t="str">
        <f>IFERROR(__xludf.DUMMYFUNCTION("""COMPUTED_VALUE"""),"●")</f>
        <v>●</v>
      </c>
      <c r="H58" s="18" t="str">
        <f>IFERROR(__xludf.DUMMYFUNCTION("""COMPUTED_VALUE"""),"All")</f>
        <v>All</v>
      </c>
      <c r="I58" s="18"/>
      <c r="J58" s="18"/>
      <c r="K58" s="18"/>
      <c r="L58" s="20"/>
    </row>
    <row r="59">
      <c r="A59" s="17">
        <f>IFERROR(__xludf.DUMMYFUNCTION("""COMPUTED_VALUE"""),21.0)</f>
        <v>21</v>
      </c>
      <c r="B59" s="18">
        <f>IFERROR(__xludf.DUMMYFUNCTION("""COMPUTED_VALUE"""),0.0)</f>
        <v>0</v>
      </c>
      <c r="C59" s="19" t="str">
        <f>IFERROR(__xludf.DUMMYFUNCTION("""COMPUTED_VALUE"""),"Arigure")</f>
        <v>Arigure</v>
      </c>
      <c r="D59" s="18"/>
      <c r="E59" s="18"/>
      <c r="F59" s="18"/>
      <c r="G59" s="18"/>
      <c r="H59" s="18" t="str">
        <f>IFERROR(__xludf.DUMMYFUNCTION("""COMPUTED_VALUE"""),"All")</f>
        <v>All</v>
      </c>
      <c r="I59" s="18"/>
      <c r="J59" s="18"/>
      <c r="K59" s="18"/>
      <c r="L59" s="20"/>
    </row>
    <row r="60">
      <c r="A60" s="17">
        <f>IFERROR(__xludf.DUMMYFUNCTION("""COMPUTED_VALUE"""),20.0)</f>
        <v>20</v>
      </c>
      <c r="B60" s="18">
        <f>IFERROR(__xludf.DUMMYFUNCTION("""COMPUTED_VALUE"""),0.0)</f>
        <v>0</v>
      </c>
      <c r="C60" s="19" t="str">
        <f>IFERROR(__xludf.DUMMYFUNCTION("""COMPUTED_VALUE"""),"Nora")</f>
        <v>Nora</v>
      </c>
      <c r="D60" s="18"/>
      <c r="E60" s="18"/>
      <c r="F60" s="18"/>
      <c r="G60" s="18"/>
      <c r="H60" s="18" t="str">
        <f>IFERROR(__xludf.DUMMYFUNCTION("""COMPUTED_VALUE"""),"Copper")</f>
        <v>Copper</v>
      </c>
      <c r="I60" s="18"/>
      <c r="J60" s="18"/>
      <c r="K60" s="18"/>
      <c r="L60" s="20"/>
    </row>
    <row r="61">
      <c r="A61" s="17">
        <f>IFERROR(__xludf.DUMMYFUNCTION("""COMPUTED_VALUE"""),20.0)</f>
        <v>20</v>
      </c>
      <c r="B61" s="18">
        <f>IFERROR(__xludf.DUMMYFUNCTION("""COMPUTED_VALUE"""),0.0)</f>
        <v>0</v>
      </c>
      <c r="C61" s="19" t="str">
        <f>IFERROR(__xludf.DUMMYFUNCTION("""COMPUTED_VALUE"""),"Monegi")</f>
        <v>Monegi</v>
      </c>
      <c r="D61" s="18"/>
      <c r="E61" s="18"/>
      <c r="F61" s="18"/>
      <c r="G61" s="18"/>
      <c r="H61" s="18" t="str">
        <f>IFERROR(__xludf.DUMMYFUNCTION("""COMPUTED_VALUE"""),"All")</f>
        <v>All</v>
      </c>
      <c r="I61" s="18"/>
      <c r="J61" s="18"/>
      <c r="K61" s="18"/>
      <c r="L61" s="20"/>
    </row>
    <row r="62">
      <c r="A62" s="17">
        <f>IFERROR(__xludf.DUMMYFUNCTION("""COMPUTED_VALUE"""),20.0)</f>
        <v>20</v>
      </c>
      <c r="B62" s="18">
        <f>IFERROR(__xludf.DUMMYFUNCTION("""COMPUTED_VALUE"""),0.0)</f>
        <v>0</v>
      </c>
      <c r="C62" s="19" t="str">
        <f>IFERROR(__xludf.DUMMYFUNCTION("""COMPUTED_VALUE"""),"Hachiyanma")</f>
        <v>Hachiyanma</v>
      </c>
      <c r="D62" s="18" t="str">
        <f>IFERROR(__xludf.DUMMYFUNCTION("""COMPUTED_VALUE"""),"M")</f>
        <v>M</v>
      </c>
      <c r="E62" s="18"/>
      <c r="F62" s="18"/>
      <c r="G62" s="18" t="str">
        <f>IFERROR(__xludf.DUMMYFUNCTION("""COMPUTED_VALUE"""),"●")</f>
        <v>●</v>
      </c>
      <c r="H62" s="18" t="str">
        <f>IFERROR(__xludf.DUMMYFUNCTION("""COMPUTED_VALUE"""),"×")</f>
        <v>×</v>
      </c>
      <c r="I62" s="18"/>
      <c r="J62" s="18" t="str">
        <f>IFERROR(__xludf.DUMMYFUNCTION("""COMPUTED_VALUE"""),"WE Green")</f>
        <v>WE Green</v>
      </c>
      <c r="K62" s="18"/>
      <c r="L62" s="20" t="str">
        <f>IFERROR(__xludf.DUMMYFUNCTION("""COMPUTED_VALUE"""),"BOSS: Colonel Jackson.")</f>
        <v>BOSS: Colonel Jackson.</v>
      </c>
    </row>
    <row r="63">
      <c r="A63" s="17">
        <f>IFERROR(__xludf.DUMMYFUNCTION("""COMPUTED_VALUE"""),19.0)</f>
        <v>19</v>
      </c>
      <c r="B63" s="18">
        <f>IFERROR(__xludf.DUMMYFUNCTION("""COMPUTED_VALUE"""),0.0)</f>
        <v>0</v>
      </c>
      <c r="C63" s="19" t="str">
        <f>IFERROR(__xludf.DUMMYFUNCTION("""COMPUTED_VALUE"""),"Daida")</f>
        <v>Daida</v>
      </c>
      <c r="D63" s="18" t="str">
        <f>IFERROR(__xludf.DUMMYFUNCTION("""COMPUTED_VALUE"""),"M")</f>
        <v>M</v>
      </c>
      <c r="E63" s="18"/>
      <c r="F63" s="18"/>
      <c r="G63" s="18"/>
      <c r="H63" s="18" t="str">
        <f>IFERROR(__xludf.DUMMYFUNCTION("""COMPUTED_VALUE"""),"All")</f>
        <v>All</v>
      </c>
      <c r="I63" s="18"/>
      <c r="J63" s="18"/>
      <c r="K63" s="18"/>
      <c r="L63" s="20" t="str">
        <f>IFERROR(__xludf.DUMMYFUNCTION("""COMPUTED_VALUE"""),"One Mk-2 Reversal Tuber.")</f>
        <v>One Mk-2 Reversal Tuber.</v>
      </c>
    </row>
    <row r="64">
      <c r="A64" s="17">
        <f>IFERROR(__xludf.DUMMYFUNCTION("""COMPUTED_VALUE"""),19.0)</f>
        <v>19</v>
      </c>
      <c r="B64" s="18">
        <f>IFERROR(__xludf.DUMMYFUNCTION("""COMPUTED_VALUE"""),4.0)</f>
        <v>4</v>
      </c>
      <c r="C64" s="19" t="str">
        <f>IFERROR(__xludf.DUMMYFUNCTION("""COMPUTED_VALUE"""),"Chitose-Mei")</f>
        <v>Chitose-Mei</v>
      </c>
      <c r="D64" s="18"/>
      <c r="E64" s="18"/>
      <c r="F64" s="18">
        <f>IFERROR(__xludf.DUMMYFUNCTION("""COMPUTED_VALUE"""),2.6)</f>
        <v>2.6</v>
      </c>
      <c r="G64" s="18"/>
      <c r="H64" s="18" t="str">
        <f>IFERROR(__xludf.DUMMYFUNCTION("""COMPUTED_VALUE"""),"Aluminum")</f>
        <v>Aluminum</v>
      </c>
      <c r="I64" s="18"/>
      <c r="J64" s="18"/>
      <c r="K64" s="18" t="str">
        <f>IFERROR(__xludf.DUMMYFUNCTION("""COMPUTED_VALUE"""),"Green")</f>
        <v>Green</v>
      </c>
      <c r="L64" s="20" t="str">
        <f>IFERROR(__xludf.DUMMYFUNCTION("""COMPUTED_VALUE"""),"TRAP: Green or Blue Metals. 5 Screamers. Not active on Thursdays.")</f>
        <v>TRAP: Green or Blue Metals. 5 Screamers. Not active on Thursdays.</v>
      </c>
    </row>
    <row r="65">
      <c r="A65" s="17">
        <f>IFERROR(__xludf.DUMMYFUNCTION("""COMPUTED_VALUE"""),19.0)</f>
        <v>19</v>
      </c>
      <c r="B65" s="18">
        <f>IFERROR(__xludf.DUMMYFUNCTION("""COMPUTED_VALUE"""),4.0)</f>
        <v>4</v>
      </c>
      <c r="C65" s="19" t="str">
        <f>IFERROR(__xludf.DUMMYFUNCTION("""COMPUTED_VALUE"""),"Hibiki")</f>
        <v>Hibiki</v>
      </c>
      <c r="D65" s="18"/>
      <c r="E65" s="18"/>
      <c r="F65" s="18"/>
      <c r="G65" s="18" t="str">
        <f>IFERROR(__xludf.DUMMYFUNCTION("""COMPUTED_VALUE"""),"●")</f>
        <v>●</v>
      </c>
      <c r="H65" s="18" t="str">
        <f>IFERROR(__xludf.DUMMYFUNCTION("""COMPUTED_VALUE"""),"All")</f>
        <v>All</v>
      </c>
      <c r="I65" s="18"/>
      <c r="J65" s="18"/>
      <c r="K65" s="18"/>
      <c r="L65" s="21" t="str">
        <f>IFERROR(__xludf.DUMMYFUNCTION("""COMPUTED_VALUE"""),"Floor is active every day, except Monday.")</f>
        <v>Floor is active every day, except Monday.</v>
      </c>
    </row>
    <row r="66">
      <c r="A66" s="17">
        <f>IFERROR(__xludf.DUMMYFUNCTION("""COMPUTED_VALUE"""),18.0)</f>
        <v>18</v>
      </c>
      <c r="B66" s="18">
        <f>IFERROR(__xludf.DUMMYFUNCTION("""COMPUTED_VALUE"""),0.0)</f>
        <v>0</v>
      </c>
      <c r="C66" s="19" t="str">
        <f>IFERROR(__xludf.DUMMYFUNCTION("""COMPUTED_VALUE"""),"Temo-Uma")</f>
        <v>Temo-Uma</v>
      </c>
      <c r="D66" s="18"/>
      <c r="E66" s="18"/>
      <c r="F66" s="18">
        <f>IFERROR(__xludf.DUMMYFUNCTION("""COMPUTED_VALUE"""),2.5)</f>
        <v>2.5</v>
      </c>
      <c r="G66" s="18"/>
      <c r="H66" s="18" t="str">
        <f>IFERROR(__xludf.DUMMYFUNCTION("""COMPUTED_VALUE"""),"All")</f>
        <v>All</v>
      </c>
      <c r="I66" s="18"/>
      <c r="J66" s="18"/>
      <c r="K66" s="18" t="str">
        <f>IFERROR(__xludf.DUMMYFUNCTION("""COMPUTED_VALUE"""),"Green")</f>
        <v>Green</v>
      </c>
      <c r="L66" s="20" t="str">
        <f>IFERROR(__xludf.DUMMYFUNCTION("""COMPUTED_VALUE"""),"TRAP: Green or Blue Metals. Mk-3 Bullet, Bone Tuber, Screamer.")</f>
        <v>TRAP: Green or Blue Metals. Mk-3 Bullet, Bone Tuber, Screamer.</v>
      </c>
    </row>
    <row r="67">
      <c r="A67" s="17">
        <f>IFERROR(__xludf.DUMMYFUNCTION("""COMPUTED_VALUE"""),18.0)</f>
        <v>18</v>
      </c>
      <c r="B67" s="18">
        <f>IFERROR(__xludf.DUMMYFUNCTION("""COMPUTED_VALUE"""),0.0)</f>
        <v>0</v>
      </c>
      <c r="C67" s="19" t="str">
        <f>IFERROR(__xludf.DUMMYFUNCTION("""COMPUTED_VALUE"""),"Tata")</f>
        <v>Tata</v>
      </c>
      <c r="D67" s="18"/>
      <c r="E67" s="18"/>
      <c r="F67" s="18"/>
      <c r="G67" s="18"/>
      <c r="H67" s="18" t="str">
        <f>IFERROR(__xludf.DUMMYFUNCTION("""COMPUTED_VALUE"""),"All")</f>
        <v>All</v>
      </c>
      <c r="I67" s="18"/>
      <c r="J67" s="18"/>
      <c r="K67" s="18"/>
      <c r="L67" s="20"/>
    </row>
    <row r="68">
      <c r="A68" s="17">
        <f>IFERROR(__xludf.DUMMYFUNCTION("""COMPUTED_VALUE"""),17.0)</f>
        <v>17</v>
      </c>
      <c r="B68" s="18">
        <f>IFERROR(__xludf.DUMMYFUNCTION("""COMPUTED_VALUE"""),0.0)</f>
        <v>0</v>
      </c>
      <c r="C68" s="19" t="str">
        <f>IFERROR(__xludf.DUMMYFUNCTION("""COMPUTED_VALUE"""),"Kinutamin")</f>
        <v>Kinutamin</v>
      </c>
      <c r="D68" s="18"/>
      <c r="E68" s="18"/>
      <c r="F68" s="18">
        <f>IFERROR(__xludf.DUMMYFUNCTION("""COMPUTED_VALUE"""),2.4)</f>
        <v>2.4</v>
      </c>
      <c r="G68" s="18" t="str">
        <f>IFERROR(__xludf.DUMMYFUNCTION("""COMPUTED_VALUE"""),"●")</f>
        <v>●</v>
      </c>
      <c r="H68" s="18" t="str">
        <f>IFERROR(__xludf.DUMMYFUNCTION("""COMPUTED_VALUE"""),"Oil")</f>
        <v>Oil</v>
      </c>
      <c r="I68" s="18"/>
      <c r="J68" s="18"/>
      <c r="K68" s="18"/>
      <c r="L68" s="20"/>
    </row>
    <row r="69">
      <c r="A69" s="17">
        <f>IFERROR(__xludf.DUMMYFUNCTION("""COMPUTED_VALUE"""),17.0)</f>
        <v>17</v>
      </c>
      <c r="B69" s="18">
        <f>IFERROR(__xludf.DUMMYFUNCTION("""COMPUTED_VALUE"""),4.0)</f>
        <v>4</v>
      </c>
      <c r="C69" s="19" t="str">
        <f>IFERROR(__xludf.DUMMYFUNCTION("""COMPUTED_VALUE"""),"Kyuzaka")</f>
        <v>Kyuzaka</v>
      </c>
      <c r="D69" s="18" t="str">
        <f>IFERROR(__xludf.DUMMYFUNCTION("""COMPUTED_VALUE"""),"44CE")</f>
        <v>44CE</v>
      </c>
      <c r="E69" s="18"/>
      <c r="F69" s="18"/>
      <c r="G69" s="18"/>
      <c r="H69" s="18" t="str">
        <f>IFERROR(__xludf.DUMMYFUNCTION("""COMPUTED_VALUE"""),"×")</f>
        <v>×</v>
      </c>
      <c r="I69" s="18"/>
      <c r="J69" s="18" t="str">
        <f>IFERROR(__xludf.DUMMYFUNCTION("""COMPUTED_VALUE"""),"WE 44CE")</f>
        <v>WE 44CE</v>
      </c>
      <c r="K69" s="18"/>
      <c r="L69" s="20" t="str">
        <f>IFERROR(__xludf.DUMMYFUNCTION("""COMPUTED_VALUE"""),"BOSS: Red Napalm - Nightmare. All RN BPs + WE 44CE metal.")</f>
        <v>BOSS: Red Napalm - Nightmare. All RN BPs + WE 44CE metal.</v>
      </c>
    </row>
    <row r="70">
      <c r="A70" s="17">
        <f>IFERROR(__xludf.DUMMYFUNCTION("""COMPUTED_VALUE"""),16.0)</f>
        <v>16</v>
      </c>
      <c r="B70" s="18">
        <f>IFERROR(__xludf.DUMMYFUNCTION("""COMPUTED_VALUE"""),0.0)</f>
        <v>0</v>
      </c>
      <c r="C70" s="19" t="str">
        <f>IFERROR(__xludf.DUMMYFUNCTION("""COMPUTED_VALUE"""),"Kaga")</f>
        <v>Kaga</v>
      </c>
      <c r="D70" s="18" t="str">
        <f>IFERROR(__xludf.DUMMYFUNCTION("""COMPUTED_VALUE"""),"M")</f>
        <v>M</v>
      </c>
      <c r="E70" s="18">
        <f>IFERROR(__xludf.DUMMYFUNCTION("""COMPUTED_VALUE"""),4.0)</f>
        <v>4</v>
      </c>
      <c r="F70" s="18"/>
      <c r="G70" s="18" t="str">
        <f>IFERROR(__xludf.DUMMYFUNCTION("""COMPUTED_VALUE"""),"●")</f>
        <v>●</v>
      </c>
      <c r="H70" s="18" t="str">
        <f>IFERROR(__xludf.DUMMYFUNCTION("""COMPUTED_VALUE"""),"Wood")</f>
        <v>Wood</v>
      </c>
      <c r="I70" s="18"/>
      <c r="J70" s="18" t="str">
        <f>IFERROR(__xludf.DUMMYFUNCTION("""COMPUTED_VALUE"""),"WE Green")</f>
        <v>WE Green</v>
      </c>
      <c r="K70" s="18"/>
      <c r="L70" s="20" t="str">
        <f>IFERROR(__xludf.DUMMYFUNCTION("""COMPUTED_VALUE"""),"BOSS: JIN-DIE. Drops War Ensemble Green Metal.")</f>
        <v>BOSS: JIN-DIE. Drops War Ensemble Green Metal.</v>
      </c>
    </row>
    <row r="71">
      <c r="A71" s="17">
        <f>IFERROR(__xludf.DUMMYFUNCTION("""COMPUTED_VALUE"""),15.0)</f>
        <v>15</v>
      </c>
      <c r="B71" s="18">
        <f>IFERROR(__xludf.DUMMYFUNCTION("""COMPUTED_VALUE"""),0.0)</f>
        <v>0</v>
      </c>
      <c r="C71" s="19" t="str">
        <f>IFERROR(__xludf.DUMMYFUNCTION("""COMPUTED_VALUE"""),"Usogaya")</f>
        <v>Usogaya</v>
      </c>
      <c r="D71" s="18"/>
      <c r="E71" s="18"/>
      <c r="F71" s="18">
        <f>IFERROR(__xludf.DUMMYFUNCTION("""COMPUTED_VALUE"""),2.3)</f>
        <v>2.3</v>
      </c>
      <c r="G71" s="18" t="str">
        <f>IFERROR(__xludf.DUMMYFUNCTION("""COMPUTED_VALUE"""),"●")</f>
        <v>●</v>
      </c>
      <c r="H71" s="18" t="str">
        <f>IFERROR(__xludf.DUMMYFUNCTION("""COMPUTED_VALUE"""),"Iron")</f>
        <v>Iron</v>
      </c>
      <c r="I71" s="18"/>
      <c r="J71" s="18"/>
      <c r="K71" s="18"/>
      <c r="L71" s="20"/>
    </row>
    <row r="72">
      <c r="A72" s="17">
        <f>IFERROR(__xludf.DUMMYFUNCTION("""COMPUTED_VALUE"""),15.0)</f>
        <v>15</v>
      </c>
      <c r="B72" s="18">
        <f>IFERROR(__xludf.DUMMYFUNCTION("""COMPUTED_VALUE"""),0.0)</f>
        <v>0</v>
      </c>
      <c r="C72" s="19" t="str">
        <f>IFERROR(__xludf.DUMMYFUNCTION("""COMPUTED_VALUE"""),"Uge")</f>
        <v>Uge</v>
      </c>
      <c r="D72" s="18"/>
      <c r="E72" s="18"/>
      <c r="F72" s="18"/>
      <c r="G72" s="18"/>
      <c r="H72" s="18" t="str">
        <f>IFERROR(__xludf.DUMMYFUNCTION("""COMPUTED_VALUE"""),"Copper")</f>
        <v>Copper</v>
      </c>
      <c r="I72" s="18"/>
      <c r="J72" s="18"/>
      <c r="K72" s="18"/>
      <c r="L72" s="20"/>
    </row>
    <row r="73">
      <c r="A73" s="17">
        <f>IFERROR(__xludf.DUMMYFUNCTION("""COMPUTED_VALUE"""),14.0)</f>
        <v>14</v>
      </c>
      <c r="B73" s="18">
        <f>IFERROR(__xludf.DUMMYFUNCTION("""COMPUTED_VALUE"""),0.0)</f>
        <v>0</v>
      </c>
      <c r="C73" s="19" t="str">
        <f>IFERROR(__xludf.DUMMYFUNCTION("""COMPUTED_VALUE"""),"Yamadai")</f>
        <v>Yamadai</v>
      </c>
      <c r="D73" s="18"/>
      <c r="E73" s="18"/>
      <c r="F73" s="18">
        <f>IFERROR(__xludf.DUMMYFUNCTION("""COMPUTED_VALUE"""),2.2)</f>
        <v>2.2</v>
      </c>
      <c r="G73" s="18"/>
      <c r="H73" s="18" t="str">
        <f>IFERROR(__xludf.DUMMYFUNCTION("""COMPUTED_VALUE"""),"Fiber")</f>
        <v>Fiber</v>
      </c>
      <c r="I73" s="18"/>
      <c r="J73" s="18"/>
      <c r="K73" s="18"/>
      <c r="L73" s="20" t="str">
        <f>IFERROR(__xludf.DUMMYFUNCTION("""COMPUTED_VALUE"""),"Many Hemp spawns (about 3-6).")</f>
        <v>Many Hemp spawns (about 3-6).</v>
      </c>
    </row>
    <row r="74">
      <c r="A74" s="17">
        <f>IFERROR(__xludf.DUMMYFUNCTION("""COMPUTED_VALUE"""),14.0)</f>
        <v>14</v>
      </c>
      <c r="B74" s="18">
        <f>IFERROR(__xludf.DUMMYFUNCTION("""COMPUTED_VALUE"""),4.0)</f>
        <v>4</v>
      </c>
      <c r="C74" s="19" t="str">
        <f>IFERROR(__xludf.DUMMYFUNCTION("""COMPUTED_VALUE"""),"Koshi-Tagawa")</f>
        <v>Koshi-Tagawa</v>
      </c>
      <c r="D74" s="18"/>
      <c r="E74" s="18"/>
      <c r="F74" s="18"/>
      <c r="G74" s="18"/>
      <c r="H74" s="18" t="str">
        <f>IFERROR(__xludf.DUMMYFUNCTION("""COMPUTED_VALUE"""),"×")</f>
        <v>×</v>
      </c>
      <c r="I74" s="18" t="str">
        <f>IFERROR(__xludf.DUMMYFUNCTION("""COMPUTED_VALUE"""),"G")</f>
        <v>G</v>
      </c>
      <c r="J74" s="18"/>
      <c r="K74" s="18"/>
      <c r="L74" s="20" t="str">
        <f>IFERROR(__xludf.DUMMYFUNCTION("""COMPUTED_VALUE"""),"Gyakufunsha can appear. Floor is active every day, except Friday.")</f>
        <v>Gyakufunsha can appear. Floor is active every day, except Friday.</v>
      </c>
    </row>
    <row r="75">
      <c r="A75" s="17">
        <f>IFERROR(__xludf.DUMMYFUNCTION("""COMPUTED_VALUE"""),14.0)</f>
        <v>14</v>
      </c>
      <c r="B75" s="18">
        <f>IFERROR(__xludf.DUMMYFUNCTION("""COMPUTED_VALUE"""),4.0)</f>
        <v>4</v>
      </c>
      <c r="C75" s="19" t="str">
        <f>IFERROR(__xludf.DUMMYFUNCTION("""COMPUTED_VALUE"""),"Fune-Hashi")</f>
        <v>Fune-Hashi</v>
      </c>
      <c r="D75" s="18" t="str">
        <f>IFERROR(__xludf.DUMMYFUNCTION("""COMPUTED_VALUE"""),"44CE")</f>
        <v>44CE</v>
      </c>
      <c r="E75" s="18"/>
      <c r="F75" s="18"/>
      <c r="G75" s="18"/>
      <c r="H75" s="18" t="str">
        <f>IFERROR(__xludf.DUMMYFUNCTION("""COMPUTED_VALUE"""),"×")</f>
        <v>×</v>
      </c>
      <c r="I75" s="18"/>
      <c r="J75" s="18"/>
      <c r="K75" s="18"/>
      <c r="L75" s="20" t="str">
        <f>IFERROR(__xludf.DUMMYFUNCTION("""COMPUTED_VALUE"""),"BOSS: Red Napalm - Hard. Drops KC, all RN Armor BPs, and WE Metals.")</f>
        <v>BOSS: Red Napalm - Hard. Drops KC, all RN Armor BPs, and WE Metals.</v>
      </c>
    </row>
    <row r="76">
      <c r="A76" s="17">
        <f>IFERROR(__xludf.DUMMYFUNCTION("""COMPUTED_VALUE"""),13.0)</f>
        <v>13</v>
      </c>
      <c r="B76" s="18">
        <f>IFERROR(__xludf.DUMMYFUNCTION("""COMPUTED_VALUE"""),0.0)</f>
        <v>0</v>
      </c>
      <c r="C76" s="19" t="str">
        <f>IFERROR(__xludf.DUMMYFUNCTION("""COMPUTED_VALUE"""),"Kamoto")</f>
        <v>Kamoto</v>
      </c>
      <c r="D76" s="18" t="str">
        <f>IFERROR(__xludf.DUMMYFUNCTION("""COMPUTED_VALUE"""),"M")</f>
        <v>M</v>
      </c>
      <c r="E76" s="18">
        <f>IFERROR(__xludf.DUMMYFUNCTION("""COMPUTED_VALUE"""),3.0)</f>
        <v>3</v>
      </c>
      <c r="F76" s="18"/>
      <c r="G76" s="18"/>
      <c r="H76" s="18" t="str">
        <f>IFERROR(__xludf.DUMMYFUNCTION("""COMPUTED_VALUE"""),"All")</f>
        <v>All</v>
      </c>
      <c r="I76" s="18"/>
      <c r="J76" s="18"/>
      <c r="K76" s="18"/>
      <c r="L76" s="20"/>
    </row>
    <row r="77">
      <c r="A77" s="17">
        <f>IFERROR(__xludf.DUMMYFUNCTION("""COMPUTED_VALUE"""),13.0)</f>
        <v>13</v>
      </c>
      <c r="B77" s="18">
        <f>IFERROR(__xludf.DUMMYFUNCTION("""COMPUTED_VALUE"""),0.0)</f>
        <v>0</v>
      </c>
      <c r="C77" s="19" t="str">
        <f>IFERROR(__xludf.DUMMYFUNCTION("""COMPUTED_VALUE"""),"Momohara")</f>
        <v>Momohara</v>
      </c>
      <c r="D77" s="18"/>
      <c r="E77" s="18"/>
      <c r="F77" s="18">
        <f>IFERROR(__xludf.DUMMYFUNCTION("""COMPUTED_VALUE"""),2.1)</f>
        <v>2.1</v>
      </c>
      <c r="G77" s="18"/>
      <c r="H77" s="18" t="str">
        <f>IFERROR(__xludf.DUMMYFUNCTION("""COMPUTED_VALUE"""),"All")</f>
        <v>All</v>
      </c>
      <c r="I77" s="18"/>
      <c r="J77" s="18"/>
      <c r="K77" s="18"/>
      <c r="L77" s="20"/>
    </row>
    <row r="78" ht="1.5" customHeight="1">
      <c r="A78" s="17">
        <f>IFERROR(__xludf.DUMMYFUNCTION("""COMPUTED_VALUE"""),12.0)</f>
        <v>12</v>
      </c>
      <c r="B78" s="18">
        <f>IFERROR(__xludf.DUMMYFUNCTION("""COMPUTED_VALUE"""),0.0)</f>
        <v>0</v>
      </c>
      <c r="C78" s="19" t="str">
        <f>IFERROR(__xludf.DUMMYFUNCTION("""COMPUTED_VALUE"""),"Ukongaoka")</f>
        <v>Ukongaoka</v>
      </c>
      <c r="D78" s="18" t="str">
        <f>IFERROR(__xludf.DUMMYFUNCTION("""COMPUTED_VALUE"""),"M")</f>
        <v>M</v>
      </c>
      <c r="E78" s="18"/>
      <c r="F78" s="18"/>
      <c r="G78" s="18" t="str">
        <f>IFERROR(__xludf.DUMMYFUNCTION("""COMPUTED_VALUE"""),"●")</f>
        <v>●</v>
      </c>
      <c r="H78" s="18" t="str">
        <f>IFERROR(__xludf.DUMMYFUNCTION("""COMPUTED_VALUE"""),"Fiber")</f>
        <v>Fiber</v>
      </c>
      <c r="I78" s="18"/>
      <c r="J78" s="18"/>
      <c r="K78" s="18"/>
      <c r="L78" s="20"/>
    </row>
    <row r="79" ht="1.5" customHeight="1">
      <c r="A79" s="17">
        <f>IFERROR(__xludf.DUMMYFUNCTION("""COMPUTED_VALUE"""),12.0)</f>
        <v>12</v>
      </c>
      <c r="B79" s="18">
        <f>IFERROR(__xludf.DUMMYFUNCTION("""COMPUTED_VALUE"""),4.0)</f>
        <v>4</v>
      </c>
      <c r="C79" s="19" t="str">
        <f>IFERROR(__xludf.DUMMYFUNCTION("""COMPUTED_VALUE"""),"Fuga-Dokoro")</f>
        <v>Fuga-Dokoro</v>
      </c>
      <c r="D79" s="18" t="str">
        <f>IFERROR(__xludf.DUMMYFUNCTION("""COMPUTED_VALUE"""),"44CE")</f>
        <v>44CE</v>
      </c>
      <c r="E79" s="18"/>
      <c r="F79" s="18"/>
      <c r="G79" s="18"/>
      <c r="H79" s="18" t="str">
        <f>IFERROR(__xludf.DUMMYFUNCTION("""COMPUTED_VALUE"""),"×")</f>
        <v>×</v>
      </c>
      <c r="I79" s="18"/>
      <c r="J79" s="18"/>
      <c r="K79" s="18"/>
      <c r="L79" s="20" t="str">
        <f>IFERROR(__xludf.DUMMYFUNCTION("""COMPUTED_VALUE"""),"BOSS: Red Napalm - Normal. Drops KC, and (rarely) BPs from Jackson's area.")</f>
        <v>BOSS: Red Napalm - Normal. Drops KC, and (rarely) BPs from Jackson's area.</v>
      </c>
    </row>
    <row r="80" ht="1.5" customHeight="1">
      <c r="A80" s="17">
        <f>IFERROR(__xludf.DUMMYFUNCTION("""COMPUTED_VALUE"""),12.0)</f>
        <v>12</v>
      </c>
      <c r="B80" s="18">
        <f>IFERROR(__xludf.DUMMYFUNCTION("""COMPUTED_VALUE"""),0.0)</f>
        <v>0</v>
      </c>
      <c r="C80" s="19" t="str">
        <f>IFERROR(__xludf.DUMMYFUNCTION("""COMPUTED_VALUE"""),"Seyane")</f>
        <v>Seyane</v>
      </c>
      <c r="D80" s="18"/>
      <c r="E80" s="18"/>
      <c r="F80" s="18"/>
      <c r="G80" s="18"/>
      <c r="H80" s="18" t="str">
        <f>IFERROR(__xludf.DUMMYFUNCTION("""COMPUTED_VALUE"""),"All")</f>
        <v>All</v>
      </c>
      <c r="I80" s="18"/>
      <c r="J80" s="18"/>
      <c r="K80" s="18"/>
      <c r="L80" s="20" t="str">
        <f>IFERROR(__xludf.DUMMYFUNCTION("""COMPUTED_VALUE"""),"Unlock from 14F Yamadai.")</f>
        <v>Unlock from 14F Yamadai.</v>
      </c>
    </row>
    <row r="81" ht="1.5" customHeight="1">
      <c r="A81" s="17">
        <f>IFERROR(__xludf.DUMMYFUNCTION("""COMPUTED_VALUE"""),11.0)</f>
        <v>11</v>
      </c>
      <c r="B81" s="18">
        <f>IFERROR(__xludf.DUMMYFUNCTION("""COMPUTED_VALUE"""),0.0)</f>
        <v>0</v>
      </c>
      <c r="C81" s="19" t="str">
        <f>IFERROR(__xludf.DUMMYFUNCTION("""COMPUTED_VALUE"""),"Maka-Tsutsumi")</f>
        <v>Maka-Tsutsumi</v>
      </c>
      <c r="D81" s="18" t="str">
        <f>IFERROR(__xludf.DUMMYFUNCTION("""COMPUTED_VALUE"""),"M")</f>
        <v>M</v>
      </c>
      <c r="E81" s="18"/>
      <c r="F81" s="18"/>
      <c r="G81" s="18"/>
      <c r="H81" s="18" t="str">
        <f>IFERROR(__xludf.DUMMYFUNCTION("""COMPUTED_VALUE"""),"×")</f>
        <v>×</v>
      </c>
      <c r="I81" s="18"/>
      <c r="J81" s="18" t="str">
        <f>IFERROR(__xludf.DUMMYFUNCTION("""COMPUTED_VALUE"""),"CW Green")</f>
        <v>CW Green</v>
      </c>
      <c r="K81" s="18"/>
      <c r="L81" s="20" t="str">
        <f>IFERROR(__xludf.DUMMYFUNCTION("""COMPUTED_VALUE"""),"BOSS: GOTO-9. Drops Candle Wolf Green Metal.")</f>
        <v>BOSS: GOTO-9. Drops Candle Wolf Green Metal.</v>
      </c>
    </row>
    <row r="82" ht="1.5" customHeight="1">
      <c r="A82" s="17">
        <f>IFERROR(__xludf.DUMMYFUNCTION("""COMPUTED_VALUE"""),11.0)</f>
        <v>11</v>
      </c>
      <c r="B82" s="18">
        <f>IFERROR(__xludf.DUMMYFUNCTION("""COMPUTED_VALUE"""),4.0)</f>
        <v>4</v>
      </c>
      <c r="C82" s="19" t="str">
        <f>IFERROR(__xludf.DUMMYFUNCTION("""COMPUTED_VALUE"""),"Nokejiri")</f>
        <v>Nokejiri</v>
      </c>
      <c r="D82" s="18"/>
      <c r="E82" s="18"/>
      <c r="F82" s="18"/>
      <c r="G82" s="18" t="str">
        <f>IFERROR(__xludf.DUMMYFUNCTION("""COMPUTED_VALUE"""),"●")</f>
        <v>●</v>
      </c>
      <c r="H82" s="18" t="str">
        <f>IFERROR(__xludf.DUMMYFUNCTION("""COMPUTED_VALUE"""),"All")</f>
        <v>All</v>
      </c>
      <c r="I82" s="18"/>
      <c r="J82" s="18"/>
      <c r="K82" s="18"/>
      <c r="L82" s="20" t="str">
        <f>IFERROR(__xludf.DUMMYFUNCTION("""COMPUTED_VALUE"""),"Unlock from 10F Shimo-Omeno. Trap room not active on Tue/Wed/Sat/Sun.")</f>
        <v>Unlock from 10F Shimo-Omeno. Trap room not active on Tue/Wed/Sat/Sun.</v>
      </c>
    </row>
    <row r="83">
      <c r="A83" s="17">
        <f>IFERROR(__xludf.DUMMYFUNCTION("""COMPUTED_VALUE"""),10.0)</f>
        <v>10</v>
      </c>
      <c r="B83" s="18">
        <f>IFERROR(__xludf.DUMMYFUNCTION("""COMPUTED_VALUE"""),0.0)</f>
        <v>0</v>
      </c>
      <c r="C83" s="19" t="str">
        <f>IFERROR(__xludf.DUMMYFUNCTION("""COMPUTED_VALUE"""),"Shimo-Omeno")</f>
        <v>Shimo-Omeno</v>
      </c>
      <c r="D83" s="18"/>
      <c r="E83" s="18"/>
      <c r="F83" s="18"/>
      <c r="G83" s="18"/>
      <c r="H83" s="18" t="str">
        <f>IFERROR(__xludf.DUMMYFUNCTION("""COMPUTED_VALUE"""),"Fiber")</f>
        <v>Fiber</v>
      </c>
      <c r="I83" s="18"/>
      <c r="J83" s="18"/>
      <c r="K83" s="18"/>
      <c r="L83" s="20"/>
    </row>
    <row r="84">
      <c r="A84" s="17">
        <f>IFERROR(__xludf.DUMMYFUNCTION("""COMPUTED_VALUE"""),10.0)</f>
        <v>10</v>
      </c>
      <c r="B84" s="18">
        <f>IFERROR(__xludf.DUMMYFUNCTION("""COMPUTED_VALUE"""),0.0)</f>
        <v>0</v>
      </c>
      <c r="C84" s="19" t="str">
        <f>IFERROR(__xludf.DUMMYFUNCTION("""COMPUTED_VALUE"""),"Omeno-Soto")</f>
        <v>Omeno-Soto</v>
      </c>
      <c r="D84" s="18" t="str">
        <f>IFERROR(__xludf.DUMMYFUNCTION("""COMPUTED_VALUE"""),"M")</f>
        <v>M</v>
      </c>
      <c r="E84" s="18"/>
      <c r="F84" s="18"/>
      <c r="G84" s="18" t="str">
        <f>IFERROR(__xludf.DUMMYFUNCTION("""COMPUTED_VALUE"""),"●")</f>
        <v>●</v>
      </c>
      <c r="H84" s="18" t="str">
        <f>IFERROR(__xludf.DUMMYFUNCTION("""COMPUTED_VALUE"""),"×")</f>
        <v>×</v>
      </c>
      <c r="I84" s="18"/>
      <c r="J84" s="18" t="str">
        <f>IFERROR(__xludf.DUMMYFUNCTION("""COMPUTED_VALUE"""),"DOD Blue")</f>
        <v>DOD Blue</v>
      </c>
      <c r="K84" s="18"/>
      <c r="L84" s="20" t="str">
        <f>IFERROR(__xludf.DUMMYFUNCTION("""COMPUTED_VALUE"""),"BOSS: Max Sharp.")</f>
        <v>BOSS: Max Sharp.</v>
      </c>
    </row>
    <row r="85">
      <c r="A85" s="17">
        <f>IFERROR(__xludf.DUMMYFUNCTION("""COMPUTED_VALUE"""),9.0)</f>
        <v>9</v>
      </c>
      <c r="B85" s="18">
        <f>IFERROR(__xludf.DUMMYFUNCTION("""COMPUTED_VALUE"""),0.0)</f>
        <v>0</v>
      </c>
      <c r="C85" s="19" t="str">
        <f>IFERROR(__xludf.DUMMYFUNCTION("""COMPUTED_VALUE"""),"Nashiyoguchi")</f>
        <v>Nashiyoguchi</v>
      </c>
      <c r="D85" s="18" t="str">
        <f>IFERROR(__xludf.DUMMYFUNCTION("""COMPUTED_VALUE"""),"M")</f>
        <v>M</v>
      </c>
      <c r="E85" s="18"/>
      <c r="F85" s="18"/>
      <c r="G85" s="18" t="str">
        <f>IFERROR(__xludf.DUMMYFUNCTION("""COMPUTED_VALUE"""),"●")</f>
        <v>●</v>
      </c>
      <c r="H85" s="18" t="str">
        <f>IFERROR(__xludf.DUMMYFUNCTION("""COMPUTED_VALUE"""),"Copper")</f>
        <v>Copper</v>
      </c>
      <c r="I85" s="18"/>
      <c r="J85" s="18"/>
      <c r="K85" s="18"/>
      <c r="L85" s="20"/>
    </row>
    <row r="86">
      <c r="A86" s="17">
        <f>IFERROR(__xludf.DUMMYFUNCTION("""COMPUTED_VALUE"""),9.0)</f>
        <v>9</v>
      </c>
      <c r="B86" s="18">
        <f>IFERROR(__xludf.DUMMYFUNCTION("""COMPUTED_VALUE"""),0.0)</f>
        <v>0</v>
      </c>
      <c r="C86" s="19" t="str">
        <f>IFERROR(__xludf.DUMMYFUNCTION("""COMPUTED_VALUE"""),"Yoneguchi")</f>
        <v>Yoneguchi</v>
      </c>
      <c r="D86" s="18"/>
      <c r="E86" s="18"/>
      <c r="F86" s="18"/>
      <c r="G86" s="18"/>
      <c r="H86" s="18" t="str">
        <f>IFERROR(__xludf.DUMMYFUNCTION("""COMPUTED_VALUE"""),"All")</f>
        <v>All</v>
      </c>
      <c r="I86" s="18" t="str">
        <f>IFERROR(__xludf.DUMMYFUNCTION("""COMPUTED_VALUE"""),"G")</f>
        <v>G</v>
      </c>
      <c r="J86" s="18"/>
      <c r="K86" s="18"/>
      <c r="L86" s="20" t="str">
        <f>IFERROR(__xludf.DUMMYFUNCTION("""COMPUTED_VALUE"""),"Gyakufunsha can appear.")</f>
        <v>Gyakufunsha can appear.</v>
      </c>
    </row>
    <row r="87">
      <c r="A87" s="17">
        <f>IFERROR(__xludf.DUMMYFUNCTION("""COMPUTED_VALUE"""),9.0)</f>
        <v>9</v>
      </c>
      <c r="B87" s="18">
        <f>IFERROR(__xludf.DUMMYFUNCTION("""COMPUTED_VALUE"""),0.0)</f>
        <v>0</v>
      </c>
      <c r="C87" s="19" t="str">
        <f>IFERROR(__xludf.DUMMYFUNCTION("""COMPUTED_VALUE"""),"Yoshiki-Dani")</f>
        <v>Yoshiki-Dani</v>
      </c>
      <c r="D87" s="18"/>
      <c r="E87" s="18"/>
      <c r="F87" s="18">
        <f>IFERROR(__xludf.DUMMYFUNCTION("""COMPUTED_VALUE"""),1.6)</f>
        <v>1.6</v>
      </c>
      <c r="G87" s="18"/>
      <c r="H87" s="18" t="str">
        <f>IFERROR(__xludf.DUMMYFUNCTION("""COMPUTED_VALUE"""),"Fiber")</f>
        <v>Fiber</v>
      </c>
      <c r="I87" s="18"/>
      <c r="J87" s="18"/>
      <c r="K87" s="18"/>
      <c r="L87" s="20" t="str">
        <f>IFERROR(__xludf.DUMMYFUNCTION("""COMPUTED_VALUE"""),"One Mk-1 Reversal Tuber.")</f>
        <v>One Mk-1 Reversal Tuber.</v>
      </c>
    </row>
    <row r="88">
      <c r="A88" s="17">
        <f>IFERROR(__xludf.DUMMYFUNCTION("""COMPUTED_VALUE"""),8.0)</f>
        <v>8</v>
      </c>
      <c r="B88" s="18">
        <f>IFERROR(__xludf.DUMMYFUNCTION("""COMPUTED_VALUE"""),0.0)</f>
        <v>0</v>
      </c>
      <c r="C88" s="19" t="str">
        <f>IFERROR(__xludf.DUMMYFUNCTION("""COMPUTED_VALUE"""),"Niko-Senzoku")</f>
        <v>Niko-Senzoku</v>
      </c>
      <c r="D88" s="18" t="str">
        <f>IFERROR(__xludf.DUMMYFUNCTION("""COMPUTED_VALUE"""),"M")</f>
        <v>M</v>
      </c>
      <c r="E88" s="18"/>
      <c r="F88" s="18"/>
      <c r="G88" s="18"/>
      <c r="H88" s="18" t="str">
        <f>IFERROR(__xludf.DUMMYFUNCTION("""COMPUTED_VALUE"""),"Aluminum")</f>
        <v>Aluminum</v>
      </c>
      <c r="I88" s="18"/>
      <c r="J88" s="18"/>
      <c r="K88" s="18"/>
      <c r="L88" s="20" t="str">
        <f>IFERROR(__xludf.DUMMYFUNCTION("""COMPUTED_VALUE"""),"Unlock from 6F Mekaroku-Go. One Mk-1 Bullet Tuber.")</f>
        <v>Unlock from 6F Mekaroku-Go. One Mk-1 Bullet Tuber.</v>
      </c>
    </row>
    <row r="89">
      <c r="A89" s="17">
        <f>IFERROR(__xludf.DUMMYFUNCTION("""COMPUTED_VALUE"""),8.0)</f>
        <v>8</v>
      </c>
      <c r="B89" s="18">
        <f>IFERROR(__xludf.DUMMYFUNCTION("""COMPUTED_VALUE"""),0.0)</f>
        <v>0</v>
      </c>
      <c r="C89" s="19" t="str">
        <f>IFERROR(__xludf.DUMMYFUNCTION("""COMPUTED_VALUE"""),"Meta-Koya")</f>
        <v>Meta-Koya</v>
      </c>
      <c r="D89" s="18"/>
      <c r="E89" s="18"/>
      <c r="F89" s="18"/>
      <c r="G89" s="18"/>
      <c r="H89" s="18" t="str">
        <f>IFERROR(__xludf.DUMMYFUNCTION("""COMPUTED_VALUE"""),"Fiber")</f>
        <v>Fiber</v>
      </c>
      <c r="I89" s="18"/>
      <c r="J89" s="18"/>
      <c r="K89" s="18"/>
      <c r="L89" s="20"/>
    </row>
    <row r="90">
      <c r="A90" s="17">
        <f>IFERROR(__xludf.DUMMYFUNCTION("""COMPUTED_VALUE"""),8.0)</f>
        <v>8</v>
      </c>
      <c r="B90" s="18">
        <f>IFERROR(__xludf.DUMMYFUNCTION("""COMPUTED_VALUE"""),4.0)</f>
        <v>4</v>
      </c>
      <c r="C90" s="19" t="str">
        <f>IFERROR(__xludf.DUMMYFUNCTION("""COMPUTED_VALUE"""),"Kohni")</f>
        <v>Kohni</v>
      </c>
      <c r="D90" s="18" t="str">
        <f>IFERROR(__xludf.DUMMYFUNCTION("""COMPUTED_VALUE"""),"44CE")</f>
        <v>44CE</v>
      </c>
      <c r="E90" s="18"/>
      <c r="F90" s="18"/>
      <c r="G90" s="18"/>
      <c r="H90" s="18" t="str">
        <f>IFERROR(__xludf.DUMMYFUNCTION("""COMPUTED_VALUE"""),"×")</f>
        <v>×</v>
      </c>
      <c r="I90" s="18"/>
      <c r="J90" s="18" t="str">
        <f>IFERROR(__xludf.DUMMYFUNCTION("""COMPUTED_VALUE"""),"DOD 44CE")</f>
        <v>DOD 44CE</v>
      </c>
      <c r="K90" s="18"/>
      <c r="L90" s="20" t="str">
        <f>IFERROR(__xludf.DUMMYFUNCTION("""COMPUTED_VALUE"""),"BOSS: White Steel, Nightmare. All WS BPs + DOD 44CE metal.")</f>
        <v>BOSS: White Steel, Nightmare. All WS BPs + DOD 44CE metal.</v>
      </c>
    </row>
    <row r="91">
      <c r="A91" s="17">
        <f>IFERROR(__xludf.DUMMYFUNCTION("""COMPUTED_VALUE"""),7.0)</f>
        <v>7</v>
      </c>
      <c r="B91" s="18">
        <f>IFERROR(__xludf.DUMMYFUNCTION("""COMPUTED_VALUE"""),0.0)</f>
        <v>0</v>
      </c>
      <c r="C91" s="19" t="str">
        <f>IFERROR(__xludf.DUMMYFUNCTION("""COMPUTED_VALUE"""),"Daneda")</f>
        <v>Daneda</v>
      </c>
      <c r="D91" s="18"/>
      <c r="E91" s="18"/>
      <c r="F91" s="22"/>
      <c r="G91" s="18"/>
      <c r="H91" s="18" t="str">
        <f>IFERROR(__xludf.DUMMYFUNCTION("""COMPUTED_VALUE"""),"Oil")</f>
        <v>Oil</v>
      </c>
      <c r="I91" s="18"/>
      <c r="J91" s="18"/>
      <c r="K91" s="18"/>
      <c r="L91" s="20" t="str">
        <f>IFERROR(__xludf.DUMMYFUNCTION("""COMPUTED_VALUE"""),"Unlock from Niko-Senzoku Lots of Snails.")</f>
        <v>Unlock from Niko-Senzoku Lots of Snails.</v>
      </c>
    </row>
    <row r="92">
      <c r="A92" s="17">
        <f>IFERROR(__xludf.DUMMYFUNCTION("""COMPUTED_VALUE"""),7.0)</f>
        <v>7</v>
      </c>
      <c r="B92" s="18">
        <f>IFERROR(__xludf.DUMMYFUNCTION("""COMPUTED_VALUE"""),0.0)</f>
        <v>0</v>
      </c>
      <c r="C92" s="19" t="str">
        <f>IFERROR(__xludf.DUMMYFUNCTION("""COMPUTED_VALUE"""),"Yuki")</f>
        <v>Yuki</v>
      </c>
      <c r="D92" s="18"/>
      <c r="E92" s="18"/>
      <c r="F92" s="18">
        <f>IFERROR(__xludf.DUMMYFUNCTION("""COMPUTED_VALUE"""),1.5)</f>
        <v>1.5</v>
      </c>
      <c r="G92" s="18" t="str">
        <f>IFERROR(__xludf.DUMMYFUNCTION("""COMPUTED_VALUE"""),"●")</f>
        <v>●</v>
      </c>
      <c r="H92" s="18" t="str">
        <f>IFERROR(__xludf.DUMMYFUNCTION("""COMPUTED_VALUE"""),"Fiber")</f>
        <v>Fiber</v>
      </c>
      <c r="I92" s="18"/>
      <c r="J92" s="18"/>
      <c r="K92" s="18"/>
      <c r="L92" s="20" t="str">
        <f>IFERROR(__xludf.DUMMYFUNCTION("""COMPUTED_VALUE"""),"Unlocked from HYAKUDORI (after Jin-Die Kill) Three Mk-1 Bullet Tubers.")</f>
        <v>Unlocked from HYAKUDORI (after Jin-Die Kill) Three Mk-1 Bullet Tubers.</v>
      </c>
    </row>
    <row r="93">
      <c r="A93" s="17">
        <f>IFERROR(__xludf.DUMMYFUNCTION("""COMPUTED_VALUE"""),6.0)</f>
        <v>6</v>
      </c>
      <c r="B93" s="18">
        <f>IFERROR(__xludf.DUMMYFUNCTION("""COMPUTED_VALUE"""),4.0)</f>
        <v>4</v>
      </c>
      <c r="C93" s="19" t="str">
        <f>IFERROR(__xludf.DUMMYFUNCTION("""COMPUTED_VALUE"""),"Moka-Magome")</f>
        <v>Moka-Magome</v>
      </c>
      <c r="D93" s="18" t="str">
        <f>IFERROR(__xludf.DUMMYFUNCTION("""COMPUTED_VALUE"""),"M")</f>
        <v>M</v>
      </c>
      <c r="E93" s="18"/>
      <c r="F93" s="18">
        <f>IFERROR(__xludf.DUMMYFUNCTION("""COMPUTED_VALUE"""),1.4)</f>
        <v>1.4</v>
      </c>
      <c r="G93" s="18"/>
      <c r="H93" s="18" t="str">
        <f>IFERROR(__xludf.DUMMYFUNCTION("""COMPUTED_VALUE"""),"Iron")</f>
        <v>Iron</v>
      </c>
      <c r="I93" s="18"/>
      <c r="J93" s="18" t="str">
        <f>IFERROR(__xludf.DUMMYFUNCTION("""COMPUTED_VALUE"""),"WE Blue")</f>
        <v>WE Blue</v>
      </c>
      <c r="K93" s="18" t="str">
        <f>IFERROR(__xludf.DUMMYFUNCTION("""COMPUTED_VALUE"""),"Blue")</f>
        <v>Blue</v>
      </c>
      <c r="L93" s="20" t="str">
        <f>IFERROR(__xludf.DUMMYFUNCTION("""COMPUTED_VALUE"""),"BOSS: JIN-DIE. Drops War Ensemble Blue Metal. TRAP: Blue Metals, 5 Screamers.")</f>
        <v>BOSS: JIN-DIE. Drops War Ensemble Blue Metal. TRAP: Blue Metals, 5 Screamers.</v>
      </c>
    </row>
    <row r="94">
      <c r="A94" s="17">
        <f>IFERROR(__xludf.DUMMYFUNCTION("""COMPUTED_VALUE"""),6.0)</f>
        <v>6</v>
      </c>
      <c r="B94" s="18">
        <f>IFERROR(__xludf.DUMMYFUNCTION("""COMPUTED_VALUE"""),0.0)</f>
        <v>0</v>
      </c>
      <c r="C94" s="19" t="str">
        <f>IFERROR(__xludf.DUMMYFUNCTION("""COMPUTED_VALUE"""),"Mekaroku-Go")</f>
        <v>Mekaroku-Go</v>
      </c>
      <c r="D94" s="18"/>
      <c r="E94" s="18"/>
      <c r="F94" s="18"/>
      <c r="G94" s="18"/>
      <c r="H94" s="18" t="str">
        <f>IFERROR(__xludf.DUMMYFUNCTION("""COMPUTED_VALUE"""),"All")</f>
        <v>All</v>
      </c>
      <c r="I94" s="18"/>
      <c r="J94" s="18"/>
      <c r="K94" s="18"/>
      <c r="L94" s="20" t="str">
        <f>IFERROR(__xludf.DUMMYFUNCTION("""COMPUTED_VALUE"""),"Four Mk-1 Bullet Tubers, three of them in one room.")</f>
        <v>Four Mk-1 Bullet Tubers, three of them in one room.</v>
      </c>
    </row>
    <row r="95">
      <c r="A95" s="17">
        <f>IFERROR(__xludf.DUMMYFUNCTION("""COMPUTED_VALUE"""),5.0)</f>
        <v>5</v>
      </c>
      <c r="B95" s="18">
        <f>IFERROR(__xludf.DUMMYFUNCTION("""COMPUTED_VALUE"""),0.0)</f>
        <v>0</v>
      </c>
      <c r="C95" s="19" t="str">
        <f>IFERROR(__xludf.DUMMYFUNCTION("""COMPUTED_VALUE"""),"Hyakudori")</f>
        <v>Hyakudori</v>
      </c>
      <c r="D95" s="18" t="str">
        <f>IFERROR(__xludf.DUMMYFUNCTION("""COMPUTED_VALUE"""),"M")</f>
        <v>M</v>
      </c>
      <c r="E95" s="18"/>
      <c r="F95" s="18">
        <f>IFERROR(__xludf.DUMMYFUNCTION("""COMPUTED_VALUE"""),1.3)</f>
        <v>1.3</v>
      </c>
      <c r="G95" s="18" t="str">
        <f>IFERROR(__xludf.DUMMYFUNCTION("""COMPUTED_VALUE"""),"●")</f>
        <v>●</v>
      </c>
      <c r="H95" s="18" t="str">
        <f>IFERROR(__xludf.DUMMYFUNCTION("""COMPUTED_VALUE"""),"Fiber")</f>
        <v>Fiber</v>
      </c>
      <c r="I95" s="18"/>
      <c r="J95" s="18"/>
      <c r="K95" s="18"/>
      <c r="L95" s="20" t="str">
        <f>IFERROR(__xludf.DUMMYFUNCTION("""COMPUTED_VALUE"""),"Unlock from 3F Kami-Ikedoi.")</f>
        <v>Unlock from 3F Kami-Ikedoi.</v>
      </c>
    </row>
    <row r="96">
      <c r="A96" s="17">
        <f>IFERROR(__xludf.DUMMYFUNCTION("""COMPUTED_VALUE"""),5.0)</f>
        <v>5</v>
      </c>
      <c r="B96" s="18">
        <f>IFERROR(__xludf.DUMMYFUNCTION("""COMPUTED_VALUE"""),0.0)</f>
        <v>0</v>
      </c>
      <c r="C96" s="19" t="str">
        <f>IFERROR(__xludf.DUMMYFUNCTION("""COMPUTED_VALUE"""),"Joten-Jima")</f>
        <v>Joten-Jima</v>
      </c>
      <c r="D96" s="18"/>
      <c r="E96" s="18"/>
      <c r="F96" s="18"/>
      <c r="G96" s="18"/>
      <c r="H96" s="18" t="str">
        <f>IFERROR(__xludf.DUMMYFUNCTION("""COMPUTED_VALUE"""),"Wood")</f>
        <v>Wood</v>
      </c>
      <c r="I96" s="18"/>
      <c r="J96" s="18"/>
      <c r="K96" s="18"/>
      <c r="L96" s="20"/>
    </row>
    <row r="97">
      <c r="A97" s="17">
        <f>IFERROR(__xludf.DUMMYFUNCTION("""COMPUTED_VALUE"""),5.0)</f>
        <v>5</v>
      </c>
      <c r="B97" s="18">
        <f>IFERROR(__xludf.DUMMYFUNCTION("""COMPUTED_VALUE"""),4.0)</f>
        <v>4</v>
      </c>
      <c r="C97" s="19" t="str">
        <f>IFERROR(__xludf.DUMMYFUNCTION("""COMPUTED_VALUE"""),"Somagawa")</f>
        <v>Somagawa</v>
      </c>
      <c r="D97" s="18"/>
      <c r="E97" s="18"/>
      <c r="F97" s="18"/>
      <c r="G97" s="18"/>
      <c r="H97" s="18" t="str">
        <f>IFERROR(__xludf.DUMMYFUNCTION("""COMPUTED_VALUE"""),"Oil")</f>
        <v>Oil</v>
      </c>
      <c r="I97" s="18"/>
      <c r="J97" s="18"/>
      <c r="K97" s="18"/>
      <c r="L97" s="20"/>
    </row>
    <row r="98">
      <c r="A98" s="17">
        <f>IFERROR(__xludf.DUMMYFUNCTION("""COMPUTED_VALUE"""),5.0)</f>
        <v>5</v>
      </c>
      <c r="B98" s="18">
        <f>IFERROR(__xludf.DUMMYFUNCTION("""COMPUTED_VALUE"""),4.0)</f>
        <v>4</v>
      </c>
      <c r="C98" s="19" t="str">
        <f>IFERROR(__xludf.DUMMYFUNCTION("""COMPUTED_VALUE"""),"Omeno-Inari")</f>
        <v>Omeno-Inari</v>
      </c>
      <c r="D98" s="18" t="str">
        <f>IFERROR(__xludf.DUMMYFUNCTION("""COMPUTED_VALUE"""),"44CE")</f>
        <v>44CE</v>
      </c>
      <c r="E98" s="18"/>
      <c r="F98" s="18"/>
      <c r="G98" s="18"/>
      <c r="H98" s="18" t="str">
        <f>IFERROR(__xludf.DUMMYFUNCTION("""COMPUTED_VALUE"""),"×")</f>
        <v>×</v>
      </c>
      <c r="I98" s="18"/>
      <c r="J98" s="18"/>
      <c r="K98" s="18"/>
      <c r="L98" s="20" t="str">
        <f>IFERROR(__xludf.DUMMYFUNCTION("""COMPUTED_VALUE"""),"BOSS: White Steel - Hard. Drops KC, WS Head / Legs / Spike Crusher BPs, and various Metals.")</f>
        <v>BOSS: White Steel - Hard. Drops KC, WS Head / Legs / Spike Crusher BPs, and various Metals.</v>
      </c>
    </row>
    <row r="99">
      <c r="A99" s="17">
        <f>IFERROR(__xludf.DUMMYFUNCTION("""COMPUTED_VALUE"""),4.0)</f>
        <v>4</v>
      </c>
      <c r="B99" s="18">
        <f>IFERROR(__xludf.DUMMYFUNCTION("""COMPUTED_VALUE"""),0.0)</f>
        <v>0</v>
      </c>
      <c r="C99" s="19" t="str">
        <f>IFERROR(__xludf.DUMMYFUNCTION("""COMPUTED_VALUE"""),"Tagahara")</f>
        <v>Tagahara</v>
      </c>
      <c r="D99" s="18" t="str">
        <f>IFERROR(__xludf.DUMMYFUNCTION("""COMPUTED_VALUE"""),"M")</f>
        <v>M</v>
      </c>
      <c r="E99" s="18"/>
      <c r="F99" s="18"/>
      <c r="G99" s="18" t="str">
        <f>IFERROR(__xludf.DUMMYFUNCTION("""COMPUTED_VALUE"""),"●")</f>
        <v>●</v>
      </c>
      <c r="H99" s="18" t="str">
        <f>IFERROR(__xludf.DUMMYFUNCTION("""COMPUTED_VALUE"""),"Iron")</f>
        <v>Iron</v>
      </c>
      <c r="I99" s="18"/>
      <c r="J99" s="18"/>
      <c r="K99" s="18"/>
      <c r="L99" s="20"/>
    </row>
    <row r="100">
      <c r="A100" s="17">
        <f>IFERROR(__xludf.DUMMYFUNCTION("""COMPUTED_VALUE"""),4.0)</f>
        <v>4</v>
      </c>
      <c r="B100" s="18">
        <f>IFERROR(__xludf.DUMMYFUNCTION("""COMPUTED_VALUE"""),4.0)</f>
        <v>4</v>
      </c>
      <c r="C100" s="19" t="str">
        <f>IFERROR(__xludf.DUMMYFUNCTION("""COMPUTED_VALUE"""),"Reginaka")</f>
        <v>Reginaka</v>
      </c>
      <c r="D100" s="18" t="str">
        <f>IFERROR(__xludf.DUMMYFUNCTION("""COMPUTED_VALUE"""),"44CE")</f>
        <v>44CE</v>
      </c>
      <c r="E100" s="18"/>
      <c r="F100" s="18"/>
      <c r="G100" s="18"/>
      <c r="H100" s="18" t="str">
        <f>IFERROR(__xludf.DUMMYFUNCTION("""COMPUTED_VALUE"""),"×")</f>
        <v>×</v>
      </c>
      <c r="I100" s="18"/>
      <c r="J100" s="18"/>
      <c r="K100" s="18"/>
      <c r="L100" s="20" t="str">
        <f>IFERROR(__xludf.DUMMYFUNCTION("""COMPUTED_VALUE"""),"BOSS: White Steel - Normal. Drops KC, and (rarely) BP's from Max's area.")</f>
        <v>BOSS: White Steel - Normal. Drops KC, and (rarely) BP's from Max's area.</v>
      </c>
    </row>
    <row r="101">
      <c r="A101" s="17">
        <f>IFERROR(__xludf.DUMMYFUNCTION("""COMPUTED_VALUE"""),3.0)</f>
        <v>3</v>
      </c>
      <c r="B101" s="18">
        <f>IFERROR(__xludf.DUMMYFUNCTION("""COMPUTED_VALUE"""),0.0)</f>
        <v>0</v>
      </c>
      <c r="C101" s="19" t="str">
        <f>IFERROR(__xludf.DUMMYFUNCTION("""COMPUTED_VALUE"""),"Tamata")</f>
        <v>Tamata</v>
      </c>
      <c r="D101" s="18" t="str">
        <f>IFERROR(__xludf.DUMMYFUNCTION("""COMPUTED_VALUE"""),"M")</f>
        <v>M</v>
      </c>
      <c r="E101" s="18"/>
      <c r="F101" s="18">
        <f>IFERROR(__xludf.DUMMYFUNCTION("""COMPUTED_VALUE"""),1.2)</f>
        <v>1.2</v>
      </c>
      <c r="G101" s="18"/>
      <c r="H101" s="18" t="str">
        <f>IFERROR(__xludf.DUMMYFUNCTION("""COMPUTED_VALUE"""),"Fiber")</f>
        <v>Fiber</v>
      </c>
      <c r="I101" s="18"/>
      <c r="J101" s="18" t="str">
        <f>IFERROR(__xludf.DUMMYFUNCTION("""COMPUTED_VALUE"""),"DOD Blue")</f>
        <v>DOD Blue</v>
      </c>
      <c r="K101" s="18" t="str">
        <f>IFERROR(__xludf.DUMMYFUNCTION("""COMPUTED_VALUE"""),"Blue")</f>
        <v>Blue</v>
      </c>
      <c r="L101" s="20" t="str">
        <f>IFERROR(__xludf.DUMMYFUNCTION("""COMPUTED_VALUE"""),"BOSS: COEN. Drops DOD ARMS Blue Metal. TRAP: Blue Metals, only active Mon / Thu / Fri.")</f>
        <v>BOSS: COEN. Drops DOD ARMS Blue Metal. TRAP: Blue Metals, only active Mon / Thu / Fri.</v>
      </c>
    </row>
    <row r="102">
      <c r="A102" s="17">
        <f>IFERROR(__xludf.DUMMYFUNCTION("""COMPUTED_VALUE"""),3.0)</f>
        <v>3</v>
      </c>
      <c r="B102" s="18">
        <f>IFERROR(__xludf.DUMMYFUNCTION("""COMPUTED_VALUE"""),0.0)</f>
        <v>0</v>
      </c>
      <c r="C102" s="19" t="str">
        <f>IFERROR(__xludf.DUMMYFUNCTION("""COMPUTED_VALUE"""),"Kami-Ikedoi")</f>
        <v>Kami-Ikedoi</v>
      </c>
      <c r="D102" s="18"/>
      <c r="E102" s="18"/>
      <c r="F102" s="18"/>
      <c r="G102" s="18" t="str">
        <f>IFERROR(__xludf.DUMMYFUNCTION("""COMPUTED_VALUE"""),"●")</f>
        <v>●</v>
      </c>
      <c r="H102" s="18" t="str">
        <f>IFERROR(__xludf.DUMMYFUNCTION("""COMPUTED_VALUE"""),"All")</f>
        <v>All</v>
      </c>
      <c r="I102" s="18"/>
      <c r="J102" s="18"/>
      <c r="K102" s="18" t="str">
        <f>IFERROR(__xludf.DUMMYFUNCTION("""COMPUTED_VALUE"""),"Blue")</f>
        <v>Blue</v>
      </c>
      <c r="L102" s="20" t="str">
        <f>IFERROR(__xludf.DUMMYFUNCTION("""COMPUTED_VALUE"""),"TRAP: Blue Metals. 3 Screamers. Trap is active every day, but doesn't always spawn.")</f>
        <v>TRAP: Blue Metals. 3 Screamers. Trap is active every day, but doesn't always spawn.</v>
      </c>
    </row>
    <row r="103">
      <c r="A103" s="22">
        <f>IFERROR(__xludf.DUMMYFUNCTION("""COMPUTED_VALUE"""),3.0)</f>
        <v>3</v>
      </c>
      <c r="B103" s="18">
        <f>IFERROR(__xludf.DUMMYFUNCTION("""COMPUTED_VALUE"""),4.0)</f>
        <v>4</v>
      </c>
      <c r="C103" s="19" t="str">
        <f>IFERROR(__xludf.DUMMYFUNCTION("""COMPUTED_VALUE"""),"Omoki")</f>
        <v>Omoki</v>
      </c>
      <c r="D103" s="18"/>
      <c r="E103" s="18"/>
      <c r="F103" s="18"/>
      <c r="G103" s="18"/>
      <c r="H103" s="18" t="str">
        <f>IFERROR(__xludf.DUMMYFUNCTION("""COMPUTED_VALUE"""),"Fiber")</f>
        <v>Fiber</v>
      </c>
      <c r="I103" s="23" t="str">
        <f>IFERROR(__xludf.DUMMYFUNCTION("""COMPUTED_VALUE"""),"G★")</f>
        <v>G★</v>
      </c>
      <c r="J103" s="18"/>
      <c r="K103" s="18"/>
      <c r="L103" s="20" t="str">
        <f>IFERROR(__xludf.DUMMYFUNCTION("""COMPUTED_VALUE"""),"Gyakufunsha always appears, sells 1-2★ mats, Scratch/Hovering/Reversal &amp; Blue/Green Metals.")</f>
        <v>Gyakufunsha always appears, sells 1-2★ mats, Scratch/Hovering/Reversal &amp; Blue/Green Metals.</v>
      </c>
    </row>
    <row r="104">
      <c r="A104" s="22">
        <f>IFERROR(__xludf.DUMMYFUNCTION("""COMPUTED_VALUE"""),2.0)</f>
        <v>2</v>
      </c>
      <c r="B104" s="18">
        <f>IFERROR(__xludf.DUMMYFUNCTION("""COMPUTED_VALUE"""),0.0)</f>
        <v>0</v>
      </c>
      <c r="C104" s="19" t="str">
        <f>IFERROR(__xludf.DUMMYFUNCTION("""COMPUTED_VALUE"""),"Imokawa-Cho")</f>
        <v>Imokawa-Cho</v>
      </c>
      <c r="D104" s="18"/>
      <c r="E104" s="18"/>
      <c r="F104" s="18">
        <f>IFERROR(__xludf.DUMMYFUNCTION("""COMPUTED_VALUE"""),1.1)</f>
        <v>1.1</v>
      </c>
      <c r="G104" s="18" t="str">
        <f>IFERROR(__xludf.DUMMYFUNCTION("""COMPUTED_VALUE"""),"●")</f>
        <v>●</v>
      </c>
      <c r="H104" s="18" t="str">
        <f>IFERROR(__xludf.DUMMYFUNCTION("""COMPUTED_VALUE"""),"All")</f>
        <v>All</v>
      </c>
      <c r="I104" s="18"/>
      <c r="J104" s="18"/>
      <c r="K104" s="18"/>
      <c r="L104" s="20"/>
    </row>
    <row r="105">
      <c r="A105" s="22">
        <f>IFERROR(__xludf.DUMMYFUNCTION("""COMPUTED_VALUE"""),2.0)</f>
        <v>2</v>
      </c>
      <c r="B105" s="18">
        <f>IFERROR(__xludf.DUMMYFUNCTION("""COMPUTED_VALUE"""),0.0)</f>
        <v>0</v>
      </c>
      <c r="C105" s="19" t="str">
        <f>IFERROR(__xludf.DUMMYFUNCTION("""COMPUTED_VALUE"""),"Wanoki")</f>
        <v>Wanoki</v>
      </c>
      <c r="D105" s="18"/>
      <c r="E105" s="18"/>
      <c r="F105" s="18"/>
      <c r="G105" s="18"/>
      <c r="H105" s="18" t="str">
        <f>IFERROR(__xludf.DUMMYFUNCTION("""COMPUTED_VALUE"""),"Aluminum")</f>
        <v>Aluminum</v>
      </c>
      <c r="I105" s="18"/>
      <c r="J105" s="18"/>
      <c r="K105" s="18"/>
      <c r="L105" s="20" t="str">
        <f>IFERROR(__xludf.DUMMYFUNCTION("""COMPUTED_VALUE"""),"Over 18 Screamers, good for Mastery farming or Screamer quests.")</f>
        <v>Over 18 Screamers, good for Mastery farming or Screamer quests.</v>
      </c>
    </row>
    <row r="106">
      <c r="A106" s="22">
        <f>IFERROR(__xludf.DUMMYFUNCTION("""COMPUTED_VALUE"""),1.0)</f>
        <v>1</v>
      </c>
      <c r="B106" s="18">
        <f>IFERROR(__xludf.DUMMYFUNCTION("""COMPUTED_VALUE"""),0.0)</f>
        <v>0</v>
      </c>
      <c r="C106" s="19" t="str">
        <f>IFERROR(__xludf.DUMMYFUNCTION("""COMPUTED_VALUE"""),"Ikegara")</f>
        <v>Ikegara</v>
      </c>
      <c r="D106" s="18" t="str">
        <f>IFERROR(__xludf.DUMMYFUNCTION("""COMPUTED_VALUE"""),"M")</f>
        <v>M</v>
      </c>
      <c r="E106" s="18"/>
      <c r="F106" s="18"/>
      <c r="G106" s="18" t="str">
        <f>IFERROR(__xludf.DUMMYFUNCTION("""COMPUTED_VALUE"""),"●")</f>
        <v>●</v>
      </c>
      <c r="H106" s="18" t="str">
        <f>IFERROR(__xludf.DUMMYFUNCTION("""COMPUTED_VALUE"""),"×")</f>
        <v>×</v>
      </c>
      <c r="I106" s="18"/>
      <c r="J106" s="18"/>
      <c r="K106" s="18"/>
      <c r="L106" s="20"/>
    </row>
    <row r="107">
      <c r="A107" s="22"/>
      <c r="B107" s="18"/>
      <c r="C107" s="19"/>
      <c r="D107" s="18"/>
      <c r="E107" s="18"/>
      <c r="F107" s="18"/>
      <c r="G107" s="18"/>
      <c r="H107" s="18"/>
      <c r="I107" s="18"/>
      <c r="J107" s="18"/>
      <c r="K107" s="18"/>
      <c r="L107" s="20"/>
    </row>
    <row r="108">
      <c r="A108" s="22"/>
      <c r="B108" s="18"/>
      <c r="C108" s="19"/>
      <c r="D108" s="18"/>
      <c r="E108" s="18"/>
      <c r="F108" s="18"/>
      <c r="G108" s="18"/>
      <c r="H108" s="18"/>
      <c r="I108" s="18"/>
      <c r="J108" s="18"/>
      <c r="K108" s="18"/>
      <c r="L108" s="20"/>
    </row>
    <row r="109">
      <c r="A109" s="22"/>
      <c r="B109" s="18"/>
      <c r="C109" s="19"/>
      <c r="D109" s="18"/>
      <c r="E109" s="18"/>
      <c r="F109" s="18"/>
      <c r="G109" s="18"/>
      <c r="H109" s="18"/>
      <c r="I109" s="18"/>
      <c r="J109" s="18"/>
      <c r="K109" s="18"/>
      <c r="L109" s="20"/>
    </row>
    <row r="110">
      <c r="A110" s="22"/>
      <c r="B110" s="18"/>
      <c r="C110" s="19"/>
      <c r="D110" s="18"/>
      <c r="E110" s="18"/>
      <c r="F110" s="18"/>
      <c r="G110" s="18"/>
      <c r="H110" s="18"/>
      <c r="I110" s="18"/>
      <c r="J110" s="18"/>
      <c r="K110" s="18"/>
      <c r="L110" s="20"/>
    </row>
    <row r="111">
      <c r="A111" s="22"/>
      <c r="B111" s="18"/>
      <c r="C111" s="19"/>
      <c r="D111" s="18"/>
      <c r="E111" s="18"/>
      <c r="F111" s="18"/>
      <c r="G111" s="18"/>
      <c r="H111" s="18"/>
      <c r="I111" s="18"/>
      <c r="J111" s="18"/>
      <c r="K111" s="18"/>
      <c r="L111" s="20"/>
    </row>
    <row r="112">
      <c r="A112" s="22"/>
      <c r="B112" s="18"/>
      <c r="C112" s="19"/>
      <c r="D112" s="18"/>
      <c r="E112" s="18"/>
      <c r="F112" s="18"/>
      <c r="G112" s="18"/>
      <c r="H112" s="18"/>
      <c r="I112" s="18"/>
      <c r="J112" s="18"/>
      <c r="K112" s="18"/>
      <c r="L112" s="20"/>
    </row>
    <row r="113">
      <c r="A113" s="22"/>
      <c r="B113" s="18"/>
      <c r="C113" s="19"/>
      <c r="D113" s="18"/>
      <c r="E113" s="18"/>
      <c r="F113" s="18"/>
      <c r="G113" s="18"/>
      <c r="H113" s="18"/>
      <c r="I113" s="18"/>
      <c r="J113" s="18"/>
      <c r="K113" s="18"/>
      <c r="L113" s="20"/>
    </row>
    <row r="114">
      <c r="A114" s="22"/>
      <c r="B114" s="18"/>
      <c r="C114" s="19"/>
      <c r="D114" s="18"/>
      <c r="E114" s="18"/>
      <c r="F114" s="18"/>
      <c r="G114" s="18"/>
      <c r="H114" s="18"/>
      <c r="I114" s="18"/>
      <c r="J114" s="18"/>
      <c r="K114" s="18"/>
      <c r="L114" s="20"/>
    </row>
    <row r="115">
      <c r="A115" s="22"/>
      <c r="B115" s="18"/>
      <c r="C115" s="19"/>
      <c r="D115" s="18"/>
      <c r="E115" s="18"/>
      <c r="F115" s="18"/>
      <c r="G115" s="18"/>
      <c r="H115" s="18"/>
      <c r="I115" s="18"/>
      <c r="J115" s="18"/>
      <c r="K115" s="18"/>
      <c r="L115" s="20"/>
    </row>
    <row r="116">
      <c r="A116" s="22"/>
      <c r="B116" s="18"/>
      <c r="C116" s="19"/>
      <c r="D116" s="18"/>
      <c r="E116" s="18"/>
      <c r="F116" s="18"/>
      <c r="G116" s="18"/>
      <c r="H116" s="18"/>
      <c r="I116" s="18"/>
      <c r="J116" s="18"/>
      <c r="K116" s="18"/>
      <c r="L116" s="20"/>
    </row>
    <row r="117">
      <c r="A117" s="22"/>
      <c r="B117" s="18"/>
      <c r="C117" s="19"/>
      <c r="D117" s="18"/>
      <c r="E117" s="18"/>
      <c r="F117" s="18"/>
      <c r="G117" s="18"/>
      <c r="H117" s="18"/>
      <c r="I117" s="18"/>
      <c r="J117" s="18"/>
      <c r="K117" s="18"/>
      <c r="L117" s="20"/>
    </row>
    <row r="118">
      <c r="A118" s="22"/>
      <c r="B118" s="18"/>
      <c r="C118" s="19"/>
      <c r="D118" s="18"/>
      <c r="E118" s="18"/>
      <c r="F118" s="18"/>
      <c r="G118" s="18"/>
      <c r="H118" s="18"/>
      <c r="I118" s="18"/>
      <c r="J118" s="18"/>
      <c r="K118" s="18"/>
      <c r="L118" s="20"/>
    </row>
    <row r="119">
      <c r="A119" s="22"/>
      <c r="B119" s="18"/>
      <c r="C119" s="19"/>
      <c r="D119" s="18"/>
      <c r="E119" s="18"/>
      <c r="F119" s="18"/>
      <c r="G119" s="18"/>
      <c r="H119" s="18"/>
      <c r="I119" s="18"/>
      <c r="J119" s="18"/>
      <c r="K119" s="18"/>
      <c r="L119" s="20"/>
    </row>
    <row r="120">
      <c r="A120" s="22"/>
      <c r="B120" s="18"/>
      <c r="C120" s="19"/>
      <c r="D120" s="18"/>
      <c r="E120" s="18"/>
      <c r="F120" s="18"/>
      <c r="G120" s="18"/>
      <c r="H120" s="18"/>
      <c r="I120" s="18"/>
      <c r="J120" s="18"/>
      <c r="K120" s="18"/>
      <c r="L120" s="20"/>
    </row>
    <row r="121">
      <c r="A121" s="22"/>
      <c r="B121" s="18"/>
      <c r="C121" s="19"/>
      <c r="D121" s="18"/>
      <c r="E121" s="18"/>
      <c r="F121" s="18"/>
      <c r="G121" s="18"/>
      <c r="H121" s="18"/>
      <c r="I121" s="18"/>
      <c r="J121" s="18"/>
      <c r="K121" s="18"/>
      <c r="L121" s="20"/>
    </row>
    <row r="122">
      <c r="A122" s="22"/>
      <c r="B122" s="18"/>
      <c r="C122" s="19"/>
      <c r="D122" s="18"/>
      <c r="E122" s="18"/>
      <c r="F122" s="18"/>
      <c r="G122" s="18"/>
      <c r="H122" s="18"/>
      <c r="I122" s="18"/>
      <c r="J122" s="18"/>
      <c r="K122" s="18"/>
      <c r="L122" s="20"/>
    </row>
    <row r="123">
      <c r="A123" s="22"/>
      <c r="B123" s="18"/>
      <c r="C123" s="19"/>
      <c r="D123" s="18"/>
      <c r="E123" s="18"/>
      <c r="F123" s="18"/>
      <c r="G123" s="18"/>
      <c r="H123" s="18"/>
      <c r="I123" s="18"/>
      <c r="J123" s="18"/>
      <c r="K123" s="18"/>
      <c r="L123" s="20"/>
    </row>
    <row r="124">
      <c r="A124" s="22"/>
      <c r="B124" s="18"/>
      <c r="C124" s="19"/>
      <c r="D124" s="18"/>
      <c r="E124" s="18"/>
      <c r="F124" s="18"/>
      <c r="G124" s="18"/>
      <c r="H124" s="18"/>
      <c r="I124" s="18"/>
      <c r="J124" s="18"/>
      <c r="K124" s="18"/>
      <c r="L124" s="20"/>
    </row>
    <row r="125">
      <c r="A125" s="22"/>
      <c r="B125" s="18"/>
      <c r="C125" s="19"/>
      <c r="D125" s="18"/>
      <c r="E125" s="18"/>
      <c r="F125" s="18"/>
      <c r="G125" s="18"/>
      <c r="H125" s="18"/>
      <c r="I125" s="18"/>
      <c r="J125" s="18"/>
      <c r="K125" s="18"/>
      <c r="L125" s="20"/>
    </row>
    <row r="126">
      <c r="A126" s="22"/>
      <c r="B126" s="18"/>
      <c r="C126" s="19"/>
      <c r="D126" s="18"/>
      <c r="E126" s="18"/>
      <c r="F126" s="18"/>
      <c r="G126" s="18"/>
      <c r="H126" s="18"/>
      <c r="I126" s="18"/>
      <c r="J126" s="18"/>
      <c r="K126" s="18"/>
      <c r="L126" s="20"/>
    </row>
    <row r="127">
      <c r="A127" s="22"/>
      <c r="B127" s="18"/>
      <c r="C127" s="19"/>
      <c r="D127" s="18"/>
      <c r="E127" s="18"/>
      <c r="F127" s="18"/>
      <c r="G127" s="18"/>
      <c r="H127" s="18"/>
      <c r="I127" s="18"/>
      <c r="J127" s="18"/>
      <c r="K127" s="18"/>
      <c r="L127" s="20"/>
    </row>
    <row r="128">
      <c r="A128" s="22"/>
      <c r="B128" s="18"/>
      <c r="C128" s="19"/>
      <c r="D128" s="18"/>
      <c r="E128" s="18"/>
      <c r="F128" s="18"/>
      <c r="G128" s="18"/>
      <c r="H128" s="18"/>
      <c r="I128" s="18"/>
      <c r="J128" s="18"/>
      <c r="K128" s="18"/>
      <c r="L128" s="20"/>
    </row>
    <row r="129">
      <c r="A129" s="22"/>
      <c r="B129" s="18"/>
      <c r="C129" s="19"/>
      <c r="D129" s="18"/>
      <c r="E129" s="18"/>
      <c r="F129" s="18"/>
      <c r="G129" s="18"/>
      <c r="H129" s="18"/>
      <c r="I129" s="18"/>
      <c r="J129" s="18"/>
      <c r="K129" s="18"/>
      <c r="L129" s="20"/>
    </row>
    <row r="130">
      <c r="A130" s="22"/>
      <c r="B130" s="18"/>
      <c r="C130" s="19"/>
      <c r="D130" s="18"/>
      <c r="E130" s="18"/>
      <c r="F130" s="18"/>
      <c r="G130" s="18"/>
      <c r="H130" s="18"/>
      <c r="I130" s="18"/>
      <c r="J130" s="18"/>
      <c r="K130" s="18"/>
      <c r="L130" s="20"/>
    </row>
    <row r="131">
      <c r="A131" s="22"/>
      <c r="B131" s="18"/>
      <c r="C131" s="19"/>
      <c r="D131" s="18"/>
      <c r="E131" s="18"/>
      <c r="F131" s="18"/>
      <c r="G131" s="18"/>
      <c r="H131" s="18"/>
      <c r="I131" s="18"/>
      <c r="J131" s="18"/>
      <c r="K131" s="18"/>
      <c r="L131" s="20"/>
    </row>
    <row r="132">
      <c r="A132" s="22"/>
      <c r="B132" s="18"/>
      <c r="C132" s="19"/>
      <c r="D132" s="18"/>
      <c r="E132" s="18"/>
      <c r="F132" s="18"/>
      <c r="G132" s="18"/>
      <c r="H132" s="18"/>
      <c r="I132" s="18"/>
      <c r="J132" s="18"/>
      <c r="K132" s="18"/>
      <c r="L132" s="20"/>
    </row>
    <row r="133">
      <c r="A133" s="22"/>
      <c r="B133" s="18"/>
      <c r="C133" s="19"/>
      <c r="D133" s="18"/>
      <c r="E133" s="18"/>
      <c r="F133" s="18"/>
      <c r="G133" s="18"/>
      <c r="H133" s="18"/>
      <c r="I133" s="18"/>
      <c r="J133" s="18"/>
      <c r="K133" s="18"/>
      <c r="L133" s="20"/>
    </row>
    <row r="134">
      <c r="A134" s="22"/>
      <c r="B134" s="18"/>
      <c r="C134" s="19"/>
      <c r="D134" s="18"/>
      <c r="E134" s="18"/>
      <c r="F134" s="18"/>
      <c r="G134" s="18"/>
      <c r="H134" s="18"/>
      <c r="I134" s="18"/>
      <c r="J134" s="18"/>
      <c r="K134" s="18"/>
      <c r="L134" s="20"/>
    </row>
    <row r="135">
      <c r="A135" s="22"/>
      <c r="B135" s="18"/>
      <c r="C135" s="19"/>
      <c r="D135" s="18"/>
      <c r="E135" s="18"/>
      <c r="F135" s="18"/>
      <c r="G135" s="18"/>
      <c r="H135" s="18"/>
      <c r="I135" s="18"/>
      <c r="J135" s="18"/>
      <c r="K135" s="18"/>
      <c r="L135" s="20"/>
    </row>
    <row r="136">
      <c r="A136" s="22"/>
      <c r="B136" s="18"/>
      <c r="C136" s="19"/>
      <c r="D136" s="18"/>
      <c r="E136" s="18"/>
      <c r="F136" s="18"/>
      <c r="G136" s="18"/>
      <c r="H136" s="18"/>
      <c r="I136" s="18"/>
      <c r="J136" s="18"/>
      <c r="K136" s="18"/>
      <c r="L136" s="20"/>
    </row>
    <row r="137">
      <c r="A137" s="22"/>
      <c r="B137" s="18"/>
      <c r="C137" s="19"/>
      <c r="D137" s="18"/>
      <c r="E137" s="18"/>
      <c r="F137" s="18"/>
      <c r="G137" s="18"/>
      <c r="H137" s="18"/>
      <c r="I137" s="18"/>
      <c r="J137" s="18"/>
      <c r="K137" s="18"/>
      <c r="L137" s="20"/>
    </row>
    <row r="138">
      <c r="A138" s="22"/>
      <c r="B138" s="18"/>
      <c r="C138" s="19"/>
      <c r="D138" s="18"/>
      <c r="E138" s="18"/>
      <c r="F138" s="18"/>
      <c r="G138" s="18"/>
      <c r="H138" s="18"/>
      <c r="I138" s="18"/>
      <c r="J138" s="18"/>
      <c r="K138" s="18"/>
      <c r="L138" s="20"/>
    </row>
    <row r="139">
      <c r="A139" s="22"/>
      <c r="B139" s="18"/>
      <c r="C139" s="19"/>
      <c r="D139" s="18"/>
      <c r="E139" s="18"/>
      <c r="F139" s="18"/>
      <c r="G139" s="18"/>
      <c r="H139" s="18"/>
      <c r="I139" s="18"/>
      <c r="J139" s="18"/>
      <c r="K139" s="18"/>
      <c r="L139" s="20"/>
    </row>
    <row r="140">
      <c r="A140" s="22"/>
      <c r="B140" s="18"/>
      <c r="C140" s="19"/>
      <c r="D140" s="18"/>
      <c r="E140" s="18"/>
      <c r="F140" s="18"/>
      <c r="G140" s="18"/>
      <c r="H140" s="18"/>
      <c r="I140" s="18"/>
      <c r="J140" s="18"/>
      <c r="K140" s="18"/>
      <c r="L140" s="20"/>
    </row>
    <row r="141">
      <c r="A141" s="22"/>
      <c r="B141" s="18"/>
      <c r="C141" s="19"/>
      <c r="D141" s="18"/>
      <c r="E141" s="18"/>
      <c r="F141" s="18"/>
      <c r="G141" s="18"/>
      <c r="H141" s="18"/>
      <c r="I141" s="18"/>
      <c r="J141" s="18"/>
      <c r="K141" s="18"/>
      <c r="L141" s="20"/>
    </row>
    <row r="142">
      <c r="A142" s="22"/>
      <c r="B142" s="18"/>
      <c r="C142" s="19"/>
      <c r="D142" s="18"/>
      <c r="E142" s="18"/>
      <c r="F142" s="18"/>
      <c r="G142" s="18"/>
      <c r="H142" s="18"/>
      <c r="I142" s="18"/>
      <c r="J142" s="18"/>
      <c r="K142" s="18"/>
      <c r="L142" s="20"/>
    </row>
    <row r="143">
      <c r="A143" s="22"/>
      <c r="B143" s="18"/>
      <c r="C143" s="19"/>
      <c r="D143" s="18"/>
      <c r="E143" s="18"/>
      <c r="F143" s="18"/>
      <c r="G143" s="18"/>
      <c r="H143" s="18"/>
      <c r="I143" s="18"/>
      <c r="J143" s="18"/>
      <c r="K143" s="18"/>
      <c r="L143" s="20"/>
    </row>
    <row r="144">
      <c r="A144" s="22"/>
      <c r="B144" s="18"/>
      <c r="C144" s="19"/>
      <c r="D144" s="18"/>
      <c r="E144" s="18"/>
      <c r="F144" s="18"/>
      <c r="G144" s="18"/>
      <c r="H144" s="18"/>
      <c r="I144" s="18"/>
      <c r="J144" s="18"/>
      <c r="K144" s="18"/>
      <c r="L144" s="20"/>
    </row>
    <row r="145">
      <c r="A145" s="22"/>
      <c r="B145" s="18"/>
      <c r="C145" s="19"/>
      <c r="D145" s="18"/>
      <c r="E145" s="18"/>
      <c r="F145" s="18"/>
      <c r="G145" s="18"/>
      <c r="H145" s="18"/>
      <c r="I145" s="18"/>
      <c r="J145" s="18"/>
      <c r="K145" s="18"/>
      <c r="L145" s="20"/>
    </row>
    <row r="146">
      <c r="A146" s="22"/>
      <c r="B146" s="18"/>
      <c r="C146" s="19"/>
      <c r="D146" s="18"/>
      <c r="E146" s="18"/>
      <c r="F146" s="18"/>
      <c r="G146" s="18"/>
      <c r="H146" s="18"/>
      <c r="I146" s="18"/>
      <c r="J146" s="18"/>
      <c r="K146" s="18"/>
      <c r="L146" s="20"/>
    </row>
    <row r="147">
      <c r="A147" s="22"/>
      <c r="B147" s="18"/>
      <c r="C147" s="19"/>
      <c r="D147" s="18"/>
      <c r="E147" s="18"/>
      <c r="F147" s="18"/>
      <c r="G147" s="18"/>
      <c r="H147" s="18"/>
      <c r="I147" s="18"/>
      <c r="J147" s="18"/>
      <c r="K147" s="18"/>
      <c r="L147" s="20"/>
    </row>
    <row r="148">
      <c r="A148" s="22"/>
      <c r="B148" s="18"/>
      <c r="C148" s="19"/>
      <c r="D148" s="18"/>
      <c r="E148" s="18"/>
      <c r="F148" s="18"/>
      <c r="G148" s="18"/>
      <c r="H148" s="18"/>
      <c r="I148" s="18"/>
      <c r="J148" s="18"/>
      <c r="K148" s="18"/>
      <c r="L148" s="20"/>
    </row>
    <row r="149">
      <c r="A149" s="22"/>
      <c r="B149" s="18"/>
      <c r="C149" s="19"/>
      <c r="D149" s="18"/>
      <c r="E149" s="18"/>
      <c r="F149" s="18"/>
      <c r="G149" s="18"/>
      <c r="H149" s="18"/>
      <c r="I149" s="18"/>
      <c r="J149" s="18"/>
      <c r="K149" s="18"/>
      <c r="L149" s="20"/>
    </row>
    <row r="150">
      <c r="A150" s="22"/>
      <c r="B150" s="18"/>
      <c r="C150" s="19"/>
      <c r="D150" s="18"/>
      <c r="E150" s="18"/>
      <c r="F150" s="18"/>
      <c r="G150" s="18"/>
      <c r="H150" s="18"/>
      <c r="I150" s="18"/>
      <c r="J150" s="18"/>
      <c r="K150" s="18"/>
      <c r="L150" s="20"/>
    </row>
    <row r="151">
      <c r="A151" s="22"/>
      <c r="B151" s="18"/>
      <c r="C151" s="19"/>
      <c r="D151" s="18"/>
      <c r="E151" s="18"/>
      <c r="F151" s="18"/>
      <c r="G151" s="18"/>
      <c r="H151" s="18"/>
      <c r="I151" s="18"/>
      <c r="J151" s="18"/>
      <c r="K151" s="18"/>
      <c r="L151" s="20"/>
    </row>
    <row r="152">
      <c r="A152" s="22"/>
      <c r="B152" s="18"/>
      <c r="C152" s="19"/>
      <c r="D152" s="18"/>
      <c r="E152" s="18"/>
      <c r="F152" s="18"/>
      <c r="G152" s="18"/>
      <c r="H152" s="18"/>
      <c r="I152" s="18"/>
      <c r="J152" s="18"/>
      <c r="K152" s="18"/>
      <c r="L152" s="20"/>
    </row>
    <row r="153">
      <c r="A153" s="22"/>
      <c r="B153" s="18"/>
      <c r="C153" s="19"/>
      <c r="D153" s="18"/>
      <c r="E153" s="18"/>
      <c r="F153" s="18"/>
      <c r="G153" s="18"/>
      <c r="H153" s="18"/>
      <c r="I153" s="18"/>
      <c r="J153" s="18"/>
      <c r="K153" s="18"/>
      <c r="L153" s="20"/>
    </row>
    <row r="154">
      <c r="A154" s="22"/>
      <c r="B154" s="18"/>
      <c r="C154" s="19"/>
      <c r="D154" s="18"/>
      <c r="E154" s="18"/>
      <c r="F154" s="18"/>
      <c r="G154" s="18"/>
      <c r="H154" s="18"/>
      <c r="I154" s="18"/>
      <c r="J154" s="18"/>
      <c r="K154" s="18"/>
      <c r="L154" s="20"/>
    </row>
    <row r="155">
      <c r="A155" s="22"/>
      <c r="B155" s="18"/>
      <c r="C155" s="19"/>
      <c r="D155" s="18"/>
      <c r="E155" s="18"/>
      <c r="F155" s="18"/>
      <c r="G155" s="18"/>
      <c r="H155" s="18"/>
      <c r="I155" s="18"/>
      <c r="J155" s="18"/>
      <c r="K155" s="18"/>
      <c r="L155" s="20"/>
    </row>
    <row r="156">
      <c r="A156" s="22"/>
      <c r="B156" s="18"/>
      <c r="C156" s="19"/>
      <c r="D156" s="18"/>
      <c r="E156" s="18"/>
      <c r="F156" s="18"/>
      <c r="G156" s="18"/>
      <c r="H156" s="18"/>
      <c r="I156" s="18"/>
      <c r="J156" s="18"/>
      <c r="K156" s="18"/>
      <c r="L156" s="20"/>
    </row>
    <row r="157">
      <c r="A157" s="22"/>
      <c r="B157" s="18"/>
      <c r="C157" s="19"/>
      <c r="D157" s="18"/>
      <c r="E157" s="18"/>
      <c r="F157" s="18"/>
      <c r="G157" s="18"/>
      <c r="H157" s="18"/>
      <c r="I157" s="18"/>
      <c r="J157" s="18"/>
      <c r="K157" s="18"/>
      <c r="L157" s="20"/>
    </row>
    <row r="158">
      <c r="A158" s="22"/>
      <c r="B158" s="18"/>
      <c r="C158" s="19"/>
      <c r="D158" s="18"/>
      <c r="E158" s="18"/>
      <c r="F158" s="18"/>
      <c r="G158" s="18"/>
      <c r="H158" s="18"/>
      <c r="I158" s="18"/>
      <c r="J158" s="18"/>
      <c r="K158" s="18"/>
      <c r="L158" s="20"/>
    </row>
    <row r="159">
      <c r="A159" s="22"/>
      <c r="B159" s="18"/>
      <c r="C159" s="19"/>
      <c r="D159" s="18"/>
      <c r="E159" s="18"/>
      <c r="F159" s="18"/>
      <c r="G159" s="18"/>
      <c r="H159" s="18"/>
      <c r="I159" s="18"/>
      <c r="J159" s="18"/>
      <c r="K159" s="18"/>
      <c r="L159" s="20"/>
    </row>
    <row r="160">
      <c r="A160" s="22"/>
      <c r="B160" s="18"/>
      <c r="C160" s="19"/>
      <c r="D160" s="18"/>
      <c r="E160" s="18"/>
      <c r="F160" s="18"/>
      <c r="G160" s="18"/>
      <c r="H160" s="18"/>
      <c r="I160" s="18"/>
      <c r="J160" s="18"/>
      <c r="K160" s="18"/>
      <c r="L160" s="20"/>
    </row>
    <row r="161">
      <c r="A161" s="22"/>
      <c r="B161" s="18"/>
      <c r="C161" s="19"/>
      <c r="D161" s="18"/>
      <c r="E161" s="18"/>
      <c r="F161" s="18"/>
      <c r="G161" s="18"/>
      <c r="H161" s="18"/>
      <c r="I161" s="18"/>
      <c r="J161" s="18"/>
      <c r="K161" s="18"/>
      <c r="L161" s="20"/>
    </row>
    <row r="162">
      <c r="A162" s="22"/>
      <c r="B162" s="18"/>
      <c r="C162" s="19"/>
      <c r="D162" s="18"/>
      <c r="E162" s="18"/>
      <c r="F162" s="18"/>
      <c r="G162" s="18"/>
      <c r="H162" s="18"/>
      <c r="I162" s="18"/>
      <c r="J162" s="18"/>
      <c r="K162" s="18"/>
      <c r="L162" s="20"/>
    </row>
    <row r="163">
      <c r="A163" s="22"/>
      <c r="B163" s="18"/>
      <c r="C163" s="19"/>
      <c r="D163" s="18"/>
      <c r="E163" s="18"/>
      <c r="F163" s="18"/>
      <c r="G163" s="18"/>
      <c r="H163" s="18"/>
      <c r="I163" s="18"/>
      <c r="J163" s="18"/>
      <c r="K163" s="18"/>
      <c r="L163" s="20"/>
    </row>
    <row r="164">
      <c r="A164" s="22"/>
      <c r="B164" s="18"/>
      <c r="C164" s="19"/>
      <c r="D164" s="18"/>
      <c r="E164" s="18"/>
      <c r="F164" s="18"/>
      <c r="G164" s="18"/>
      <c r="H164" s="18"/>
      <c r="I164" s="18"/>
      <c r="J164" s="18"/>
      <c r="K164" s="18"/>
      <c r="L164" s="20"/>
    </row>
    <row r="165">
      <c r="A165" s="22"/>
      <c r="B165" s="18"/>
      <c r="C165" s="19"/>
      <c r="D165" s="18"/>
      <c r="E165" s="18"/>
      <c r="F165" s="18"/>
      <c r="G165" s="18"/>
      <c r="H165" s="18"/>
      <c r="I165" s="18"/>
      <c r="J165" s="18"/>
      <c r="K165" s="18"/>
      <c r="L165" s="20"/>
    </row>
    <row r="166">
      <c r="A166" s="22"/>
      <c r="B166" s="18"/>
      <c r="C166" s="19"/>
      <c r="D166" s="18"/>
      <c r="E166" s="18"/>
      <c r="F166" s="18"/>
      <c r="G166" s="18"/>
      <c r="H166" s="18"/>
      <c r="I166" s="18"/>
      <c r="J166" s="18"/>
      <c r="K166" s="18"/>
      <c r="L166" s="20"/>
    </row>
    <row r="167">
      <c r="A167" s="22"/>
      <c r="B167" s="18"/>
      <c r="C167" s="19"/>
      <c r="D167" s="18"/>
      <c r="E167" s="18"/>
      <c r="F167" s="18"/>
      <c r="G167" s="18"/>
      <c r="H167" s="18"/>
      <c r="I167" s="18"/>
      <c r="J167" s="18"/>
      <c r="K167" s="18"/>
      <c r="L167" s="20"/>
    </row>
  </sheetData>
  <mergeCells count="181">
    <mergeCell ref="L96:P96"/>
    <mergeCell ref="L97:P97"/>
    <mergeCell ref="L98:P98"/>
    <mergeCell ref="L99:P99"/>
    <mergeCell ref="L100:P100"/>
    <mergeCell ref="L101:P101"/>
    <mergeCell ref="L102:P102"/>
    <mergeCell ref="L103:P103"/>
    <mergeCell ref="L104:P104"/>
    <mergeCell ref="L105:P105"/>
    <mergeCell ref="L106:P106"/>
    <mergeCell ref="L107:P107"/>
    <mergeCell ref="L108:P108"/>
    <mergeCell ref="L109:P109"/>
    <mergeCell ref="L110:P110"/>
    <mergeCell ref="L111:P111"/>
    <mergeCell ref="L112:P112"/>
    <mergeCell ref="L113:P113"/>
    <mergeCell ref="L114:P114"/>
    <mergeCell ref="L115:P115"/>
    <mergeCell ref="L116:P116"/>
    <mergeCell ref="L117:P117"/>
    <mergeCell ref="L118:P118"/>
    <mergeCell ref="L119:P119"/>
    <mergeCell ref="L120:P120"/>
    <mergeCell ref="L121:P121"/>
    <mergeCell ref="L122:P122"/>
    <mergeCell ref="L123:P123"/>
    <mergeCell ref="L124:P124"/>
    <mergeCell ref="L125:P125"/>
    <mergeCell ref="L126:P126"/>
    <mergeCell ref="L127:P127"/>
    <mergeCell ref="L128:P128"/>
    <mergeCell ref="L129:P129"/>
    <mergeCell ref="L130:P130"/>
    <mergeCell ref="L131:P131"/>
    <mergeCell ref="L132:P132"/>
    <mergeCell ref="L133:P133"/>
    <mergeCell ref="L134:P134"/>
    <mergeCell ref="L135:P135"/>
    <mergeCell ref="L136:P136"/>
    <mergeCell ref="L137:P137"/>
    <mergeCell ref="L138:P138"/>
    <mergeCell ref="L139:P139"/>
    <mergeCell ref="L140:P140"/>
    <mergeCell ref="L141:P141"/>
    <mergeCell ref="L142:P142"/>
    <mergeCell ref="L143:P143"/>
    <mergeCell ref="L144:P144"/>
    <mergeCell ref="L145:P145"/>
    <mergeCell ref="L146:P146"/>
    <mergeCell ref="L147:P147"/>
    <mergeCell ref="L148:P148"/>
    <mergeCell ref="L149:P149"/>
    <mergeCell ref="L150:P150"/>
    <mergeCell ref="L151:P151"/>
    <mergeCell ref="L3:P4"/>
    <mergeCell ref="L5:P5"/>
    <mergeCell ref="L166:P166"/>
    <mergeCell ref="L167:P167"/>
    <mergeCell ref="D1:D2"/>
    <mergeCell ref="E1:I1"/>
    <mergeCell ref="J1:J2"/>
    <mergeCell ref="K1:P2"/>
    <mergeCell ref="R1:S1"/>
    <mergeCell ref="Q2:Z167"/>
    <mergeCell ref="D3:D4"/>
    <mergeCell ref="L152:P152"/>
    <mergeCell ref="L153:P153"/>
    <mergeCell ref="L154:P154"/>
    <mergeCell ref="L155:P155"/>
    <mergeCell ref="L156:P156"/>
    <mergeCell ref="L157:P157"/>
    <mergeCell ref="L158:P158"/>
    <mergeCell ref="L159:P159"/>
    <mergeCell ref="L160:P160"/>
    <mergeCell ref="L161:P161"/>
    <mergeCell ref="L162:P162"/>
    <mergeCell ref="L163:P163"/>
    <mergeCell ref="L164:P164"/>
    <mergeCell ref="L165:P165"/>
    <mergeCell ref="A1:C2"/>
    <mergeCell ref="A3:A4"/>
    <mergeCell ref="B3:B4"/>
    <mergeCell ref="C3:C4"/>
    <mergeCell ref="E2:I2"/>
    <mergeCell ref="E3:G3"/>
    <mergeCell ref="H3:H4"/>
    <mergeCell ref="I3:I4"/>
    <mergeCell ref="J3:J4"/>
    <mergeCell ref="K3:K4"/>
    <mergeCell ref="L6:P6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18:P18"/>
    <mergeCell ref="L19:P19"/>
    <mergeCell ref="L20:P20"/>
    <mergeCell ref="L21:P21"/>
    <mergeCell ref="L22:P22"/>
    <mergeCell ref="L23:P23"/>
    <mergeCell ref="L24:P24"/>
    <mergeCell ref="L25:P25"/>
    <mergeCell ref="L26:P26"/>
    <mergeCell ref="L27:P27"/>
    <mergeCell ref="L28:P28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0:P40"/>
    <mergeCell ref="L41:P41"/>
    <mergeCell ref="L42:P42"/>
    <mergeCell ref="L43:P43"/>
    <mergeCell ref="L44:P44"/>
    <mergeCell ref="L45:P45"/>
    <mergeCell ref="L46:P46"/>
    <mergeCell ref="L47:P47"/>
    <mergeCell ref="L48:P48"/>
    <mergeCell ref="L49:P49"/>
    <mergeCell ref="L50:P50"/>
    <mergeCell ref="L51:P51"/>
    <mergeCell ref="L52:P52"/>
    <mergeCell ref="L53:P53"/>
    <mergeCell ref="L54:P54"/>
    <mergeCell ref="L55:P55"/>
    <mergeCell ref="L56:P56"/>
    <mergeCell ref="L57:P57"/>
    <mergeCell ref="L58:P58"/>
    <mergeCell ref="L59:P59"/>
    <mergeCell ref="L60:P60"/>
    <mergeCell ref="L61:P61"/>
    <mergeCell ref="L62:P62"/>
    <mergeCell ref="L63:P63"/>
    <mergeCell ref="L64:P64"/>
    <mergeCell ref="L65:P65"/>
    <mergeCell ref="L66:P66"/>
    <mergeCell ref="L67:P67"/>
    <mergeCell ref="L68:P68"/>
    <mergeCell ref="L69:P69"/>
    <mergeCell ref="L70:P70"/>
    <mergeCell ref="L71:P71"/>
    <mergeCell ref="L72:P72"/>
    <mergeCell ref="L73:P73"/>
    <mergeCell ref="L74:P74"/>
    <mergeCell ref="L75:P75"/>
    <mergeCell ref="L76:P76"/>
    <mergeCell ref="L77:P77"/>
    <mergeCell ref="L78:P78"/>
    <mergeCell ref="L79:P79"/>
    <mergeCell ref="L80:P80"/>
    <mergeCell ref="L81:P81"/>
    <mergeCell ref="L82:P82"/>
    <mergeCell ref="L83:P83"/>
    <mergeCell ref="L84:P84"/>
    <mergeCell ref="L85:P85"/>
    <mergeCell ref="L86:P86"/>
    <mergeCell ref="L87:P87"/>
    <mergeCell ref="L88:P88"/>
    <mergeCell ref="L89:P89"/>
    <mergeCell ref="L90:P90"/>
    <mergeCell ref="L91:P91"/>
    <mergeCell ref="L92:P92"/>
    <mergeCell ref="L93:P93"/>
    <mergeCell ref="L94:P94"/>
    <mergeCell ref="L95:P95"/>
  </mergeCells>
  <conditionalFormatting sqref="J5:K167">
    <cfRule type="containsText" dxfId="9" priority="1" operator="containsText" text="Blue">
      <formula>NOT(ISERROR(SEARCH(("Blue"),(J5))))</formula>
    </cfRule>
  </conditionalFormatting>
  <conditionalFormatting sqref="J5:K167">
    <cfRule type="containsText" dxfId="10" priority="2" operator="containsText" text="Green">
      <formula>NOT(ISERROR(SEARCH(("Green"),(J5))))</formula>
    </cfRule>
  </conditionalFormatting>
  <conditionalFormatting sqref="J5:K167">
    <cfRule type="containsText" dxfId="11" priority="3" operator="containsText" text="Black">
      <formula>NOT(ISERROR(SEARCH(("Black"),(J5))))</formula>
    </cfRule>
  </conditionalFormatting>
  <conditionalFormatting sqref="J5:K167">
    <cfRule type="containsText" dxfId="12" priority="4" operator="containsText" text="Red">
      <formula>NOT(ISERROR(SEARCH(("Red"),(J5))))</formula>
    </cfRule>
  </conditionalFormatting>
  <conditionalFormatting sqref="J5:K167">
    <cfRule type="containsText" dxfId="13" priority="5" operator="containsText" text="44CE">
      <formula>NOT(ISERROR(SEARCH(("44CE"),(J5))))</formula>
    </cfRule>
  </conditionalFormatting>
  <conditionalFormatting sqref="H5:H136">
    <cfRule type="containsText" dxfId="0" priority="6" operator="containsText" text="Copper">
      <formula>NOT(ISERROR(SEARCH(("Copper"),(H5))))</formula>
    </cfRule>
  </conditionalFormatting>
  <conditionalFormatting sqref="H5:H136">
    <cfRule type="containsText" dxfId="1" priority="7" operator="containsText" text="Wood">
      <formula>NOT(ISERROR(SEARCH(("Wood"),(H5))))</formula>
    </cfRule>
  </conditionalFormatting>
  <conditionalFormatting sqref="H5:H136">
    <cfRule type="containsText" dxfId="2" priority="8" operator="containsText" text="Fiber">
      <formula>NOT(ISERROR(SEARCH(("Fiber"),(H5))))</formula>
    </cfRule>
  </conditionalFormatting>
  <conditionalFormatting sqref="H5:H136">
    <cfRule type="containsText" dxfId="3" priority="9" operator="containsText" text="Oil">
      <formula>NOT(ISERROR(SEARCH(("Oil"),(H5))))</formula>
    </cfRule>
  </conditionalFormatting>
  <conditionalFormatting sqref="H5:H136">
    <cfRule type="containsText" dxfId="4" priority="10" operator="containsText" text="Aluminum">
      <formula>NOT(ISERROR(SEARCH(("Aluminum"),(H5))))</formula>
    </cfRule>
  </conditionalFormatting>
  <conditionalFormatting sqref="H5:H136">
    <cfRule type="containsText" dxfId="5" priority="11" operator="containsText" text="Iron">
      <formula>NOT(ISERROR(SEARCH(("Iron"),(H5))))</formula>
    </cfRule>
  </conditionalFormatting>
  <conditionalFormatting sqref="H5:H136">
    <cfRule type="containsText" dxfId="6" priority="12" operator="containsText" text="All">
      <formula>NOT(ISERROR(SEARCH(("All"),(H5))))</formula>
    </cfRule>
  </conditionalFormatting>
  <conditionalFormatting sqref="H5:H136">
    <cfRule type="containsText" dxfId="7" priority="13" operator="containsText" text="×">
      <formula>NOT(ISERROR(SEARCH(("×"),(H5))))</formula>
    </cfRule>
  </conditionalFormatting>
  <conditionalFormatting sqref="E5:G167">
    <cfRule type="notContainsBlanks" dxfId="14" priority="14">
      <formula>LEN(TRIM(E5))&gt;0</formula>
    </cfRule>
  </conditionalFormatting>
  <conditionalFormatting sqref="I5:I167">
    <cfRule type="notContainsBlanks" dxfId="13" priority="15">
      <formula>LEN(TRIM(I5))&gt;0</formula>
    </cfRule>
  </conditionalFormatting>
  <conditionalFormatting sqref="A5:P167">
    <cfRule type="expression" dxfId="15" priority="16">
      <formula>$D5="Divider"</formula>
    </cfRule>
  </conditionalFormatting>
  <conditionalFormatting sqref="A5:P167">
    <cfRule type="expression" dxfId="16" priority="17">
      <formula>$D5="44CE"</formula>
    </cfRule>
  </conditionalFormatting>
  <conditionalFormatting sqref="A5:P167">
    <cfRule type="expression" dxfId="18" priority="18">
      <formula>AND($B5=1,isblank($D5))</formula>
    </cfRule>
  </conditionalFormatting>
  <conditionalFormatting sqref="A5:P167">
    <cfRule type="expression" dxfId="19" priority="19">
      <formula>AND($B5=2,isblank($D5))</formula>
    </cfRule>
  </conditionalFormatting>
  <conditionalFormatting sqref="A5:P167">
    <cfRule type="expression" dxfId="20" priority="20">
      <formula>AND($B5=3,isblank($D5))</formula>
    </cfRule>
  </conditionalFormatting>
  <conditionalFormatting sqref="A5:P167">
    <cfRule type="expression" dxfId="18" priority="21">
      <formula>AND($B5=4,isblank($D5))</formula>
    </cfRule>
  </conditionalFormatting>
  <conditionalFormatting sqref="A5:P167">
    <cfRule type="expression" dxfId="21" priority="22">
      <formula>AND($B5=5,isblank($D5))</formula>
    </cfRule>
  </conditionalFormatting>
  <conditionalFormatting sqref="A5:P167">
    <cfRule type="expression" dxfId="18" priority="23">
      <formula>AND($B5=6,isblank($D5))</formula>
    </cfRule>
  </conditionalFormatting>
  <conditionalFormatting sqref="A5:P167">
    <cfRule type="expression" dxfId="20" priority="24">
      <formula>AND($B5=7,isblank($D5))</formula>
    </cfRule>
  </conditionalFormatting>
  <conditionalFormatting sqref="A5:P167">
    <cfRule type="expression" dxfId="8" priority="25">
      <formula>not(isblank($B5))</formula>
    </cfRule>
  </conditionalFormatting>
  <conditionalFormatting sqref="A5:P167">
    <cfRule type="expression" dxfId="17" priority="26">
      <formula>$D5="M"</formula>
    </cfRule>
  </conditionalFormatting>
  <conditionalFormatting sqref="H5:H136">
    <cfRule type="expression" dxfId="8" priority="27">
      <formula>not(isblank($B5))</formula>
    </cfRule>
  </conditionalFormatting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FA8DC"/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75"/>
  <cols>
    <col customWidth="1" min="1" max="1" width="3.14"/>
    <col customWidth="1" hidden="1" min="2" max="2" width="2.71"/>
    <col customWidth="1" min="3" max="3" width="15.29"/>
    <col customWidth="1" hidden="1" min="4" max="4" width="11.57"/>
    <col customWidth="1" min="5" max="7" width="4.43"/>
    <col customWidth="1" min="8" max="8" width="11.29"/>
    <col customWidth="1" min="9" max="9" width="4.43"/>
    <col customWidth="1" min="10" max="10" width="10.43"/>
    <col customWidth="1" min="11" max="12" width="6.57"/>
    <col customWidth="1" min="13" max="13" width="7.57"/>
    <col customWidth="1" min="14" max="15" width="14.43"/>
    <col customWidth="1" min="16" max="16" width="31.57"/>
    <col customWidth="1" min="17" max="17" width="14.43"/>
  </cols>
  <sheetData>
    <row r="1" ht="15.75" customHeight="1">
      <c r="A1" s="34" t="str">
        <f>text(Floor_data!$O$4+3,"ddddddddd")</f>
        <v>Thursday</v>
      </c>
      <c r="D1" s="35">
        <f>IF(VLOOKUP(Floor_data!$O$4,Floor_data!$N$11:$O$17,1,TRUE)+3 &gt;7,VLOOKUP(Floor_data!$O$4,Floor_data!$N$11:$O$17,1,TRUE)-4,VLOOKUP(Floor_data!$O$4,Floor_data!$N$11:$O$17,1,TRUE)+3)</f>
        <v>5</v>
      </c>
      <c r="E1" s="36" t="s">
        <v>19</v>
      </c>
      <c r="J1" s="5" t="s">
        <v>2</v>
      </c>
      <c r="K1" s="28" t="str">
        <f>VLOOKUP($D$1,Floor_data!$N$11:$P$17,3,FALSE)</f>
        <v>3F Metakojiya: Skillshrooms
</v>
      </c>
      <c r="Q1" s="7" t="s">
        <v>3</v>
      </c>
      <c r="R1" s="8" t="str">
        <f>VLOOKUP($D$1,Floor_data!$N$11:$Q$17,4,FALSE)</f>
        <v>https://i.imgur.com/j28Zeu9.png</v>
      </c>
    </row>
    <row r="2" ht="15.75" customHeight="1">
      <c r="E2" s="37" t="s">
        <v>21</v>
      </c>
      <c r="Q2" s="9" t="str">
        <f>IMAGE(VLOOKUP($D$1,Floor_data!$N$11:$Q$17,4,FALSE),4,3520,1010)</f>
        <v/>
      </c>
    </row>
    <row r="3">
      <c r="A3" s="10" t="s">
        <v>4</v>
      </c>
      <c r="B3" s="10" t="s">
        <v>5</v>
      </c>
      <c r="C3" s="10" t="s">
        <v>6</v>
      </c>
      <c r="D3" s="10" t="s">
        <v>7</v>
      </c>
      <c r="E3" s="11" t="s">
        <v>8</v>
      </c>
      <c r="H3" s="10" t="s">
        <v>9</v>
      </c>
      <c r="I3" s="12" t="s">
        <v>10</v>
      </c>
      <c r="J3" s="13" t="s">
        <v>11</v>
      </c>
      <c r="K3" s="14" t="s">
        <v>12</v>
      </c>
      <c r="L3" s="15" t="s">
        <v>13</v>
      </c>
    </row>
    <row r="4">
      <c r="E4" s="16" t="s">
        <v>14</v>
      </c>
      <c r="F4" s="16" t="s">
        <v>15</v>
      </c>
      <c r="G4" s="16" t="s">
        <v>16</v>
      </c>
    </row>
    <row r="5" ht="3.75" customHeight="1">
      <c r="A5" s="17">
        <f>IFERROR(__xludf.DUMMYFUNCTION("QUERY(Floor_data!$A$2:$L$315,""select A,B,C,D,E,F,G,H,I,J,K,L where B=0 or B=""&amp;$D$1&amp;"""")"),41.0)</f>
        <v>41</v>
      </c>
      <c r="B5" s="18">
        <f>IFERROR(__xludf.DUMMYFUNCTION("""COMPUTED_VALUE"""),0.0)</f>
        <v>0</v>
      </c>
      <c r="C5" s="19" t="str">
        <f>IFERROR(__xludf.DUMMYFUNCTION("""COMPUTED_VALUE"""),"Chojo")</f>
        <v>Chojo</v>
      </c>
      <c r="D5" s="18"/>
      <c r="E5" s="18"/>
      <c r="F5" s="18"/>
      <c r="G5" s="18"/>
      <c r="H5" s="18" t="str">
        <f>IFERROR(__xludf.DUMMYFUNCTION("""COMPUTED_VALUE"""),"×")</f>
        <v>×</v>
      </c>
      <c r="I5" s="18"/>
      <c r="J5" s="18"/>
      <c r="K5" s="18"/>
      <c r="L5" s="20" t="str">
        <f>IFERROR(__xludf.DUMMYFUNCTION("""COMPUTED_VALUE"""),"Final floor of the main game.")</f>
        <v>Final floor of the main game.</v>
      </c>
    </row>
    <row r="6" ht="3.75" customHeight="1">
      <c r="A6" s="17">
        <f>IFERROR(__xludf.DUMMYFUNCTION("""COMPUTED_VALUE"""),40.0)</f>
        <v>40</v>
      </c>
      <c r="B6" s="18">
        <f>IFERROR(__xludf.DUMMYFUNCTION("""COMPUTED_VALUE"""),0.0)</f>
        <v>0</v>
      </c>
      <c r="C6" s="19" t="str">
        <f>IFERROR(__xludf.DUMMYFUNCTION("""COMPUTED_VALUE"""),"Futagi")</f>
        <v>Futagi</v>
      </c>
      <c r="D6" s="18" t="str">
        <f>IFERROR(__xludf.DUMMYFUNCTION("""COMPUTED_VALUE"""),"M")</f>
        <v>M</v>
      </c>
      <c r="E6" s="18"/>
      <c r="F6" s="18">
        <f>IFERROR(__xludf.DUMMYFUNCTION("""COMPUTED_VALUE"""),4.6)</f>
        <v>4.6</v>
      </c>
      <c r="G6" s="18" t="str">
        <f>IFERROR(__xludf.DUMMYFUNCTION("""COMPUTED_VALUE"""),"●")</f>
        <v>●</v>
      </c>
      <c r="H6" s="18" t="str">
        <f>IFERROR(__xludf.DUMMYFUNCTION("""COMPUTED_VALUE"""),"×")</f>
        <v>×</v>
      </c>
      <c r="I6" s="18"/>
      <c r="J6" s="18" t="str">
        <f>IFERROR(__xludf.DUMMYFUNCTION("""COMPUTED_VALUE"""),"MILK Red")</f>
        <v>MILK Red</v>
      </c>
      <c r="K6" s="18"/>
      <c r="L6" s="20" t="str">
        <f>IFERROR(__xludf.DUMMYFUNCTION("""COMPUTED_VALUE"""),"BOSS: Taro Gunkanyama. Must kill 38F JIN-DIE to unlock the floor.")</f>
        <v>BOSS: Taro Gunkanyama. Must kill 38F JIN-DIE to unlock the floor.</v>
      </c>
    </row>
    <row r="7" ht="3.75" customHeight="1">
      <c r="A7" s="17">
        <f>IFERROR(__xludf.DUMMYFUNCTION("""COMPUTED_VALUE"""),39.0)</f>
        <v>39</v>
      </c>
      <c r="B7" s="18">
        <f>IFERROR(__xludf.DUMMYFUNCTION("""COMPUTED_VALUE"""),0.0)</f>
        <v>0</v>
      </c>
      <c r="C7" s="19" t="str">
        <f>IFERROR(__xludf.DUMMYFUNCTION("""COMPUTED_VALUE"""),"Nakasaki")</f>
        <v>Nakasaki</v>
      </c>
      <c r="D7" s="18" t="str">
        <f>IFERROR(__xludf.DUMMYFUNCTION("""COMPUTED_VALUE"""),"M")</f>
        <v>M</v>
      </c>
      <c r="E7" s="18"/>
      <c r="F7" s="18"/>
      <c r="G7" s="18"/>
      <c r="H7" s="18" t="str">
        <f>IFERROR(__xludf.DUMMYFUNCTION("""COMPUTED_VALUE"""),"Iron")</f>
        <v>Iron</v>
      </c>
      <c r="I7" s="18"/>
      <c r="J7" s="18"/>
      <c r="K7" s="18"/>
      <c r="L7" s="20"/>
    </row>
    <row r="8" ht="3.75" customHeight="1">
      <c r="A8" s="17">
        <f>IFERROR(__xludf.DUMMYFUNCTION("""COMPUTED_VALUE"""),39.0)</f>
        <v>39</v>
      </c>
      <c r="B8" s="18">
        <f>IFERROR(__xludf.DUMMYFUNCTION("""COMPUTED_VALUE"""),0.0)</f>
        <v>0</v>
      </c>
      <c r="C8" s="19" t="str">
        <f>IFERROR(__xludf.DUMMYFUNCTION("""COMPUTED_VALUE"""),"Haratsuka")</f>
        <v>Haratsuka</v>
      </c>
      <c r="D8" s="18"/>
      <c r="E8" s="18"/>
      <c r="F8" s="18">
        <f>IFERROR(__xludf.DUMMYFUNCTION("""COMPUTED_VALUE"""),4.5)</f>
        <v>4.5</v>
      </c>
      <c r="G8" s="18"/>
      <c r="H8" s="18" t="str">
        <f>IFERROR(__xludf.DUMMYFUNCTION("""COMPUTED_VALUE"""),"Oil")</f>
        <v>Oil</v>
      </c>
      <c r="I8" s="18" t="str">
        <f>IFERROR(__xludf.DUMMYFUNCTION("""COMPUTED_VALUE"""),"G")</f>
        <v>G</v>
      </c>
      <c r="J8" s="18"/>
      <c r="K8" s="18"/>
      <c r="L8" s="20" t="str">
        <f>IFERROR(__xludf.DUMMYFUNCTION("""COMPUTED_VALUE"""),"Gyakufunsha can appear. Three Mk-5 Bullet Tubers.")</f>
        <v>Gyakufunsha can appear. Three Mk-5 Bullet Tubers.</v>
      </c>
    </row>
    <row r="9" ht="3.75" customHeight="1">
      <c r="A9" s="17">
        <f>IFERROR(__xludf.DUMMYFUNCTION("""COMPUTED_VALUE"""),39.0)</f>
        <v>39</v>
      </c>
      <c r="B9" s="18">
        <f>IFERROR(__xludf.DUMMYFUNCTION("""COMPUTED_VALUE"""),5.0)</f>
        <v>5</v>
      </c>
      <c r="C9" s="19" t="str">
        <f>IFERROR(__xludf.DUMMYFUNCTION("""COMPUTED_VALUE"""),"Miketa")</f>
        <v>Miketa</v>
      </c>
      <c r="D9" s="18"/>
      <c r="E9" s="18"/>
      <c r="F9" s="18"/>
      <c r="G9" s="18" t="str">
        <f>IFERROR(__xludf.DUMMYFUNCTION("""COMPUTED_VALUE"""),"●")</f>
        <v>●</v>
      </c>
      <c r="H9" s="18" t="str">
        <f>IFERROR(__xludf.DUMMYFUNCTION("""COMPUTED_VALUE"""),"Copper")</f>
        <v>Copper</v>
      </c>
      <c r="I9" s="18"/>
      <c r="J9" s="18"/>
      <c r="K9" s="18"/>
      <c r="L9" s="20" t="str">
        <f>IFERROR(__xludf.DUMMYFUNCTION("""COMPUTED_VALUE"""),"One Mk-5 Bullet Tuber.")</f>
        <v>One Mk-5 Bullet Tuber.</v>
      </c>
    </row>
    <row r="10" ht="3.75" customHeight="1">
      <c r="A10" s="17">
        <f>IFERROR(__xludf.DUMMYFUNCTION("""COMPUTED_VALUE"""),38.0)</f>
        <v>38</v>
      </c>
      <c r="B10" s="18">
        <f>IFERROR(__xludf.DUMMYFUNCTION("""COMPUTED_VALUE"""),0.0)</f>
        <v>0</v>
      </c>
      <c r="C10" s="19" t="str">
        <f>IFERROR(__xludf.DUMMYFUNCTION("""COMPUTED_VALUE"""),"Yataka-Cho")</f>
        <v>Yataka-Cho</v>
      </c>
      <c r="D10" s="18"/>
      <c r="E10" s="18"/>
      <c r="F10" s="18"/>
      <c r="G10" s="18"/>
      <c r="H10" s="18" t="str">
        <f>IFERROR(__xludf.DUMMYFUNCTION("""COMPUTED_VALUE"""),"Fiber")</f>
        <v>Fiber</v>
      </c>
      <c r="I10" s="18"/>
      <c r="J10" s="18"/>
      <c r="K10" s="18" t="str">
        <f>IFERROR(__xludf.DUMMYFUNCTION("""COMPUTED_VALUE"""),"Red")</f>
        <v>Red</v>
      </c>
      <c r="L10" s="20" t="str">
        <f>IFERROR(__xludf.DUMMYFUNCTION("""COMPUTED_VALUE"""),"TRAP: Red or Black Metals. Five Screamers one after another.")</f>
        <v>TRAP: Red or Black Metals. Five Screamers one after another.</v>
      </c>
    </row>
    <row r="11" ht="3.75" customHeight="1">
      <c r="A11" s="17">
        <f>IFERROR(__xludf.DUMMYFUNCTION("""COMPUTED_VALUE"""),38.0)</f>
        <v>38</v>
      </c>
      <c r="B11" s="18">
        <f>IFERROR(__xludf.DUMMYFUNCTION("""COMPUTED_VALUE"""),0.0)</f>
        <v>0</v>
      </c>
      <c r="C11" s="19" t="str">
        <f>IFERROR(__xludf.DUMMYFUNCTION("""COMPUTED_VALUE"""),"Ebata")</f>
        <v>Ebata</v>
      </c>
      <c r="D11" s="18"/>
      <c r="E11" s="18"/>
      <c r="F11" s="18">
        <f>IFERROR(__xludf.DUMMYFUNCTION("""COMPUTED_VALUE"""),4.4)</f>
        <v>4.4</v>
      </c>
      <c r="G11" s="18"/>
      <c r="H11" s="18" t="str">
        <f>IFERROR(__xludf.DUMMYFUNCTION("""COMPUTED_VALUE"""),"Aluminum")</f>
        <v>Aluminum</v>
      </c>
      <c r="I11" s="18"/>
      <c r="J11" s="18" t="str">
        <f>IFERROR(__xludf.DUMMYFUNCTION("""COMPUTED_VALUE"""),"WE Red")</f>
        <v>WE Red</v>
      </c>
      <c r="K11" s="18"/>
      <c r="L11" s="20" t="str">
        <f>IFERROR(__xludf.DUMMYFUNCTION("""COMPUTED_VALUE"""),"BOSS: JIN-DIE. Drops War Ensemble Red Metal. Two Mk-5 Bullet Tubers.")</f>
        <v>BOSS: JIN-DIE. Drops War Ensemble Red Metal. Two Mk-5 Bullet Tubers.</v>
      </c>
    </row>
    <row r="12" ht="3.75" customHeight="1">
      <c r="A12" s="17">
        <f>IFERROR(__xludf.DUMMYFUNCTION("""COMPUTED_VALUE"""),38.0)</f>
        <v>38</v>
      </c>
      <c r="B12" s="18">
        <f>IFERROR(__xludf.DUMMYFUNCTION("""COMPUTED_VALUE"""),5.0)</f>
        <v>5</v>
      </c>
      <c r="C12" s="19" t="str">
        <f>IFERROR(__xludf.DUMMYFUNCTION("""COMPUTED_VALUE"""),"Himokawa")</f>
        <v>Himokawa</v>
      </c>
      <c r="D12" s="18"/>
      <c r="E12" s="18"/>
      <c r="F12" s="18"/>
      <c r="G12" s="18"/>
      <c r="H12" s="18" t="str">
        <f>IFERROR(__xludf.DUMMYFUNCTION("""COMPUTED_VALUE"""),"Oil")</f>
        <v>Oil</v>
      </c>
      <c r="I12" s="18"/>
      <c r="J12" s="18"/>
      <c r="K12" s="18"/>
      <c r="L12" s="20" t="str">
        <f>IFERROR(__xludf.DUMMYFUNCTION("""COMPUTED_VALUE"""),"Four Mk-5 Bullet, two Mk-5 Bone Tubers. Locked coming from Yatsuo Unlock from Nakaeda")</f>
        <v>Four Mk-5 Bullet, two Mk-5 Bone Tubers. Locked coming from Yatsuo Unlock from Nakaeda</v>
      </c>
    </row>
    <row r="13" ht="3.75" customHeight="1">
      <c r="A13" s="17">
        <f>IFERROR(__xludf.DUMMYFUNCTION("""COMPUTED_VALUE"""),37.0)</f>
        <v>37</v>
      </c>
      <c r="B13" s="18">
        <f>IFERROR(__xludf.DUMMYFUNCTION("""COMPUTED_VALUE"""),0.0)</f>
        <v>0</v>
      </c>
      <c r="C13" s="19" t="str">
        <f>IFERROR(__xludf.DUMMYFUNCTION("""COMPUTED_VALUE"""),"Hiromatsu")</f>
        <v>Hiromatsu</v>
      </c>
      <c r="D13" s="18" t="str">
        <f>IFERROR(__xludf.DUMMYFUNCTION("""COMPUTED_VALUE"""),"M")</f>
        <v>M</v>
      </c>
      <c r="E13" s="18"/>
      <c r="F13" s="18">
        <f>IFERROR(__xludf.DUMMYFUNCTION("""COMPUTED_VALUE"""),4.3)</f>
        <v>4.3</v>
      </c>
      <c r="G13" s="18"/>
      <c r="H13" s="18" t="str">
        <f>IFERROR(__xludf.DUMMYFUNCTION("""COMPUTED_VALUE"""),"All")</f>
        <v>All</v>
      </c>
      <c r="I13" s="18"/>
      <c r="J13" s="18"/>
      <c r="K13" s="18"/>
      <c r="L13" s="20" t="str">
        <f>IFERROR(__xludf.DUMMYFUNCTION("""COMPUTED_VALUE"""),"Must unlock from 36F Itanodai.")</f>
        <v>Must unlock from 36F Itanodai.</v>
      </c>
    </row>
    <row r="14" ht="3.75" customHeight="1">
      <c r="A14" s="17">
        <f>IFERROR(__xludf.DUMMYFUNCTION("""COMPUTED_VALUE"""),37.0)</f>
        <v>37</v>
      </c>
      <c r="B14" s="18">
        <f>IFERROR(__xludf.DUMMYFUNCTION("""COMPUTED_VALUE"""),0.0)</f>
        <v>0</v>
      </c>
      <c r="C14" s="19" t="str">
        <f>IFERROR(__xludf.DUMMYFUNCTION("""COMPUTED_VALUE"""),"Mitsuba")</f>
        <v>Mitsuba</v>
      </c>
      <c r="D14" s="18"/>
      <c r="E14" s="18"/>
      <c r="F14" s="18"/>
      <c r="G14" s="18"/>
      <c r="H14" s="18" t="str">
        <f>IFERROR(__xludf.DUMMYFUNCTION("""COMPUTED_VALUE"""),"Oil")</f>
        <v>Oil</v>
      </c>
      <c r="I14" s="18"/>
      <c r="J14" s="18"/>
      <c r="K14" s="18"/>
      <c r="L14" s="20"/>
    </row>
    <row r="15" ht="3.75" customHeight="1">
      <c r="A15" s="17">
        <f>IFERROR(__xludf.DUMMYFUNCTION("""COMPUTED_VALUE"""),36.0)</f>
        <v>36</v>
      </c>
      <c r="B15" s="18">
        <f>IFERROR(__xludf.DUMMYFUNCTION("""COMPUTED_VALUE"""),0.0)</f>
        <v>0</v>
      </c>
      <c r="C15" s="19" t="str">
        <f>IFERROR(__xludf.DUMMYFUNCTION("""COMPUTED_VALUE"""),"Yatsuo")</f>
        <v>Yatsuo</v>
      </c>
      <c r="D15" s="18" t="str">
        <f>IFERROR(__xludf.DUMMYFUNCTION("""COMPUTED_VALUE"""),"M")</f>
        <v>M</v>
      </c>
      <c r="E15" s="18">
        <f>IFERROR(__xludf.DUMMYFUNCTION("""COMPUTED_VALUE"""),8.0)</f>
        <v>8</v>
      </c>
      <c r="F15" s="18"/>
      <c r="G15" s="18" t="str">
        <f>IFERROR(__xludf.DUMMYFUNCTION("""COMPUTED_VALUE"""),"●")</f>
        <v>●</v>
      </c>
      <c r="H15" s="18" t="str">
        <f>IFERROR(__xludf.DUMMYFUNCTION("""COMPUTED_VALUE"""),"All")</f>
        <v>All</v>
      </c>
      <c r="I15" s="18"/>
      <c r="J15" s="18"/>
      <c r="K15" s="18"/>
      <c r="L15" s="20" t="str">
        <f>IFERROR(__xludf.DUMMYFUNCTION("""COMPUTED_VALUE"""),"Only properly connects to 35F Wakaba on Monday.")</f>
        <v>Only properly connects to 35F Wakaba on Monday.</v>
      </c>
    </row>
    <row r="16" ht="3.75" customHeight="1">
      <c r="A16" s="17">
        <f>IFERROR(__xludf.DUMMYFUNCTION("""COMPUTED_VALUE"""),36.0)</f>
        <v>36</v>
      </c>
      <c r="B16" s="18">
        <f>IFERROR(__xludf.DUMMYFUNCTION("""COMPUTED_VALUE"""),0.0)</f>
        <v>0</v>
      </c>
      <c r="C16" s="19" t="str">
        <f>IFERROR(__xludf.DUMMYFUNCTION("""COMPUTED_VALUE"""),"Itanodai")</f>
        <v>Itanodai</v>
      </c>
      <c r="D16" s="18"/>
      <c r="E16" s="18"/>
      <c r="F16" s="18">
        <f>IFERROR(__xludf.DUMMYFUNCTION("""COMPUTED_VALUE"""),4.2)</f>
        <v>4.2</v>
      </c>
      <c r="G16" s="18"/>
      <c r="H16" s="18" t="str">
        <f>IFERROR(__xludf.DUMMYFUNCTION("""COMPUTED_VALUE"""),"Wood")</f>
        <v>Wood</v>
      </c>
      <c r="I16" s="18"/>
      <c r="J16" s="18" t="str">
        <f>IFERROR(__xludf.DUMMYFUNCTION("""COMPUTED_VALUE"""),"CW Red ")</f>
        <v>CW Red </v>
      </c>
      <c r="K16" s="18"/>
      <c r="L16" s="20" t="str">
        <f>IFERROR(__xludf.DUMMYFUNCTION("""COMPUTED_VALUE"""),"BOSS: GOTO-9. Drops Candle Wolf Red Metal.")</f>
        <v>BOSS: GOTO-9. Drops Candle Wolf Red Metal.</v>
      </c>
    </row>
    <row r="17" ht="3.75" customHeight="1">
      <c r="A17" s="17">
        <f>IFERROR(__xludf.DUMMYFUNCTION("""COMPUTED_VALUE"""),36.0)</f>
        <v>36</v>
      </c>
      <c r="B17" s="18">
        <f>IFERROR(__xludf.DUMMYFUNCTION("""COMPUTED_VALUE"""),0.0)</f>
        <v>0</v>
      </c>
      <c r="C17" s="19" t="str">
        <f>IFERROR(__xludf.DUMMYFUNCTION("""COMPUTED_VALUE"""),"Hiranuma")</f>
        <v>Hiranuma</v>
      </c>
      <c r="D17" s="18"/>
      <c r="E17" s="18"/>
      <c r="F17" s="18"/>
      <c r="G17" s="18"/>
      <c r="H17" s="18" t="str">
        <f>IFERROR(__xludf.DUMMYFUNCTION("""COMPUTED_VALUE"""),"Copper")</f>
        <v>Copper</v>
      </c>
      <c r="I17" s="18"/>
      <c r="J17" s="18"/>
      <c r="K17" s="18"/>
      <c r="L17" s="20"/>
    </row>
    <row r="18" ht="3.75" customHeight="1">
      <c r="A18" s="17">
        <f>IFERROR(__xludf.DUMMYFUNCTION("""COMPUTED_VALUE"""),35.0)</f>
        <v>35</v>
      </c>
      <c r="B18" s="18">
        <f>IFERROR(__xludf.DUMMYFUNCTION("""COMPUTED_VALUE"""),0.0)</f>
        <v>0</v>
      </c>
      <c r="C18" s="19" t="str">
        <f>IFERROR(__xludf.DUMMYFUNCTION("""COMPUTED_VALUE"""),"Shina-Yama")</f>
        <v>Shina-Yama</v>
      </c>
      <c r="D18" s="18"/>
      <c r="E18" s="18"/>
      <c r="F18" s="18">
        <f>IFERROR(__xludf.DUMMYFUNCTION("""COMPUTED_VALUE"""),4.1)</f>
        <v>4.1</v>
      </c>
      <c r="G18" s="18"/>
      <c r="H18" s="18" t="str">
        <f>IFERROR(__xludf.DUMMYFUNCTION("""COMPUTED_VALUE"""),"Aluminum")</f>
        <v>Aluminum</v>
      </c>
      <c r="I18" s="18"/>
      <c r="J18" s="18"/>
      <c r="K18" s="18"/>
      <c r="L18" s="20" t="str">
        <f>IFERROR(__xludf.DUMMYFUNCTION("""COMPUTED_VALUE"""),"Must unlock from 34F Nitanda.")</f>
        <v>Must unlock from 34F Nitanda.</v>
      </c>
    </row>
    <row r="19" ht="3.75" customHeight="1">
      <c r="A19" s="17">
        <f>IFERROR(__xludf.DUMMYFUNCTION("""COMPUTED_VALUE"""),35.0)</f>
        <v>35</v>
      </c>
      <c r="B19" s="18">
        <f>IFERROR(__xludf.DUMMYFUNCTION("""COMPUTED_VALUE"""),0.0)</f>
        <v>0</v>
      </c>
      <c r="C19" s="19" t="str">
        <f>IFERROR(__xludf.DUMMYFUNCTION("""COMPUTED_VALUE"""),"Wakaba")</f>
        <v>Wakaba</v>
      </c>
      <c r="D19" s="18"/>
      <c r="E19" s="18">
        <f>IFERROR(__xludf.DUMMYFUNCTION("""COMPUTED_VALUE"""),7.0)</f>
        <v>7</v>
      </c>
      <c r="F19" s="18"/>
      <c r="G19" s="18" t="str">
        <f>IFERROR(__xludf.DUMMYFUNCTION("""COMPUTED_VALUE"""),"●")</f>
        <v>●</v>
      </c>
      <c r="H19" s="18" t="str">
        <f>IFERROR(__xludf.DUMMYFUNCTION("""COMPUTED_VALUE"""),"Iron")</f>
        <v>Iron</v>
      </c>
      <c r="I19" s="18"/>
      <c r="J19" s="18"/>
      <c r="K19" s="18" t="str">
        <f>IFERROR(__xludf.DUMMYFUNCTION("""COMPUTED_VALUE"""),"Red")</f>
        <v>Red</v>
      </c>
      <c r="L19" s="20" t="str">
        <f>IFERROR(__xludf.DUMMYFUNCTION("""COMPUTED_VALUE"""),"TRAP: Red or Black Metals. 4 Mk-5 Scratch, Mk-5 Hover, a Screamer.
Gate in the garden locks automatically; cannot approach from Nagazaka/Sengoku.")</f>
        <v>TRAP: Red or Black Metals. 4 Mk-5 Scratch, Mk-5 Hover, a Screamer.
Gate in the garden locks automatically; cannot approach from Nagazaka/Sengoku.</v>
      </c>
    </row>
    <row r="20" ht="3.75" customHeight="1">
      <c r="A20" s="17">
        <f>IFERROR(__xludf.DUMMYFUNCTION("""COMPUTED_VALUE"""),35.0)</f>
        <v>35</v>
      </c>
      <c r="B20" s="18">
        <f>IFERROR(__xludf.DUMMYFUNCTION("""COMPUTED_VALUE"""),5.0)</f>
        <v>5</v>
      </c>
      <c r="C20" s="19" t="str">
        <f>IFERROR(__xludf.DUMMYFUNCTION("""COMPUTED_VALUE"""),"Nakaeda")</f>
        <v>Nakaeda</v>
      </c>
      <c r="D20" s="18"/>
      <c r="E20" s="18"/>
      <c r="F20" s="18"/>
      <c r="G20" s="18"/>
      <c r="H20" s="18" t="str">
        <f>IFERROR(__xludf.DUMMYFUNCTION("""COMPUTED_VALUE"""),"All")</f>
        <v>All</v>
      </c>
      <c r="I20" s="18"/>
      <c r="J20" s="18"/>
      <c r="K20" s="18"/>
      <c r="L20" s="20" t="str">
        <f>IFERROR(__xludf.DUMMYFUNCTION("""COMPUTED_VALUE"""),"One Mk-4 Bullet Tuber.")</f>
        <v>One Mk-4 Bullet Tuber.</v>
      </c>
    </row>
    <row r="21" ht="3.75" customHeight="1">
      <c r="A21" s="17">
        <f>IFERROR(__xludf.DUMMYFUNCTION("""COMPUTED_VALUE"""),34.0)</f>
        <v>34</v>
      </c>
      <c r="B21" s="18">
        <f>IFERROR(__xludf.DUMMYFUNCTION("""COMPUTED_VALUE"""),0.0)</f>
        <v>0</v>
      </c>
      <c r="C21" s="19" t="str">
        <f>IFERROR(__xludf.DUMMYFUNCTION("""COMPUTED_VALUE"""),"Nitanda")</f>
        <v>Nitanda</v>
      </c>
      <c r="D21" s="18"/>
      <c r="E21" s="18"/>
      <c r="F21" s="18"/>
      <c r="G21" s="18" t="str">
        <f>IFERROR(__xludf.DUMMYFUNCTION("""COMPUTED_VALUE"""),"●")</f>
        <v>●</v>
      </c>
      <c r="H21" s="18" t="str">
        <f>IFERROR(__xludf.DUMMYFUNCTION("""COMPUTED_VALUE"""),"×")</f>
        <v>×</v>
      </c>
      <c r="I21" s="18"/>
      <c r="J21" s="18" t="str">
        <f>IFERROR(__xludf.DUMMYFUNCTION("""COMPUTED_VALUE"""),"DOD Red")</f>
        <v>DOD Red</v>
      </c>
      <c r="K21" s="18"/>
      <c r="L21" s="20" t="str">
        <f>IFERROR(__xludf.DUMMYFUNCTION("""COMPUTED_VALUE"""),"BOSS: COEN. Drops DOD ARMS Red Metal.")</f>
        <v>BOSS: COEN. Drops DOD ARMS Red Metal.</v>
      </c>
    </row>
    <row r="22" ht="3.75" customHeight="1">
      <c r="A22" s="17">
        <f>IFERROR(__xludf.DUMMYFUNCTION("""COMPUTED_VALUE"""),34.0)</f>
        <v>34</v>
      </c>
      <c r="B22" s="18">
        <f>IFERROR(__xludf.DUMMYFUNCTION("""COMPUTED_VALUE"""),5.0)</f>
        <v>5</v>
      </c>
      <c r="C22" s="19" t="str">
        <f>IFERROR(__xludf.DUMMYFUNCTION("""COMPUTED_VALUE"""),"Takayama")</f>
        <v>Takayama</v>
      </c>
      <c r="D22" s="18"/>
      <c r="E22" s="18"/>
      <c r="F22" s="18"/>
      <c r="G22" s="18"/>
      <c r="H22" s="18" t="str">
        <f>IFERROR(__xludf.DUMMYFUNCTION("""COMPUTED_VALUE"""),"Aluminum")</f>
        <v>Aluminum</v>
      </c>
      <c r="I22" s="18"/>
      <c r="J22" s="18"/>
      <c r="K22" s="18"/>
      <c r="L22" s="20"/>
    </row>
    <row r="23" ht="3.75" customHeight="1">
      <c r="A23" s="17">
        <f>IFERROR(__xludf.DUMMYFUNCTION("""COMPUTED_VALUE"""),34.0)</f>
        <v>34</v>
      </c>
      <c r="B23" s="18">
        <f>IFERROR(__xludf.DUMMYFUNCTION("""COMPUTED_VALUE"""),5.0)</f>
        <v>5</v>
      </c>
      <c r="C23" s="19" t="str">
        <f>IFERROR(__xludf.DUMMYFUNCTION("""COMPUTED_VALUE"""),"Sengoku")</f>
        <v>Sengoku</v>
      </c>
      <c r="D23" s="18"/>
      <c r="E23" s="18"/>
      <c r="F23" s="18"/>
      <c r="G23" s="18"/>
      <c r="H23" s="18" t="str">
        <f>IFERROR(__xludf.DUMMYFUNCTION("""COMPUTED_VALUE"""),"Wood")</f>
        <v>Wood</v>
      </c>
      <c r="I23" s="18"/>
      <c r="J23" s="18"/>
      <c r="K23" s="18"/>
      <c r="L23" s="20"/>
    </row>
    <row r="24" ht="3.75" customHeight="1">
      <c r="A24" s="17">
        <f>IFERROR(__xludf.DUMMYFUNCTION("""COMPUTED_VALUE"""),33.0)</f>
        <v>33</v>
      </c>
      <c r="B24" s="18">
        <f>IFERROR(__xludf.DUMMYFUNCTION("""COMPUTED_VALUE"""),0.0)</f>
        <v>0</v>
      </c>
      <c r="C24" s="19" t="str">
        <f>IFERROR(__xludf.DUMMYFUNCTION("""COMPUTED_VALUE"""),"Togose")</f>
        <v>Togose</v>
      </c>
      <c r="D24" s="18" t="str">
        <f>IFERROR(__xludf.DUMMYFUNCTION("""COMPUTED_VALUE"""),"M")</f>
        <v>M</v>
      </c>
      <c r="E24" s="18"/>
      <c r="F24" s="18"/>
      <c r="G24" s="18"/>
      <c r="H24" s="18" t="str">
        <f>IFERROR(__xludf.DUMMYFUNCTION("""COMPUTED_VALUE"""),"All")</f>
        <v>All</v>
      </c>
      <c r="I24" s="18"/>
      <c r="J24" s="18"/>
      <c r="K24" s="18"/>
      <c r="L24" s="20"/>
    </row>
    <row r="25" ht="1.5" customHeight="1">
      <c r="A25" s="17">
        <f>IFERROR(__xludf.DUMMYFUNCTION("""COMPUTED_VALUE"""),33.0)</f>
        <v>33</v>
      </c>
      <c r="B25" s="18">
        <f>IFERROR(__xludf.DUMMYFUNCTION("""COMPUTED_VALUE"""),0.0)</f>
        <v>0</v>
      </c>
      <c r="C25" s="19" t="str">
        <f>IFERROR(__xludf.DUMMYFUNCTION("""COMPUTED_VALUE"""),"Uchinobu")</f>
        <v>Uchinobu</v>
      </c>
      <c r="D25" s="18"/>
      <c r="E25" s="18"/>
      <c r="F25" s="18"/>
      <c r="G25" s="18"/>
      <c r="H25" s="18" t="str">
        <f>IFERROR(__xludf.DUMMYFUNCTION("""COMPUTED_VALUE"""),"Fiber")</f>
        <v>Fiber</v>
      </c>
      <c r="I25" s="18" t="str">
        <f>IFERROR(__xludf.DUMMYFUNCTION("""COMPUTED_VALUE"""),"G")</f>
        <v>G</v>
      </c>
      <c r="J25" s="18"/>
      <c r="K25" s="18"/>
      <c r="L25" s="20"/>
    </row>
    <row r="26" ht="1.5" customHeight="1">
      <c r="A26" s="17">
        <f>IFERROR(__xludf.DUMMYFUNCTION("""COMPUTED_VALUE"""),33.0)</f>
        <v>33</v>
      </c>
      <c r="B26" s="18">
        <f>IFERROR(__xludf.DUMMYFUNCTION("""COMPUTED_VALUE"""),5.0)</f>
        <v>5</v>
      </c>
      <c r="C26" s="19" t="str">
        <f>IFERROR(__xludf.DUMMYFUNCTION("""COMPUTED_VALUE"""),"Miraigaoka")</f>
        <v>Miraigaoka</v>
      </c>
      <c r="D26" s="18"/>
      <c r="E26" s="18"/>
      <c r="F26" s="18"/>
      <c r="G26" s="18"/>
      <c r="H26" s="18" t="str">
        <f>IFERROR(__xludf.DUMMYFUNCTION("""COMPUTED_VALUE"""),"Iron")</f>
        <v>Iron</v>
      </c>
      <c r="I26" s="18"/>
      <c r="J26" s="18"/>
      <c r="K26" s="18"/>
      <c r="L26" s="20" t="str">
        <f>IFERROR(__xludf.DUMMYFUNCTION("""COMPUTED_VALUE"""),"One Mk-5 Bullet Tuber. Unlock from 31F Obara.")</f>
        <v>One Mk-5 Bullet Tuber. Unlock from 31F Obara.</v>
      </c>
    </row>
    <row r="27" ht="1.5" customHeight="1">
      <c r="A27" s="17">
        <f>IFERROR(__xludf.DUMMYFUNCTION("""COMPUTED_VALUE"""),32.0)</f>
        <v>32</v>
      </c>
      <c r="B27" s="18">
        <f>IFERROR(__xludf.DUMMYFUNCTION("""COMPUTED_VALUE"""),0.0)</f>
        <v>0</v>
      </c>
      <c r="C27" s="19" t="str">
        <f>IFERROR(__xludf.DUMMYFUNCTION("""COMPUTED_VALUE"""),"Koshi-Yama")</f>
        <v>Koshi-Yama</v>
      </c>
      <c r="D27" s="18"/>
      <c r="E27" s="18"/>
      <c r="F27" s="18"/>
      <c r="G27" s="18"/>
      <c r="H27" s="18" t="str">
        <f>IFERROR(__xludf.DUMMYFUNCTION("""COMPUTED_VALUE"""),"Iron")</f>
        <v>Iron</v>
      </c>
      <c r="I27" s="18"/>
      <c r="J27" s="18"/>
      <c r="K27" s="18" t="str">
        <f>IFERROR(__xludf.DUMMYFUNCTION("""COMPUTED_VALUE"""),"Red")</f>
        <v>Red</v>
      </c>
      <c r="L27" s="20" t="str">
        <f>IFERROR(__xludf.DUMMYFUNCTION("""COMPUTED_VALUE"""),"TRAP: Red or Black Metals. Mk-4 Bone Tuber, two Screamers. Unlock from 33F Uchinobu.")</f>
        <v>TRAP: Red or Black Metals. Mk-4 Bone Tuber, two Screamers. Unlock from 33F Uchinobu.</v>
      </c>
    </row>
    <row r="28" ht="1.5" customHeight="1">
      <c r="A28" s="17">
        <f>IFERROR(__xludf.DUMMYFUNCTION("""COMPUTED_VALUE"""),32.0)</f>
        <v>32</v>
      </c>
      <c r="B28" s="18">
        <f>IFERROR(__xludf.DUMMYFUNCTION("""COMPUTED_VALUE"""),0.0)</f>
        <v>0</v>
      </c>
      <c r="C28" s="19" t="str">
        <f>IFERROR(__xludf.DUMMYFUNCTION("""COMPUTED_VALUE"""),"Katsuma")</f>
        <v>Katsuma</v>
      </c>
      <c r="D28" s="18"/>
      <c r="E28" s="18"/>
      <c r="F28" s="18"/>
      <c r="G28" s="18" t="str">
        <f>IFERROR(__xludf.DUMMYFUNCTION("""COMPUTED_VALUE"""),"●")</f>
        <v>●</v>
      </c>
      <c r="H28" s="18" t="str">
        <f>IFERROR(__xludf.DUMMYFUNCTION("""COMPUTED_VALUE"""),"Oil")</f>
        <v>Oil</v>
      </c>
      <c r="I28" s="18"/>
      <c r="J28" s="18" t="str">
        <f>IFERROR(__xludf.DUMMYFUNCTION("""COMPUTED_VALUE"""),"MILK Red")</f>
        <v>MILK Red</v>
      </c>
      <c r="K28" s="18"/>
      <c r="L28" s="20" t="str">
        <f>IFERROR(__xludf.DUMMYFUNCTION("""COMPUTED_VALUE"""),"BOSS: U-10. Drops MILK Red Metal.")</f>
        <v>BOSS: U-10. Drops MILK Red Metal.</v>
      </c>
    </row>
    <row r="29" ht="1.5" customHeight="1">
      <c r="A29" s="17">
        <f>IFERROR(__xludf.DUMMYFUNCTION("""COMPUTED_VALUE"""),32.0)</f>
        <v>32</v>
      </c>
      <c r="B29" s="18">
        <f>IFERROR(__xludf.DUMMYFUNCTION("""COMPUTED_VALUE"""),0.0)</f>
        <v>0</v>
      </c>
      <c r="C29" s="19" t="str">
        <f>IFERROR(__xludf.DUMMYFUNCTION("""COMPUTED_VALUE"""),"Osuki")</f>
        <v>Osuki</v>
      </c>
      <c r="D29" s="18"/>
      <c r="E29" s="18"/>
      <c r="F29" s="18"/>
      <c r="G29" s="18"/>
      <c r="H29" s="18" t="str">
        <f>IFERROR(__xludf.DUMMYFUNCTION("""COMPUTED_VALUE"""),"Copper")</f>
        <v>Copper</v>
      </c>
      <c r="I29" s="18"/>
      <c r="J29" s="18"/>
      <c r="K29" s="18"/>
      <c r="L29" s="20"/>
    </row>
    <row r="30" ht="1.5" customHeight="1">
      <c r="A30" s="17">
        <f>IFERROR(__xludf.DUMMYFUNCTION("""COMPUTED_VALUE"""),31.0)</f>
        <v>31</v>
      </c>
      <c r="B30" s="18">
        <f>IFERROR(__xludf.DUMMYFUNCTION("""COMPUTED_VALUE"""),0.0)</f>
        <v>0</v>
      </c>
      <c r="C30" s="19" t="str">
        <f>IFERROR(__xludf.DUMMYFUNCTION("""COMPUTED_VALUE"""),"Obara")</f>
        <v>Obara</v>
      </c>
      <c r="D30" s="18" t="str">
        <f>IFERROR(__xludf.DUMMYFUNCTION("""COMPUTED_VALUE"""),"M")</f>
        <v>M</v>
      </c>
      <c r="E30" s="18"/>
      <c r="F30" s="18"/>
      <c r="G30" s="18" t="str">
        <f>IFERROR(__xludf.DUMMYFUNCTION("""COMPUTED_VALUE"""),"●")</f>
        <v>●</v>
      </c>
      <c r="H30" s="18" t="str">
        <f>IFERROR(__xludf.DUMMYFUNCTION("""COMPUTED_VALUE"""),"All")</f>
        <v>All</v>
      </c>
      <c r="I30" s="18"/>
      <c r="J30" s="18"/>
      <c r="K30" s="18"/>
      <c r="L30" s="20"/>
    </row>
    <row r="31" ht="1.5" customHeight="1">
      <c r="A31" s="17">
        <f>IFERROR(__xludf.DUMMYFUNCTION("""COMPUTED_VALUE"""),31.0)</f>
        <v>31</v>
      </c>
      <c r="B31" s="18">
        <f>IFERROR(__xludf.DUMMYFUNCTION("""COMPUTED_VALUE"""),0.0)</f>
        <v>0</v>
      </c>
      <c r="C31" s="19" t="str">
        <f>IFERROR(__xludf.DUMMYFUNCTION("""COMPUTED_VALUE"""),"Koi")</f>
        <v>Koi</v>
      </c>
      <c r="D31" s="18"/>
      <c r="E31" s="18"/>
      <c r="F31" s="18"/>
      <c r="G31" s="18"/>
      <c r="H31" s="18" t="str">
        <f>IFERROR(__xludf.DUMMYFUNCTION("""COMPUTED_VALUE"""),"×")</f>
        <v>×</v>
      </c>
      <c r="I31" s="18"/>
      <c r="J31" s="18"/>
      <c r="K31" s="18"/>
      <c r="L31" s="20" t="str">
        <f>IFERROR(__xludf.DUMMYFUNCTION("""COMPUTED_VALUE"""),"One Mk-4 Reversal Tuber in a dead-end trap room.")</f>
        <v>One Mk-4 Reversal Tuber in a dead-end trap room.</v>
      </c>
    </row>
    <row r="32" ht="1.5" customHeight="1">
      <c r="A32" s="17">
        <f>IFERROR(__xludf.DUMMYFUNCTION("""COMPUTED_VALUE"""),30.0)</f>
        <v>30</v>
      </c>
      <c r="B32" s="18">
        <f>IFERROR(__xludf.DUMMYFUNCTION("""COMPUTED_VALUE"""),0.0)</f>
        <v>0</v>
      </c>
      <c r="C32" s="19" t="str">
        <f>IFERROR(__xludf.DUMMYFUNCTION("""COMPUTED_VALUE"""),"Towada")</f>
        <v>Towada</v>
      </c>
      <c r="D32" s="18"/>
      <c r="E32" s="18"/>
      <c r="F32" s="18"/>
      <c r="G32" s="18"/>
      <c r="H32" s="18" t="str">
        <f>IFERROR(__xludf.DUMMYFUNCTION("""COMPUTED_VALUE"""),"All")</f>
        <v>All</v>
      </c>
      <c r="I32" s="18"/>
      <c r="J32" s="18"/>
      <c r="K32" s="18"/>
      <c r="L32" s="20"/>
    </row>
    <row r="33" ht="1.5" customHeight="1">
      <c r="A33" s="17">
        <f>IFERROR(__xludf.DUMMYFUNCTION("""COMPUTED_VALUE"""),30.0)</f>
        <v>30</v>
      </c>
      <c r="B33" s="18">
        <f>IFERROR(__xludf.DUMMYFUNCTION("""COMPUTED_VALUE"""),5.0)</f>
        <v>5</v>
      </c>
      <c r="C33" s="19" t="str">
        <f>IFERROR(__xludf.DUMMYFUNCTION("""COMPUTED_VALUE"""),"Hikiage")</f>
        <v>Hikiage</v>
      </c>
      <c r="D33" s="18"/>
      <c r="E33" s="18"/>
      <c r="F33" s="18"/>
      <c r="G33" s="18"/>
      <c r="H33" s="18" t="str">
        <f>IFERROR(__xludf.DUMMYFUNCTION("""COMPUTED_VALUE"""),"Copper")</f>
        <v>Copper</v>
      </c>
      <c r="I33" s="18" t="str">
        <f>IFERROR(__xludf.DUMMYFUNCTION("""COMPUTED_VALUE"""),"G")</f>
        <v>G</v>
      </c>
      <c r="J33" s="18"/>
      <c r="K33" s="18"/>
      <c r="L33" s="20"/>
    </row>
    <row r="34" ht="1.5" customHeight="1">
      <c r="A34" s="17">
        <f>IFERROR(__xludf.DUMMYFUNCTION("""COMPUTED_VALUE"""),30.0)</f>
        <v>30</v>
      </c>
      <c r="B34" s="18">
        <f>IFERROR(__xludf.DUMMYFUNCTION("""COMPUTED_VALUE"""),0.0)</f>
        <v>0</v>
      </c>
      <c r="C34" s="19" t="str">
        <f>IFERROR(__xludf.DUMMYFUNCTION("""COMPUTED_VALUE"""),"Saigetsu")</f>
        <v>Saigetsu</v>
      </c>
      <c r="D34" s="18" t="str">
        <f>IFERROR(__xludf.DUMMYFUNCTION("""COMPUTED_VALUE"""),"M")</f>
        <v>M</v>
      </c>
      <c r="E34" s="18"/>
      <c r="F34" s="18">
        <f>IFERROR(__xludf.DUMMYFUNCTION("""COMPUTED_VALUE"""),3.6)</f>
        <v>3.6</v>
      </c>
      <c r="G34" s="18" t="str">
        <f>IFERROR(__xludf.DUMMYFUNCTION("""COMPUTED_VALUE"""),"●")</f>
        <v>●</v>
      </c>
      <c r="H34" s="18" t="str">
        <f>IFERROR(__xludf.DUMMYFUNCTION("""COMPUTED_VALUE"""),"×")</f>
        <v>×</v>
      </c>
      <c r="I34" s="18"/>
      <c r="J34" s="18" t="str">
        <f>IFERROR(__xludf.DUMMYFUNCTION("""COMPUTED_VALUE"""),"CW Black")</f>
        <v>CW Black</v>
      </c>
      <c r="K34" s="18"/>
      <c r="L34" s="20" t="str">
        <f>IFERROR(__xludf.DUMMYFUNCTION("""COMPUTED_VALUE"""),"BOSS: Mr. Crowley.")</f>
        <v>BOSS: Mr. Crowley.</v>
      </c>
    </row>
    <row r="35" ht="1.5" customHeight="1">
      <c r="A35" s="17">
        <f>IFERROR(__xludf.DUMMYFUNCTION("""COMPUTED_VALUE"""),29.0)</f>
        <v>29</v>
      </c>
      <c r="B35" s="18">
        <f>IFERROR(__xludf.DUMMYFUNCTION("""COMPUTED_VALUE"""),0.0)</f>
        <v>0</v>
      </c>
      <c r="C35" s="19" t="str">
        <f>IFERROR(__xludf.DUMMYFUNCTION("""COMPUTED_VALUE"""),"Hashidaka")</f>
        <v>Hashidaka</v>
      </c>
      <c r="D35" s="18"/>
      <c r="E35" s="18"/>
      <c r="F35" s="18">
        <f>IFERROR(__xludf.DUMMYFUNCTION("""COMPUTED_VALUE"""),3.5)</f>
        <v>3.5</v>
      </c>
      <c r="G35" s="18" t="str">
        <f>IFERROR(__xludf.DUMMYFUNCTION("""COMPUTED_VALUE"""),"●")</f>
        <v>●</v>
      </c>
      <c r="H35" s="18" t="str">
        <f>IFERROR(__xludf.DUMMYFUNCTION("""COMPUTED_VALUE"""),"Iron")</f>
        <v>Iron</v>
      </c>
      <c r="I35" s="18"/>
      <c r="J35" s="18"/>
      <c r="K35" s="18"/>
      <c r="L35" s="20" t="str">
        <f>IFERROR(__xludf.DUMMYFUNCTION("""COMPUTED_VALUE"""),"Unlock from 28F Hyakkoku and/or Hyakuda. One Mk-4 Reversal Tuber.")</f>
        <v>Unlock from 28F Hyakkoku and/or Hyakuda. One Mk-4 Reversal Tuber.</v>
      </c>
    </row>
    <row r="36" ht="3.75" customHeight="1">
      <c r="A36" s="17">
        <f>IFERROR(__xludf.DUMMYFUNCTION("""COMPUTED_VALUE"""),29.0)</f>
        <v>29</v>
      </c>
      <c r="B36" s="18">
        <f>IFERROR(__xludf.DUMMYFUNCTION("""COMPUTED_VALUE"""),5.0)</f>
        <v>5</v>
      </c>
      <c r="C36" s="19" t="str">
        <f>IFERROR(__xludf.DUMMYFUNCTION("""COMPUTED_VALUE"""),"Aotobashi")</f>
        <v>Aotobashi</v>
      </c>
      <c r="D36" s="18"/>
      <c r="E36" s="18"/>
      <c r="F36" s="18"/>
      <c r="G36" s="18"/>
      <c r="H36" s="18" t="str">
        <f>IFERROR(__xludf.DUMMYFUNCTION("""COMPUTED_VALUE"""),"Iron")</f>
        <v>Iron</v>
      </c>
      <c r="I36" s="18"/>
      <c r="J36" s="18"/>
      <c r="K36" s="18"/>
      <c r="L36" s="20"/>
    </row>
    <row r="37" ht="3.75" customHeight="1">
      <c r="A37" s="17">
        <f>IFERROR(__xludf.DUMMYFUNCTION("""COMPUTED_VALUE"""),29.0)</f>
        <v>29</v>
      </c>
      <c r="B37" s="18">
        <f>IFERROR(__xludf.DUMMYFUNCTION("""COMPUTED_VALUE"""),5.0)</f>
        <v>5</v>
      </c>
      <c r="C37" s="19" t="str">
        <f>IFERROR(__xludf.DUMMYFUNCTION("""COMPUTED_VALUE"""),"Henke")</f>
        <v>Henke</v>
      </c>
      <c r="D37" s="18"/>
      <c r="E37" s="18"/>
      <c r="F37" s="18"/>
      <c r="G37" s="18"/>
      <c r="H37" s="18" t="str">
        <f>IFERROR(__xludf.DUMMYFUNCTION("""COMPUTED_VALUE"""),"All")</f>
        <v>All</v>
      </c>
      <c r="I37" s="18"/>
      <c r="J37" s="18"/>
      <c r="K37" s="18"/>
      <c r="L37" s="20"/>
    </row>
    <row r="38" ht="3.75" customHeight="1">
      <c r="A38" s="17">
        <f>IFERROR(__xludf.DUMMYFUNCTION("""COMPUTED_VALUE"""),28.0)</f>
        <v>28</v>
      </c>
      <c r="B38" s="18">
        <f>IFERROR(__xludf.DUMMYFUNCTION("""COMPUTED_VALUE"""),0.0)</f>
        <v>0</v>
      </c>
      <c r="C38" s="19" t="str">
        <f>IFERROR(__xludf.DUMMYFUNCTION("""COMPUTED_VALUE"""),"Hyakkoku")</f>
        <v>Hyakkoku</v>
      </c>
      <c r="D38" s="18"/>
      <c r="E38" s="18"/>
      <c r="F38" s="18"/>
      <c r="G38" s="18"/>
      <c r="H38" s="18" t="str">
        <f>IFERROR(__xludf.DUMMYFUNCTION("""COMPUTED_VALUE"""),"All")</f>
        <v>All</v>
      </c>
      <c r="I38" s="18"/>
      <c r="J38" s="18"/>
      <c r="K38" s="18" t="str">
        <f>IFERROR(__xludf.DUMMYFUNCTION("""COMPUTED_VALUE"""),"Black")</f>
        <v>Black</v>
      </c>
      <c r="L38" s="20" t="str">
        <f>IFERROR(__xludf.DUMMYFUNCTION("""COMPUTED_VALUE"""),"TRAP: Black or Green Metals. Four Mk-4 Scratch, one Mk-4 Hover, spear Screamer.")</f>
        <v>TRAP: Black or Green Metals. Four Mk-4 Scratch, one Mk-4 Hover, spear Screamer.</v>
      </c>
    </row>
    <row r="39" ht="3.75" customHeight="1">
      <c r="A39" s="17">
        <f>IFERROR(__xludf.DUMMYFUNCTION("""COMPUTED_VALUE"""),28.0)</f>
        <v>28</v>
      </c>
      <c r="B39" s="18">
        <f>IFERROR(__xludf.DUMMYFUNCTION("""COMPUTED_VALUE"""),0.0)</f>
        <v>0</v>
      </c>
      <c r="C39" s="19" t="str">
        <f>IFERROR(__xludf.DUMMYFUNCTION("""COMPUTED_VALUE"""),"Hyakuda")</f>
        <v>Hyakuda</v>
      </c>
      <c r="D39" s="18"/>
      <c r="E39" s="18"/>
      <c r="F39" s="18"/>
      <c r="G39" s="18" t="str">
        <f>IFERROR(__xludf.DUMMYFUNCTION("""COMPUTED_VALUE"""),"●")</f>
        <v>●</v>
      </c>
      <c r="H39" s="18" t="str">
        <f>IFERROR(__xludf.DUMMYFUNCTION("""COMPUTED_VALUE"""),"Fiber")</f>
        <v>Fiber</v>
      </c>
      <c r="I39" s="18"/>
      <c r="J39" s="18"/>
      <c r="K39" s="18" t="str">
        <f>IFERROR(__xludf.DUMMYFUNCTION("""COMPUTED_VALUE"""),"Black")</f>
        <v>Black</v>
      </c>
      <c r="L39" s="20" t="str">
        <f>IFERROR(__xludf.DUMMYFUNCTION("""COMPUTED_VALUE"""),"TRAP: Black or Green Metals. Five Screamers, one at a time.")</f>
        <v>TRAP: Black or Green Metals. Five Screamers, one at a time.</v>
      </c>
    </row>
    <row r="40" ht="3.75" customHeight="1">
      <c r="A40" s="17">
        <f>IFERROR(__xludf.DUMMYFUNCTION("""COMPUTED_VALUE"""),28.0)</f>
        <v>28</v>
      </c>
      <c r="B40" s="18">
        <f>IFERROR(__xludf.DUMMYFUNCTION("""COMPUTED_VALUE"""),5.0)</f>
        <v>5</v>
      </c>
      <c r="C40" s="19" t="str">
        <f>IFERROR(__xludf.DUMMYFUNCTION("""COMPUTED_VALUE"""),"Fumibana")</f>
        <v>Fumibana</v>
      </c>
      <c r="D40" s="18"/>
      <c r="E40" s="18"/>
      <c r="F40" s="18"/>
      <c r="G40" s="18"/>
      <c r="H40" s="18" t="str">
        <f>IFERROR(__xludf.DUMMYFUNCTION("""COMPUTED_VALUE"""),"All")</f>
        <v>All</v>
      </c>
      <c r="I40" s="18"/>
      <c r="J40" s="18"/>
      <c r="K40" s="18"/>
      <c r="L40" s="20"/>
    </row>
    <row r="41" ht="3.75" customHeight="1">
      <c r="A41" s="17">
        <f>IFERROR(__xludf.DUMMYFUNCTION("""COMPUTED_VALUE"""),28.0)</f>
        <v>28</v>
      </c>
      <c r="B41" s="18">
        <f>IFERROR(__xludf.DUMMYFUNCTION("""COMPUTED_VALUE"""),5.0)</f>
        <v>5</v>
      </c>
      <c r="C41" s="19" t="str">
        <f>IFERROR(__xludf.DUMMYFUNCTION("""COMPUTED_VALUE"""),"Tojima")</f>
        <v>Tojima</v>
      </c>
      <c r="D41" s="18"/>
      <c r="E41" s="18"/>
      <c r="F41" s="18"/>
      <c r="G41" s="18"/>
      <c r="H41" s="18" t="str">
        <f>IFERROR(__xludf.DUMMYFUNCTION("""COMPUTED_VALUE"""),"Wood")</f>
        <v>Wood</v>
      </c>
      <c r="I41" s="18"/>
      <c r="J41" s="18"/>
      <c r="K41" s="18"/>
      <c r="L41" s="20"/>
    </row>
    <row r="42" ht="3.75" customHeight="1">
      <c r="A42" s="17">
        <f>IFERROR(__xludf.DUMMYFUNCTION("""COMPUTED_VALUE"""),27.0)</f>
        <v>27</v>
      </c>
      <c r="B42" s="18">
        <f>IFERROR(__xludf.DUMMYFUNCTION("""COMPUTED_VALUE"""),0.0)</f>
        <v>0</v>
      </c>
      <c r="C42" s="19" t="str">
        <f>IFERROR(__xludf.DUMMYFUNCTION("""COMPUTED_VALUE"""),"Shinko-Bashi")</f>
        <v>Shinko-Bashi</v>
      </c>
      <c r="D42" s="18" t="str">
        <f>IFERROR(__xludf.DUMMYFUNCTION("""COMPUTED_VALUE"""),"M")</f>
        <v>M</v>
      </c>
      <c r="E42" s="18"/>
      <c r="F42" s="18">
        <f>IFERROR(__xludf.DUMMYFUNCTION("""COMPUTED_VALUE"""),3.4)</f>
        <v>3.4</v>
      </c>
      <c r="G42" s="18"/>
      <c r="H42" s="18" t="str">
        <f>IFERROR(__xludf.DUMMYFUNCTION("""COMPUTED_VALUE"""),"Fiber")</f>
        <v>Fiber</v>
      </c>
      <c r="I42" s="18"/>
      <c r="J42" s="18"/>
      <c r="K42" s="18"/>
      <c r="L42" s="20" t="str">
        <f>IFERROR(__xludf.DUMMYFUNCTION("""COMPUTED_VALUE"""),"Elevator is locked behind two gates until both 26F COEN and 26F JIN-DIE are defeated.")</f>
        <v>Elevator is locked behind two gates until both 26F COEN and 26F JIN-DIE are defeated.</v>
      </c>
    </row>
    <row r="43" ht="3.75" customHeight="1">
      <c r="A43" s="17">
        <f>IFERROR(__xludf.DUMMYFUNCTION("""COMPUTED_VALUE"""),27.0)</f>
        <v>27</v>
      </c>
      <c r="B43" s="18">
        <f>IFERROR(__xludf.DUMMYFUNCTION("""COMPUTED_VALUE"""),5.0)</f>
        <v>5</v>
      </c>
      <c r="C43" s="19" t="str">
        <f>IFERROR(__xludf.DUMMYFUNCTION("""COMPUTED_VALUE"""),"Oe")</f>
        <v>Oe</v>
      </c>
      <c r="D43" s="18"/>
      <c r="E43" s="18"/>
      <c r="F43" s="18"/>
      <c r="G43" s="18"/>
      <c r="H43" s="18" t="str">
        <f>IFERROR(__xludf.DUMMYFUNCTION("""COMPUTED_VALUE"""),"Aluminum")</f>
        <v>Aluminum</v>
      </c>
      <c r="I43" s="18"/>
      <c r="J43" s="18"/>
      <c r="K43" s="18"/>
      <c r="L43" s="20" t="str">
        <f>IFERROR(__xludf.DUMMYFUNCTION("""COMPUTED_VALUE"""),"One Mk-4 Reversal Tuber.")</f>
        <v>One Mk-4 Reversal Tuber.</v>
      </c>
    </row>
    <row r="44" ht="3.75" customHeight="1">
      <c r="A44" s="17">
        <f>IFERROR(__xludf.DUMMYFUNCTION("""COMPUTED_VALUE"""),27.0)</f>
        <v>27</v>
      </c>
      <c r="B44" s="18">
        <f>IFERROR(__xludf.DUMMYFUNCTION("""COMPUTED_VALUE"""),5.0)</f>
        <v>5</v>
      </c>
      <c r="C44" s="19" t="str">
        <f>IFERROR(__xludf.DUMMYFUNCTION("""COMPUTED_VALUE"""),"Kinoe")</f>
        <v>Kinoe</v>
      </c>
      <c r="D44" s="18"/>
      <c r="E44" s="18"/>
      <c r="F44" s="18"/>
      <c r="G44" s="18"/>
      <c r="H44" s="18" t="str">
        <f>IFERROR(__xludf.DUMMYFUNCTION("""COMPUTED_VALUE"""),"All")</f>
        <v>All</v>
      </c>
      <c r="I44" s="18"/>
      <c r="J44" s="18"/>
      <c r="K44" s="18"/>
      <c r="L44" s="20"/>
    </row>
    <row r="45" ht="3.75" customHeight="1">
      <c r="A45" s="17">
        <f>IFERROR(__xludf.DUMMYFUNCTION("""COMPUTED_VALUE"""),26.0)</f>
        <v>26</v>
      </c>
      <c r="B45" s="18">
        <f>IFERROR(__xludf.DUMMYFUNCTION("""COMPUTED_VALUE"""),0.0)</f>
        <v>0</v>
      </c>
      <c r="C45" s="19" t="str">
        <f>IFERROR(__xludf.DUMMYFUNCTION("""COMPUTED_VALUE"""),"Oshimi")</f>
        <v>Oshimi</v>
      </c>
      <c r="D45" s="18"/>
      <c r="E45" s="18"/>
      <c r="F45" s="18"/>
      <c r="G45" s="18"/>
      <c r="H45" s="18" t="str">
        <f>IFERROR(__xludf.DUMMYFUNCTION("""COMPUTED_VALUE"""),"Copper")</f>
        <v>Copper</v>
      </c>
      <c r="I45" s="18"/>
      <c r="J45" s="18" t="str">
        <f>IFERROR(__xludf.DUMMYFUNCTION("""COMPUTED_VALUE"""),"DOD Black")</f>
        <v>DOD Black</v>
      </c>
      <c r="K45" s="18"/>
      <c r="L45" s="20" t="str">
        <f>IFERROR(__xludf.DUMMYFUNCTION("""COMPUTED_VALUE"""),"BOSS: COEN. Drops DOD ARMS Black Metal. Unlocks one of the gates to the 27F Elevator.")</f>
        <v>BOSS: COEN. Drops DOD ARMS Black Metal. Unlocks one of the gates to the 27F Elevator.</v>
      </c>
    </row>
    <row r="46" ht="3.75" customHeight="1">
      <c r="A46" s="17">
        <f>IFERROR(__xludf.DUMMYFUNCTION("""COMPUTED_VALUE"""),26.0)</f>
        <v>26</v>
      </c>
      <c r="B46" s="18">
        <f>IFERROR(__xludf.DUMMYFUNCTION("""COMPUTED_VALUE"""),0.0)</f>
        <v>0</v>
      </c>
      <c r="C46" s="19" t="str">
        <f>IFERROR(__xludf.DUMMYFUNCTION("""COMPUTED_VALUE"""),"Shimomeno")</f>
        <v>Shimomeno</v>
      </c>
      <c r="D46" s="18"/>
      <c r="E46" s="18"/>
      <c r="F46" s="18"/>
      <c r="G46" s="18"/>
      <c r="H46" s="18" t="str">
        <f>IFERROR(__xludf.DUMMYFUNCTION("""COMPUTED_VALUE"""),"Oil")</f>
        <v>Oil</v>
      </c>
      <c r="I46" s="18"/>
      <c r="J46" s="18" t="str">
        <f>IFERROR(__xludf.DUMMYFUNCTION("""COMPUTED_VALUE"""),"WE Black")</f>
        <v>WE Black</v>
      </c>
      <c r="K46" s="18"/>
      <c r="L46" s="20" t="str">
        <f>IFERROR(__xludf.DUMMYFUNCTION("""COMPUTED_VALUE"""),"BOSS: JIN-DIE. Drops War Ensemble Black Metal. Unlocks one of the gates to the 27F Elevator.")</f>
        <v>BOSS: JIN-DIE. Drops War Ensemble Black Metal. Unlocks one of the gates to the 27F Elevator.</v>
      </c>
    </row>
    <row r="47" ht="3.75" customHeight="1">
      <c r="A47" s="17">
        <f>IFERROR(__xludf.DUMMYFUNCTION("""COMPUTED_VALUE"""),26.0)</f>
        <v>26</v>
      </c>
      <c r="B47" s="18">
        <f>IFERROR(__xludf.DUMMYFUNCTION("""COMPUTED_VALUE"""),5.0)</f>
        <v>5</v>
      </c>
      <c r="C47" s="19" t="str">
        <f>IFERROR(__xludf.DUMMYFUNCTION("""COMPUTED_VALUE"""),"Yoshimi")</f>
        <v>Yoshimi</v>
      </c>
      <c r="D47" s="18"/>
      <c r="E47" s="18"/>
      <c r="F47" s="18"/>
      <c r="G47" s="18" t="str">
        <f>IFERROR(__xludf.DUMMYFUNCTION("""COMPUTED_VALUE"""),"●")</f>
        <v>●</v>
      </c>
      <c r="H47" s="18" t="str">
        <f>IFERROR(__xludf.DUMMYFUNCTION("""COMPUTED_VALUE"""),"Oil")</f>
        <v>Oil</v>
      </c>
      <c r="I47" s="18"/>
      <c r="J47" s="18"/>
      <c r="K47" s="18"/>
      <c r="L47" s="20"/>
    </row>
    <row r="48" ht="3.75" customHeight="1">
      <c r="A48" s="17">
        <f>IFERROR(__xludf.DUMMYFUNCTION("""COMPUTED_VALUE"""),25.0)</f>
        <v>25</v>
      </c>
      <c r="B48" s="18">
        <f>IFERROR(__xludf.DUMMYFUNCTION("""COMPUTED_VALUE"""),0.0)</f>
        <v>0</v>
      </c>
      <c r="C48" s="19" t="str">
        <f>IFERROR(__xludf.DUMMYFUNCTION("""COMPUTED_VALUE"""),"Kanie")</f>
        <v>Kanie</v>
      </c>
      <c r="D48" s="18" t="str">
        <f>IFERROR(__xludf.DUMMYFUNCTION("""COMPUTED_VALUE"""),"M")</f>
        <v>M</v>
      </c>
      <c r="E48" s="18"/>
      <c r="F48" s="18">
        <f>IFERROR(__xludf.DUMMYFUNCTION("""COMPUTED_VALUE"""),3.3)</f>
        <v>3.3</v>
      </c>
      <c r="G48" s="18"/>
      <c r="H48" s="18" t="str">
        <f>IFERROR(__xludf.DUMMYFUNCTION("""COMPUTED_VALUE"""),"All")</f>
        <v>All</v>
      </c>
      <c r="I48" s="18"/>
      <c r="J48" s="18"/>
      <c r="K48" s="18"/>
      <c r="L48" s="20"/>
    </row>
    <row r="49" ht="3.75" customHeight="1">
      <c r="A49" s="17">
        <f>IFERROR(__xludf.DUMMYFUNCTION("""COMPUTED_VALUE"""),24.0)</f>
        <v>24</v>
      </c>
      <c r="B49" s="18">
        <f>IFERROR(__xludf.DUMMYFUNCTION("""COMPUTED_VALUE"""),0.0)</f>
        <v>0</v>
      </c>
      <c r="C49" s="19" t="str">
        <f>IFERROR(__xludf.DUMMYFUNCTION("""COMPUTED_VALUE"""),"Moriba")</f>
        <v>Moriba</v>
      </c>
      <c r="D49" s="18"/>
      <c r="E49" s="18"/>
      <c r="F49" s="18"/>
      <c r="G49" s="18"/>
      <c r="H49" s="18" t="str">
        <f>IFERROR(__xludf.DUMMYFUNCTION("""COMPUTED_VALUE"""),"×")</f>
        <v>×</v>
      </c>
      <c r="I49" s="18" t="str">
        <f>IFERROR(__xludf.DUMMYFUNCTION("""COMPUTED_VALUE"""),"G")</f>
        <v>G</v>
      </c>
      <c r="J49" s="18"/>
      <c r="K49" s="18"/>
      <c r="L49" s="20" t="str">
        <f>IFERROR(__xludf.DUMMYFUNCTION("""COMPUTED_VALUE"""),"Gyakufunsha can appear. Small area with a single Hater - good for farming CHARGERS.")</f>
        <v>Gyakufunsha can appear. Small area with a single Hater - good for farming CHARGERS.</v>
      </c>
    </row>
    <row r="50" ht="1.5" customHeight="1">
      <c r="A50" s="17">
        <f>IFERROR(__xludf.DUMMYFUNCTION("""COMPUTED_VALUE"""),24.0)</f>
        <v>24</v>
      </c>
      <c r="B50" s="18">
        <f>IFERROR(__xludf.DUMMYFUNCTION("""COMPUTED_VALUE"""),0.0)</f>
        <v>0</v>
      </c>
      <c r="C50" s="19" t="str">
        <f>IFERROR(__xludf.DUMMYFUNCTION("""COMPUTED_VALUE"""),"Sumikiyo")</f>
        <v>Sumikiyo</v>
      </c>
      <c r="D50" s="18"/>
      <c r="E50" s="18"/>
      <c r="F50" s="18">
        <f>IFERROR(__xludf.DUMMYFUNCTION("""COMPUTED_VALUE"""),3.2)</f>
        <v>3.2</v>
      </c>
      <c r="G50" s="18"/>
      <c r="H50" s="18" t="str">
        <f>IFERROR(__xludf.DUMMYFUNCTION("""COMPUTED_VALUE"""),"Iron")</f>
        <v>Iron</v>
      </c>
      <c r="I50" s="18"/>
      <c r="J50" s="18"/>
      <c r="K50" s="18"/>
      <c r="L50" s="20" t="str">
        <f>IFERROR(__xludf.DUMMYFUNCTION("""COMPUTED_VALUE"""),"Unlock from 23F Echizen-Jima.")</f>
        <v>Unlock from 23F Echizen-Jima.</v>
      </c>
    </row>
    <row r="51" ht="1.5" customHeight="1">
      <c r="A51" s="17">
        <f>IFERROR(__xludf.DUMMYFUNCTION("""COMPUTED_VALUE"""),24.0)</f>
        <v>24</v>
      </c>
      <c r="B51" s="18">
        <f>IFERROR(__xludf.DUMMYFUNCTION("""COMPUTED_VALUE"""),0.0)</f>
        <v>0</v>
      </c>
      <c r="C51" s="19" t="str">
        <f>IFERROR(__xludf.DUMMYFUNCTION("""COMPUTED_VALUE"""),"Agasu")</f>
        <v>Agasu</v>
      </c>
      <c r="D51" s="18"/>
      <c r="E51" s="18"/>
      <c r="F51" s="18"/>
      <c r="G51" s="18" t="str">
        <f>IFERROR(__xludf.DUMMYFUNCTION("""COMPUTED_VALUE"""),"●")</f>
        <v>●</v>
      </c>
      <c r="H51" s="18" t="str">
        <f>IFERROR(__xludf.DUMMYFUNCTION("""COMPUTED_VALUE"""),"Wood")</f>
        <v>Wood</v>
      </c>
      <c r="I51" s="18"/>
      <c r="J51" s="18"/>
      <c r="K51" s="18"/>
      <c r="L51" s="20" t="str">
        <f>IFERROR(__xludf.DUMMYFUNCTION("""COMPUTED_VALUE"""),"Unlock from 23F Echizen-Jima.")</f>
        <v>Unlock from 23F Echizen-Jima.</v>
      </c>
    </row>
    <row r="52" ht="1.5" customHeight="1">
      <c r="A52" s="17">
        <f>IFERROR(__xludf.DUMMYFUNCTION("""COMPUTED_VALUE"""),23.0)</f>
        <v>23</v>
      </c>
      <c r="B52" s="18">
        <f>IFERROR(__xludf.DUMMYFUNCTION("""COMPUTED_VALUE"""),0.0)</f>
        <v>0</v>
      </c>
      <c r="C52" s="19" t="str">
        <f>IFERROR(__xludf.DUMMYFUNCTION("""COMPUTED_VALUE"""),"Echizen-Jima")</f>
        <v>Echizen-Jima</v>
      </c>
      <c r="D52" s="18" t="str">
        <f>IFERROR(__xludf.DUMMYFUNCTION("""COMPUTED_VALUE"""),"M")</f>
        <v>M</v>
      </c>
      <c r="E52" s="18"/>
      <c r="F52" s="18"/>
      <c r="G52" s="18"/>
      <c r="H52" s="18" t="str">
        <f>IFERROR(__xludf.DUMMYFUNCTION("""COMPUTED_VALUE"""),"Fiber")</f>
        <v>Fiber</v>
      </c>
      <c r="I52" s="18"/>
      <c r="J52" s="18" t="str">
        <f>IFERROR(__xludf.DUMMYFUNCTION("""COMPUTED_VALUE"""),"CW Black")</f>
        <v>CW Black</v>
      </c>
      <c r="K52" s="18"/>
      <c r="L52" s="20" t="str">
        <f>IFERROR(__xludf.DUMMYFUNCTION("""COMPUTED_VALUE"""),"BOSS: GOTO-9. Drops Candle Wolf Black Metals.")</f>
        <v>BOSS: GOTO-9. Drops Candle Wolf Black Metals.</v>
      </c>
    </row>
    <row r="53" ht="1.5" customHeight="1">
      <c r="A53" s="17">
        <f>IFERROR(__xludf.DUMMYFUNCTION("""COMPUTED_VALUE"""),23.0)</f>
        <v>23</v>
      </c>
      <c r="B53" s="18">
        <f>IFERROR(__xludf.DUMMYFUNCTION("""COMPUTED_VALUE"""),0.0)</f>
        <v>0</v>
      </c>
      <c r="C53" s="19" t="str">
        <f>IFERROR(__xludf.DUMMYFUNCTION("""COMPUTED_VALUE"""),"Honkawa")</f>
        <v>Honkawa</v>
      </c>
      <c r="D53" s="18"/>
      <c r="E53" s="18">
        <f>IFERROR(__xludf.DUMMYFUNCTION("""COMPUTED_VALUE"""),5.0)</f>
        <v>5</v>
      </c>
      <c r="F53" s="18"/>
      <c r="G53" s="18"/>
      <c r="H53" s="18" t="str">
        <f>IFERROR(__xludf.DUMMYFUNCTION("""COMPUTED_VALUE"""),"Aluminum")</f>
        <v>Aluminum</v>
      </c>
      <c r="I53" s="18"/>
      <c r="J53" s="18"/>
      <c r="K53" s="18"/>
      <c r="L53" s="20" t="str">
        <f>IFERROR(__xludf.DUMMYFUNCTION("""COMPUTED_VALUE"""),"Chance for a Golden Scorpion.")</f>
        <v>Chance for a Golden Scorpion.</v>
      </c>
    </row>
    <row r="54" ht="1.5" customHeight="1">
      <c r="A54" s="17">
        <f>IFERROR(__xludf.DUMMYFUNCTION("""COMPUTED_VALUE"""),22.0)</f>
        <v>22</v>
      </c>
      <c r="B54" s="18">
        <f>IFERROR(__xludf.DUMMYFUNCTION("""COMPUTED_VALUE"""),0.0)</f>
        <v>0</v>
      </c>
      <c r="C54" s="19" t="str">
        <f>IFERROR(__xludf.DUMMYFUNCTION("""COMPUTED_VALUE"""),"Kawabe")</f>
        <v>Kawabe</v>
      </c>
      <c r="D54" s="18"/>
      <c r="E54" s="18"/>
      <c r="F54" s="18">
        <f>IFERROR(__xludf.DUMMYFUNCTION("""COMPUTED_VALUE"""),3.1)</f>
        <v>3.1</v>
      </c>
      <c r="G54" s="18" t="str">
        <f>IFERROR(__xludf.DUMMYFUNCTION("""COMPUTED_VALUE"""),"●")</f>
        <v>●</v>
      </c>
      <c r="H54" s="18" t="str">
        <f>IFERROR(__xludf.DUMMYFUNCTION("""COMPUTED_VALUE"""),"All")</f>
        <v>All</v>
      </c>
      <c r="I54" s="18"/>
      <c r="J54" s="18"/>
      <c r="K54" s="18" t="str">
        <f>IFERROR(__xludf.DUMMYFUNCTION("""COMPUTED_VALUE"""),"Black")</f>
        <v>Black</v>
      </c>
      <c r="L54" s="20" t="str">
        <f>IFERROR(__xludf.DUMMYFUNCTION("""COMPUTED_VALUE"""),"TRAP: Black or Green Metals. Two Mk-3 Bone, one axe Screamer.")</f>
        <v>TRAP: Black or Green Metals. Two Mk-3 Bone, one axe Screamer.</v>
      </c>
    </row>
    <row r="55" ht="1.5" customHeight="1">
      <c r="A55" s="17">
        <f>IFERROR(__xludf.DUMMYFUNCTION("""COMPUTED_VALUE"""),22.0)</f>
        <v>22</v>
      </c>
      <c r="B55" s="18">
        <f>IFERROR(__xludf.DUMMYFUNCTION("""COMPUTED_VALUE"""),5.0)</f>
        <v>5</v>
      </c>
      <c r="C55" s="19" t="str">
        <f>IFERROR(__xludf.DUMMYFUNCTION("""COMPUTED_VALUE"""),"Tomiyama")</f>
        <v>Tomiyama</v>
      </c>
      <c r="D55" s="18"/>
      <c r="E55" s="18"/>
      <c r="F55" s="18"/>
      <c r="G55" s="18"/>
      <c r="H55" s="18" t="str">
        <f>IFERROR(__xludf.DUMMYFUNCTION("""COMPUTED_VALUE"""),"All")</f>
        <v>All</v>
      </c>
      <c r="I55" s="18"/>
      <c r="J55" s="18"/>
      <c r="K55" s="18"/>
      <c r="L55" s="20"/>
    </row>
    <row r="56" ht="1.5" customHeight="1">
      <c r="A56" s="17">
        <f>IFERROR(__xludf.DUMMYFUNCTION("""COMPUTED_VALUE"""),21.0)</f>
        <v>21</v>
      </c>
      <c r="B56" s="18">
        <f>IFERROR(__xludf.DUMMYFUNCTION("""COMPUTED_VALUE"""),0.0)</f>
        <v>0</v>
      </c>
      <c r="C56" s="19" t="str">
        <f>IFERROR(__xludf.DUMMYFUNCTION("""COMPUTED_VALUE"""),"Akami")</f>
        <v>Akami</v>
      </c>
      <c r="D56" s="18" t="str">
        <f>IFERROR(__xludf.DUMMYFUNCTION("""COMPUTED_VALUE"""),"M")</f>
        <v>M</v>
      </c>
      <c r="E56" s="18"/>
      <c r="F56" s="18"/>
      <c r="G56" s="18" t="str">
        <f>IFERROR(__xludf.DUMMYFUNCTION("""COMPUTED_VALUE"""),"●")</f>
        <v>●</v>
      </c>
      <c r="H56" s="18" t="str">
        <f>IFERROR(__xludf.DUMMYFUNCTION("""COMPUTED_VALUE"""),"All")</f>
        <v>All</v>
      </c>
      <c r="I56" s="18"/>
      <c r="J56" s="18"/>
      <c r="K56" s="18"/>
      <c r="L56" s="20"/>
    </row>
    <row r="57" ht="1.5" customHeight="1">
      <c r="A57" s="17">
        <f>IFERROR(__xludf.DUMMYFUNCTION("""COMPUTED_VALUE"""),21.0)</f>
        <v>21</v>
      </c>
      <c r="B57" s="18">
        <f>IFERROR(__xludf.DUMMYFUNCTION("""COMPUTED_VALUE"""),0.0)</f>
        <v>0</v>
      </c>
      <c r="C57" s="19" t="str">
        <f>IFERROR(__xludf.DUMMYFUNCTION("""COMPUTED_VALUE"""),"Arigure")</f>
        <v>Arigure</v>
      </c>
      <c r="D57" s="18"/>
      <c r="E57" s="18"/>
      <c r="F57" s="18"/>
      <c r="G57" s="18"/>
      <c r="H57" s="18" t="str">
        <f>IFERROR(__xludf.DUMMYFUNCTION("""COMPUTED_VALUE"""),"All")</f>
        <v>All</v>
      </c>
      <c r="I57" s="18"/>
      <c r="J57" s="18"/>
      <c r="K57" s="18"/>
      <c r="L57" s="20"/>
    </row>
    <row r="58" ht="1.5" customHeight="1">
      <c r="A58" s="17">
        <f>IFERROR(__xludf.DUMMYFUNCTION("""COMPUTED_VALUE"""),20.0)</f>
        <v>20</v>
      </c>
      <c r="B58" s="18">
        <f>IFERROR(__xludf.DUMMYFUNCTION("""COMPUTED_VALUE"""),0.0)</f>
        <v>0</v>
      </c>
      <c r="C58" s="19" t="str">
        <f>IFERROR(__xludf.DUMMYFUNCTION("""COMPUTED_VALUE"""),"Nora")</f>
        <v>Nora</v>
      </c>
      <c r="D58" s="18"/>
      <c r="E58" s="18"/>
      <c r="F58" s="18"/>
      <c r="G58" s="18"/>
      <c r="H58" s="18" t="str">
        <f>IFERROR(__xludf.DUMMYFUNCTION("""COMPUTED_VALUE"""),"Copper")</f>
        <v>Copper</v>
      </c>
      <c r="I58" s="18"/>
      <c r="J58" s="18"/>
      <c r="K58" s="18"/>
      <c r="L58" s="20"/>
    </row>
    <row r="59" ht="1.5" customHeight="1">
      <c r="A59" s="17">
        <f>IFERROR(__xludf.DUMMYFUNCTION("""COMPUTED_VALUE"""),20.0)</f>
        <v>20</v>
      </c>
      <c r="B59" s="18">
        <f>IFERROR(__xludf.DUMMYFUNCTION("""COMPUTED_VALUE"""),0.0)</f>
        <v>0</v>
      </c>
      <c r="C59" s="19" t="str">
        <f>IFERROR(__xludf.DUMMYFUNCTION("""COMPUTED_VALUE"""),"Monegi")</f>
        <v>Monegi</v>
      </c>
      <c r="D59" s="18"/>
      <c r="E59" s="18"/>
      <c r="F59" s="18"/>
      <c r="G59" s="18"/>
      <c r="H59" s="18" t="str">
        <f>IFERROR(__xludf.DUMMYFUNCTION("""COMPUTED_VALUE"""),"All")</f>
        <v>All</v>
      </c>
      <c r="I59" s="18"/>
      <c r="J59" s="18"/>
      <c r="K59" s="18"/>
      <c r="L59" s="20"/>
    </row>
    <row r="60" ht="1.5" customHeight="1">
      <c r="A60" s="17">
        <f>IFERROR(__xludf.DUMMYFUNCTION("""COMPUTED_VALUE"""),20.0)</f>
        <v>20</v>
      </c>
      <c r="B60" s="18">
        <f>IFERROR(__xludf.DUMMYFUNCTION("""COMPUTED_VALUE"""),0.0)</f>
        <v>0</v>
      </c>
      <c r="C60" s="19" t="str">
        <f>IFERROR(__xludf.DUMMYFUNCTION("""COMPUTED_VALUE"""),"Hachiyanma")</f>
        <v>Hachiyanma</v>
      </c>
      <c r="D60" s="18" t="str">
        <f>IFERROR(__xludf.DUMMYFUNCTION("""COMPUTED_VALUE"""),"M")</f>
        <v>M</v>
      </c>
      <c r="E60" s="18"/>
      <c r="F60" s="18"/>
      <c r="G60" s="18" t="str">
        <f>IFERROR(__xludf.DUMMYFUNCTION("""COMPUTED_VALUE"""),"●")</f>
        <v>●</v>
      </c>
      <c r="H60" s="18" t="str">
        <f>IFERROR(__xludf.DUMMYFUNCTION("""COMPUTED_VALUE"""),"×")</f>
        <v>×</v>
      </c>
      <c r="I60" s="18"/>
      <c r="J60" s="18" t="str">
        <f>IFERROR(__xludf.DUMMYFUNCTION("""COMPUTED_VALUE"""),"WE Green")</f>
        <v>WE Green</v>
      </c>
      <c r="K60" s="18"/>
      <c r="L60" s="20" t="str">
        <f>IFERROR(__xludf.DUMMYFUNCTION("""COMPUTED_VALUE"""),"BOSS: Colonel Jackson.")</f>
        <v>BOSS: Colonel Jackson.</v>
      </c>
    </row>
    <row r="61" ht="3.75" customHeight="1">
      <c r="A61" s="17">
        <f>IFERROR(__xludf.DUMMYFUNCTION("""COMPUTED_VALUE"""),19.0)</f>
        <v>19</v>
      </c>
      <c r="B61" s="18">
        <f>IFERROR(__xludf.DUMMYFUNCTION("""COMPUTED_VALUE"""),0.0)</f>
        <v>0</v>
      </c>
      <c r="C61" s="19" t="str">
        <f>IFERROR(__xludf.DUMMYFUNCTION("""COMPUTED_VALUE"""),"Daida")</f>
        <v>Daida</v>
      </c>
      <c r="D61" s="18" t="str">
        <f>IFERROR(__xludf.DUMMYFUNCTION("""COMPUTED_VALUE"""),"M")</f>
        <v>M</v>
      </c>
      <c r="E61" s="18"/>
      <c r="F61" s="18"/>
      <c r="G61" s="18"/>
      <c r="H61" s="18" t="str">
        <f>IFERROR(__xludf.DUMMYFUNCTION("""COMPUTED_VALUE"""),"All")</f>
        <v>All</v>
      </c>
      <c r="I61" s="18"/>
      <c r="J61" s="18"/>
      <c r="K61" s="18"/>
      <c r="L61" s="20" t="str">
        <f>IFERROR(__xludf.DUMMYFUNCTION("""COMPUTED_VALUE"""),"One Mk-2 Reversal Tuber.")</f>
        <v>One Mk-2 Reversal Tuber.</v>
      </c>
    </row>
    <row r="62" ht="3.75" customHeight="1">
      <c r="A62" s="17">
        <f>IFERROR(__xludf.DUMMYFUNCTION("""COMPUTED_VALUE"""),19.0)</f>
        <v>19</v>
      </c>
      <c r="B62" s="18">
        <f>IFERROR(__xludf.DUMMYFUNCTION("""COMPUTED_VALUE"""),5.0)</f>
        <v>5</v>
      </c>
      <c r="C62" s="19" t="str">
        <f>IFERROR(__xludf.DUMMYFUNCTION("""COMPUTED_VALUE"""),"Chitose-Mei")</f>
        <v>Chitose-Mei</v>
      </c>
      <c r="D62" s="18"/>
      <c r="E62" s="18"/>
      <c r="F62" s="18">
        <f>IFERROR(__xludf.DUMMYFUNCTION("""COMPUTED_VALUE"""),2.6)</f>
        <v>2.6</v>
      </c>
      <c r="G62" s="18"/>
      <c r="H62" s="18" t="str">
        <f>IFERROR(__xludf.DUMMYFUNCTION("""COMPUTED_VALUE"""),"Aluminum")</f>
        <v>Aluminum</v>
      </c>
      <c r="I62" s="18"/>
      <c r="J62" s="18"/>
      <c r="K62" s="18"/>
      <c r="L62" s="20" t="str">
        <f>IFERROR(__xludf.DUMMYFUNCTION("""COMPUTED_VALUE"""),"Trap Room not active on Thursdays.")</f>
        <v>Trap Room not active on Thursdays.</v>
      </c>
    </row>
    <row r="63" ht="3.75" customHeight="1">
      <c r="A63" s="17">
        <f>IFERROR(__xludf.DUMMYFUNCTION("""COMPUTED_VALUE"""),19.0)</f>
        <v>19</v>
      </c>
      <c r="B63" s="18">
        <f>IFERROR(__xludf.DUMMYFUNCTION("""COMPUTED_VALUE"""),5.0)</f>
        <v>5</v>
      </c>
      <c r="C63" s="19" t="str">
        <f>IFERROR(__xludf.DUMMYFUNCTION("""COMPUTED_VALUE"""),"Hibiki")</f>
        <v>Hibiki</v>
      </c>
      <c r="D63" s="18"/>
      <c r="E63" s="18"/>
      <c r="F63" s="18"/>
      <c r="G63" s="18" t="str">
        <f>IFERROR(__xludf.DUMMYFUNCTION("""COMPUTED_VALUE"""),"●")</f>
        <v>●</v>
      </c>
      <c r="H63" s="18" t="str">
        <f>IFERROR(__xludf.DUMMYFUNCTION("""COMPUTED_VALUE"""),"All")</f>
        <v>All</v>
      </c>
      <c r="I63" s="18"/>
      <c r="J63" s="18"/>
      <c r="K63" s="18"/>
      <c r="L63" s="20" t="str">
        <f>IFERROR(__xludf.DUMMYFUNCTION("""COMPUTED_VALUE"""),"Floor is active every day, except Monday.")</f>
        <v>Floor is active every day, except Monday.</v>
      </c>
    </row>
    <row r="64" ht="3.75" customHeight="1">
      <c r="A64" s="17">
        <f>IFERROR(__xludf.DUMMYFUNCTION("""COMPUTED_VALUE"""),18.0)</f>
        <v>18</v>
      </c>
      <c r="B64" s="18">
        <f>IFERROR(__xludf.DUMMYFUNCTION("""COMPUTED_VALUE"""),0.0)</f>
        <v>0</v>
      </c>
      <c r="C64" s="19" t="str">
        <f>IFERROR(__xludf.DUMMYFUNCTION("""COMPUTED_VALUE"""),"Temo-Uma")</f>
        <v>Temo-Uma</v>
      </c>
      <c r="D64" s="18"/>
      <c r="E64" s="18"/>
      <c r="F64" s="18">
        <f>IFERROR(__xludf.DUMMYFUNCTION("""COMPUTED_VALUE"""),2.5)</f>
        <v>2.5</v>
      </c>
      <c r="G64" s="18"/>
      <c r="H64" s="18" t="str">
        <f>IFERROR(__xludf.DUMMYFUNCTION("""COMPUTED_VALUE"""),"All")</f>
        <v>All</v>
      </c>
      <c r="I64" s="18"/>
      <c r="J64" s="18"/>
      <c r="K64" s="18" t="str">
        <f>IFERROR(__xludf.DUMMYFUNCTION("""COMPUTED_VALUE"""),"Green")</f>
        <v>Green</v>
      </c>
      <c r="L64" s="20" t="str">
        <f>IFERROR(__xludf.DUMMYFUNCTION("""COMPUTED_VALUE"""),"TRAP: Green or Blue Metals. Mk-3 Bullet, Bone Tuber, Screamer.")</f>
        <v>TRAP: Green or Blue Metals. Mk-3 Bullet, Bone Tuber, Screamer.</v>
      </c>
    </row>
    <row r="65" ht="3.75" customHeight="1">
      <c r="A65" s="17">
        <f>IFERROR(__xludf.DUMMYFUNCTION("""COMPUTED_VALUE"""),18.0)</f>
        <v>18</v>
      </c>
      <c r="B65" s="18">
        <f>IFERROR(__xludf.DUMMYFUNCTION("""COMPUTED_VALUE"""),0.0)</f>
        <v>0</v>
      </c>
      <c r="C65" s="19" t="str">
        <f>IFERROR(__xludf.DUMMYFUNCTION("""COMPUTED_VALUE"""),"Tata")</f>
        <v>Tata</v>
      </c>
      <c r="D65" s="18"/>
      <c r="E65" s="18"/>
      <c r="F65" s="18"/>
      <c r="G65" s="18"/>
      <c r="H65" s="18" t="str">
        <f>IFERROR(__xludf.DUMMYFUNCTION("""COMPUTED_VALUE"""),"All")</f>
        <v>All</v>
      </c>
      <c r="I65" s="18"/>
      <c r="J65" s="18"/>
      <c r="K65" s="18"/>
      <c r="L65" s="21"/>
    </row>
    <row r="66" ht="3.75" customHeight="1">
      <c r="A66" s="17">
        <f>IFERROR(__xludf.DUMMYFUNCTION("""COMPUTED_VALUE"""),18.0)</f>
        <v>18</v>
      </c>
      <c r="B66" s="18">
        <f>IFERROR(__xludf.DUMMYFUNCTION("""COMPUTED_VALUE"""),5.0)</f>
        <v>5</v>
      </c>
      <c r="C66" s="19" t="str">
        <f>IFERROR(__xludf.DUMMYFUNCTION("""COMPUTED_VALUE"""),"Taishidon")</f>
        <v>Taishidon</v>
      </c>
      <c r="D66" s="18"/>
      <c r="E66" s="18"/>
      <c r="F66" s="18"/>
      <c r="G66" s="18"/>
      <c r="H66" s="18" t="str">
        <f>IFERROR(__xludf.DUMMYFUNCTION("""COMPUTED_VALUE"""),"Fiber")</f>
        <v>Fiber</v>
      </c>
      <c r="I66" s="18"/>
      <c r="J66" s="18"/>
      <c r="K66" s="18"/>
      <c r="L66" s="20"/>
    </row>
    <row r="67" ht="3.75" customHeight="1">
      <c r="A67" s="17">
        <f>IFERROR(__xludf.DUMMYFUNCTION("""COMPUTED_VALUE"""),17.0)</f>
        <v>17</v>
      </c>
      <c r="B67" s="18">
        <f>IFERROR(__xludf.DUMMYFUNCTION("""COMPUTED_VALUE"""),0.0)</f>
        <v>0</v>
      </c>
      <c r="C67" s="19" t="str">
        <f>IFERROR(__xludf.DUMMYFUNCTION("""COMPUTED_VALUE"""),"Kinutamin")</f>
        <v>Kinutamin</v>
      </c>
      <c r="D67" s="18"/>
      <c r="E67" s="18"/>
      <c r="F67" s="18">
        <f>IFERROR(__xludf.DUMMYFUNCTION("""COMPUTED_VALUE"""),2.4)</f>
        <v>2.4</v>
      </c>
      <c r="G67" s="18" t="str">
        <f>IFERROR(__xludf.DUMMYFUNCTION("""COMPUTED_VALUE"""),"●")</f>
        <v>●</v>
      </c>
      <c r="H67" s="18" t="str">
        <f>IFERROR(__xludf.DUMMYFUNCTION("""COMPUTED_VALUE"""),"Oil")</f>
        <v>Oil</v>
      </c>
      <c r="I67" s="18"/>
      <c r="J67" s="18"/>
      <c r="K67" s="18"/>
      <c r="L67" s="20"/>
    </row>
    <row r="68" ht="3.75" customHeight="1">
      <c r="A68" s="17">
        <f>IFERROR(__xludf.DUMMYFUNCTION("""COMPUTED_VALUE"""),17.0)</f>
        <v>17</v>
      </c>
      <c r="B68" s="18">
        <f>IFERROR(__xludf.DUMMYFUNCTION("""COMPUTED_VALUE"""),5.0)</f>
        <v>5</v>
      </c>
      <c r="C68" s="19" t="str">
        <f>IFERROR(__xludf.DUMMYFUNCTION("""COMPUTED_VALUE"""),"Nutakoen")</f>
        <v>Nutakoen</v>
      </c>
      <c r="D68" s="18"/>
      <c r="E68" s="18"/>
      <c r="F68" s="18"/>
      <c r="G68" s="18"/>
      <c r="H68" s="18" t="str">
        <f>IFERROR(__xludf.DUMMYFUNCTION("""COMPUTED_VALUE"""),"×")</f>
        <v>×</v>
      </c>
      <c r="I68" s="18" t="str">
        <f>IFERROR(__xludf.DUMMYFUNCTION("""COMPUTED_VALUE"""),"G")</f>
        <v>G</v>
      </c>
      <c r="J68" s="18"/>
      <c r="K68" s="18"/>
      <c r="L68" s="20" t="str">
        <f>IFERROR(__xludf.DUMMYFUNCTION("""COMPUTED_VALUE"""),"Gyakufunsha can appear.")</f>
        <v>Gyakufunsha can appear.</v>
      </c>
    </row>
    <row r="69" ht="3.75" customHeight="1">
      <c r="A69" s="17">
        <f>IFERROR(__xludf.DUMMYFUNCTION("""COMPUTED_VALUE"""),16.0)</f>
        <v>16</v>
      </c>
      <c r="B69" s="18">
        <f>IFERROR(__xludf.DUMMYFUNCTION("""COMPUTED_VALUE"""),0.0)</f>
        <v>0</v>
      </c>
      <c r="C69" s="19" t="str">
        <f>IFERROR(__xludf.DUMMYFUNCTION("""COMPUTED_VALUE"""),"Kaga")</f>
        <v>Kaga</v>
      </c>
      <c r="D69" s="18" t="str">
        <f>IFERROR(__xludf.DUMMYFUNCTION("""COMPUTED_VALUE"""),"M")</f>
        <v>M</v>
      </c>
      <c r="E69" s="18">
        <f>IFERROR(__xludf.DUMMYFUNCTION("""COMPUTED_VALUE"""),4.0)</f>
        <v>4</v>
      </c>
      <c r="F69" s="18"/>
      <c r="G69" s="18" t="str">
        <f>IFERROR(__xludf.DUMMYFUNCTION("""COMPUTED_VALUE"""),"●")</f>
        <v>●</v>
      </c>
      <c r="H69" s="18" t="str">
        <f>IFERROR(__xludf.DUMMYFUNCTION("""COMPUTED_VALUE"""),"Wood")</f>
        <v>Wood</v>
      </c>
      <c r="I69" s="18"/>
      <c r="J69" s="18" t="str">
        <f>IFERROR(__xludf.DUMMYFUNCTION("""COMPUTED_VALUE"""),"WE Green")</f>
        <v>WE Green</v>
      </c>
      <c r="K69" s="18"/>
      <c r="L69" s="20" t="str">
        <f>IFERROR(__xludf.DUMMYFUNCTION("""COMPUTED_VALUE"""),"BOSS: JIN-DIE. Drops War Ensemble Green Metal.")</f>
        <v>BOSS: JIN-DIE. Drops War Ensemble Green Metal.</v>
      </c>
    </row>
    <row r="70" ht="3.75" customHeight="1">
      <c r="A70" s="17">
        <f>IFERROR(__xludf.DUMMYFUNCTION("""COMPUTED_VALUE"""),16.0)</f>
        <v>16</v>
      </c>
      <c r="B70" s="18">
        <f>IFERROR(__xludf.DUMMYFUNCTION("""COMPUTED_VALUE"""),5.0)</f>
        <v>5</v>
      </c>
      <c r="C70" s="19" t="str">
        <f>IFERROR(__xludf.DUMMYFUNCTION("""COMPUTED_VALUE"""),"Kisuyama")</f>
        <v>Kisuyama</v>
      </c>
      <c r="D70" s="18"/>
      <c r="E70" s="18"/>
      <c r="F70" s="18"/>
      <c r="G70" s="18"/>
      <c r="H70" s="18" t="str">
        <f>IFERROR(__xludf.DUMMYFUNCTION("""COMPUTED_VALUE"""),"All")</f>
        <v>All</v>
      </c>
      <c r="I70" s="18"/>
      <c r="J70" s="18"/>
      <c r="K70" s="18"/>
      <c r="L70" s="20"/>
    </row>
    <row r="71" ht="3.75" customHeight="1">
      <c r="A71" s="17">
        <f>IFERROR(__xludf.DUMMYFUNCTION("""COMPUTED_VALUE"""),15.0)</f>
        <v>15</v>
      </c>
      <c r="B71" s="18">
        <f>IFERROR(__xludf.DUMMYFUNCTION("""COMPUTED_VALUE"""),0.0)</f>
        <v>0</v>
      </c>
      <c r="C71" s="19" t="str">
        <f>IFERROR(__xludf.DUMMYFUNCTION("""COMPUTED_VALUE"""),"Usogaya")</f>
        <v>Usogaya</v>
      </c>
      <c r="D71" s="18"/>
      <c r="E71" s="18"/>
      <c r="F71" s="18">
        <f>IFERROR(__xludf.DUMMYFUNCTION("""COMPUTED_VALUE"""),2.3)</f>
        <v>2.3</v>
      </c>
      <c r="G71" s="18" t="str">
        <f>IFERROR(__xludf.DUMMYFUNCTION("""COMPUTED_VALUE"""),"●")</f>
        <v>●</v>
      </c>
      <c r="H71" s="18" t="str">
        <f>IFERROR(__xludf.DUMMYFUNCTION("""COMPUTED_VALUE"""),"Iron")</f>
        <v>Iron</v>
      </c>
      <c r="I71" s="18"/>
      <c r="J71" s="18"/>
      <c r="K71" s="18"/>
      <c r="L71" s="20"/>
    </row>
    <row r="72" ht="3.75" customHeight="1">
      <c r="A72" s="17">
        <f>IFERROR(__xludf.DUMMYFUNCTION("""COMPUTED_VALUE"""),15.0)</f>
        <v>15</v>
      </c>
      <c r="B72" s="18">
        <f>IFERROR(__xludf.DUMMYFUNCTION("""COMPUTED_VALUE"""),0.0)</f>
        <v>0</v>
      </c>
      <c r="C72" s="19" t="str">
        <f>IFERROR(__xludf.DUMMYFUNCTION("""COMPUTED_VALUE"""),"Uge")</f>
        <v>Uge</v>
      </c>
      <c r="D72" s="18"/>
      <c r="E72" s="18"/>
      <c r="F72" s="18"/>
      <c r="G72" s="18"/>
      <c r="H72" s="18" t="str">
        <f>IFERROR(__xludf.DUMMYFUNCTION("""COMPUTED_VALUE"""),"Copper")</f>
        <v>Copper</v>
      </c>
      <c r="I72" s="18"/>
      <c r="J72" s="18"/>
      <c r="K72" s="18"/>
      <c r="L72" s="20"/>
    </row>
    <row r="73" ht="3.75" customHeight="1">
      <c r="A73" s="17">
        <f>IFERROR(__xludf.DUMMYFUNCTION("""COMPUTED_VALUE"""),14.0)</f>
        <v>14</v>
      </c>
      <c r="B73" s="18">
        <f>IFERROR(__xludf.DUMMYFUNCTION("""COMPUTED_VALUE"""),0.0)</f>
        <v>0</v>
      </c>
      <c r="C73" s="19" t="str">
        <f>IFERROR(__xludf.DUMMYFUNCTION("""COMPUTED_VALUE"""),"Yamadai")</f>
        <v>Yamadai</v>
      </c>
      <c r="D73" s="18"/>
      <c r="E73" s="18"/>
      <c r="F73" s="18">
        <f>IFERROR(__xludf.DUMMYFUNCTION("""COMPUTED_VALUE"""),2.2)</f>
        <v>2.2</v>
      </c>
      <c r="G73" s="18"/>
      <c r="H73" s="18" t="str">
        <f>IFERROR(__xludf.DUMMYFUNCTION("""COMPUTED_VALUE"""),"Fiber")</f>
        <v>Fiber</v>
      </c>
      <c r="I73" s="18"/>
      <c r="J73" s="18"/>
      <c r="K73" s="18"/>
      <c r="L73" s="20" t="str">
        <f>IFERROR(__xludf.DUMMYFUNCTION("""COMPUTED_VALUE"""),"Many Hemp spawns (about 3-6).")</f>
        <v>Many Hemp spawns (about 3-6).</v>
      </c>
    </row>
    <row r="74" ht="3.75" customHeight="1">
      <c r="A74" s="17">
        <f>IFERROR(__xludf.DUMMYFUNCTION("""COMPUTED_VALUE"""),14.0)</f>
        <v>14</v>
      </c>
      <c r="B74" s="18">
        <f>IFERROR(__xludf.DUMMYFUNCTION("""COMPUTED_VALUE"""),5.0)</f>
        <v>5</v>
      </c>
      <c r="C74" s="19" t="str">
        <f>IFERROR(__xludf.DUMMYFUNCTION("""COMPUTED_VALUE"""),"Koshi-Tagawa")</f>
        <v>Koshi-Tagawa</v>
      </c>
      <c r="D74" s="18"/>
      <c r="E74" s="18"/>
      <c r="F74" s="18"/>
      <c r="G74" s="18"/>
      <c r="H74" s="18" t="str">
        <f>IFERROR(__xludf.DUMMYFUNCTION("""COMPUTED_VALUE"""),"×")</f>
        <v>×</v>
      </c>
      <c r="I74" s="18" t="str">
        <f>IFERROR(__xludf.DUMMYFUNCTION("""COMPUTED_VALUE"""),"G")</f>
        <v>G</v>
      </c>
      <c r="J74" s="18"/>
      <c r="K74" s="18"/>
      <c r="L74" s="20" t="str">
        <f>IFERROR(__xludf.DUMMYFUNCTION("""COMPUTED_VALUE"""),"Gyakufunsha can appear. Floor is active every day, except Friday.")</f>
        <v>Gyakufunsha can appear. Floor is active every day, except Friday.</v>
      </c>
    </row>
    <row r="75" ht="1.5" customHeight="1">
      <c r="A75" s="17">
        <f>IFERROR(__xludf.DUMMYFUNCTION("""COMPUTED_VALUE"""),13.0)</f>
        <v>13</v>
      </c>
      <c r="B75" s="18">
        <f>IFERROR(__xludf.DUMMYFUNCTION("""COMPUTED_VALUE"""),0.0)</f>
        <v>0</v>
      </c>
      <c r="C75" s="19" t="str">
        <f>IFERROR(__xludf.DUMMYFUNCTION("""COMPUTED_VALUE"""),"Kamoto")</f>
        <v>Kamoto</v>
      </c>
      <c r="D75" s="18" t="str">
        <f>IFERROR(__xludf.DUMMYFUNCTION("""COMPUTED_VALUE"""),"M")</f>
        <v>M</v>
      </c>
      <c r="E75" s="18">
        <f>IFERROR(__xludf.DUMMYFUNCTION("""COMPUTED_VALUE"""),3.0)</f>
        <v>3</v>
      </c>
      <c r="F75" s="18"/>
      <c r="G75" s="18"/>
      <c r="H75" s="18" t="str">
        <f>IFERROR(__xludf.DUMMYFUNCTION("""COMPUTED_VALUE"""),"All")</f>
        <v>All</v>
      </c>
      <c r="I75" s="18"/>
      <c r="J75" s="18"/>
      <c r="K75" s="18"/>
      <c r="L75" s="20"/>
    </row>
    <row r="76" ht="1.5" customHeight="1">
      <c r="A76" s="17">
        <f>IFERROR(__xludf.DUMMYFUNCTION("""COMPUTED_VALUE"""),13.0)</f>
        <v>13</v>
      </c>
      <c r="B76" s="18">
        <f>IFERROR(__xludf.DUMMYFUNCTION("""COMPUTED_VALUE"""),0.0)</f>
        <v>0</v>
      </c>
      <c r="C76" s="19" t="str">
        <f>IFERROR(__xludf.DUMMYFUNCTION("""COMPUTED_VALUE"""),"Momohara")</f>
        <v>Momohara</v>
      </c>
      <c r="D76" s="18"/>
      <c r="E76" s="18"/>
      <c r="F76" s="18">
        <f>IFERROR(__xludf.DUMMYFUNCTION("""COMPUTED_VALUE"""),2.1)</f>
        <v>2.1</v>
      </c>
      <c r="G76" s="18"/>
      <c r="H76" s="18" t="str">
        <f>IFERROR(__xludf.DUMMYFUNCTION("""COMPUTED_VALUE"""),"All")</f>
        <v>All</v>
      </c>
      <c r="I76" s="18"/>
      <c r="J76" s="18"/>
      <c r="K76" s="18"/>
      <c r="L76" s="20"/>
    </row>
    <row r="77" ht="1.5" customHeight="1">
      <c r="A77" s="17">
        <f>IFERROR(__xludf.DUMMYFUNCTION("""COMPUTED_VALUE"""),12.0)</f>
        <v>12</v>
      </c>
      <c r="B77" s="18">
        <f>IFERROR(__xludf.DUMMYFUNCTION("""COMPUTED_VALUE"""),0.0)</f>
        <v>0</v>
      </c>
      <c r="C77" s="19" t="str">
        <f>IFERROR(__xludf.DUMMYFUNCTION("""COMPUTED_VALUE"""),"Ukongaoka")</f>
        <v>Ukongaoka</v>
      </c>
      <c r="D77" s="18" t="str">
        <f>IFERROR(__xludf.DUMMYFUNCTION("""COMPUTED_VALUE"""),"M")</f>
        <v>M</v>
      </c>
      <c r="E77" s="18"/>
      <c r="F77" s="18"/>
      <c r="G77" s="18" t="str">
        <f>IFERROR(__xludf.DUMMYFUNCTION("""COMPUTED_VALUE"""),"●")</f>
        <v>●</v>
      </c>
      <c r="H77" s="18" t="str">
        <f>IFERROR(__xludf.DUMMYFUNCTION("""COMPUTED_VALUE"""),"Fiber")</f>
        <v>Fiber</v>
      </c>
      <c r="I77" s="18"/>
      <c r="J77" s="18"/>
      <c r="K77" s="18"/>
      <c r="L77" s="20"/>
    </row>
    <row r="78" ht="1.5" customHeight="1">
      <c r="A78" s="17">
        <f>IFERROR(__xludf.DUMMYFUNCTION("""COMPUTED_VALUE"""),12.0)</f>
        <v>12</v>
      </c>
      <c r="B78" s="18">
        <f>IFERROR(__xludf.DUMMYFUNCTION("""COMPUTED_VALUE"""),0.0)</f>
        <v>0</v>
      </c>
      <c r="C78" s="19" t="str">
        <f>IFERROR(__xludf.DUMMYFUNCTION("""COMPUTED_VALUE"""),"Seyane")</f>
        <v>Seyane</v>
      </c>
      <c r="D78" s="18"/>
      <c r="E78" s="18"/>
      <c r="F78" s="18"/>
      <c r="G78" s="18"/>
      <c r="H78" s="18" t="str">
        <f>IFERROR(__xludf.DUMMYFUNCTION("""COMPUTED_VALUE"""),"All")</f>
        <v>All</v>
      </c>
      <c r="I78" s="18"/>
      <c r="J78" s="18"/>
      <c r="K78" s="18"/>
      <c r="L78" s="20" t="str">
        <f>IFERROR(__xludf.DUMMYFUNCTION("""COMPUTED_VALUE"""),"Unlock from 14F Yamadai.")</f>
        <v>Unlock from 14F Yamadai.</v>
      </c>
    </row>
    <row r="79" ht="1.5" customHeight="1">
      <c r="A79" s="17">
        <f>IFERROR(__xludf.DUMMYFUNCTION("""COMPUTED_VALUE"""),11.0)</f>
        <v>11</v>
      </c>
      <c r="B79" s="18">
        <f>IFERROR(__xludf.DUMMYFUNCTION("""COMPUTED_VALUE"""),0.0)</f>
        <v>0</v>
      </c>
      <c r="C79" s="19" t="str">
        <f>IFERROR(__xludf.DUMMYFUNCTION("""COMPUTED_VALUE"""),"Maka-Tsutsumi")</f>
        <v>Maka-Tsutsumi</v>
      </c>
      <c r="D79" s="18" t="str">
        <f>IFERROR(__xludf.DUMMYFUNCTION("""COMPUTED_VALUE"""),"M")</f>
        <v>M</v>
      </c>
      <c r="E79" s="18"/>
      <c r="F79" s="18"/>
      <c r="G79" s="18"/>
      <c r="H79" s="18" t="str">
        <f>IFERROR(__xludf.DUMMYFUNCTION("""COMPUTED_VALUE"""),"×")</f>
        <v>×</v>
      </c>
      <c r="I79" s="18"/>
      <c r="J79" s="18" t="str">
        <f>IFERROR(__xludf.DUMMYFUNCTION("""COMPUTED_VALUE"""),"CW Green")</f>
        <v>CW Green</v>
      </c>
      <c r="K79" s="18"/>
      <c r="L79" s="20" t="str">
        <f>IFERROR(__xludf.DUMMYFUNCTION("""COMPUTED_VALUE"""),"BOSS: GOTO-9. Drops Candle Wolf Green Metal.")</f>
        <v>BOSS: GOTO-9. Drops Candle Wolf Green Metal.</v>
      </c>
    </row>
    <row r="80" ht="1.5" customHeight="1">
      <c r="A80" s="17">
        <f>IFERROR(__xludf.DUMMYFUNCTION("""COMPUTED_VALUE"""),11.0)</f>
        <v>11</v>
      </c>
      <c r="B80" s="18">
        <f>IFERROR(__xludf.DUMMYFUNCTION("""COMPUTED_VALUE"""),5.0)</f>
        <v>5</v>
      </c>
      <c r="C80" s="19" t="str">
        <f>IFERROR(__xludf.DUMMYFUNCTION("""COMPUTED_VALUE"""),"Nokejiri")</f>
        <v>Nokejiri</v>
      </c>
      <c r="D80" s="18"/>
      <c r="E80" s="18"/>
      <c r="F80" s="18"/>
      <c r="G80" s="18" t="str">
        <f>IFERROR(__xludf.DUMMYFUNCTION("""COMPUTED_VALUE"""),"●")</f>
        <v>●</v>
      </c>
      <c r="H80" s="18" t="str">
        <f>IFERROR(__xludf.DUMMYFUNCTION("""COMPUTED_VALUE"""),"All")</f>
        <v>All</v>
      </c>
      <c r="I80" s="18"/>
      <c r="J80" s="18"/>
      <c r="K80" s="18" t="str">
        <f>IFERROR(__xludf.DUMMYFUNCTION("""COMPUTED_VALUE"""),"Green")</f>
        <v>Green</v>
      </c>
      <c r="L80" s="20" t="str">
        <f>IFERROR(__xludf.DUMMYFUNCTION("""COMPUTED_VALUE"""),"TRAP: Green or Blue Metals. Not active on Tue/Wed/Sat/Sun. 2 Bone Tubers, 1 Screamer.")</f>
        <v>TRAP: Green or Blue Metals. Not active on Tue/Wed/Sat/Sun. 2 Bone Tubers, 1 Screamer.</v>
      </c>
    </row>
    <row r="81" ht="1.5" customHeight="1">
      <c r="A81" s="17">
        <f>IFERROR(__xludf.DUMMYFUNCTION("""COMPUTED_VALUE"""),10.0)</f>
        <v>10</v>
      </c>
      <c r="B81" s="18">
        <f>IFERROR(__xludf.DUMMYFUNCTION("""COMPUTED_VALUE"""),0.0)</f>
        <v>0</v>
      </c>
      <c r="C81" s="19" t="str">
        <f>IFERROR(__xludf.DUMMYFUNCTION("""COMPUTED_VALUE"""),"Shimo-Omeno")</f>
        <v>Shimo-Omeno</v>
      </c>
      <c r="D81" s="18"/>
      <c r="E81" s="18"/>
      <c r="F81" s="18"/>
      <c r="G81" s="18"/>
      <c r="H81" s="18" t="str">
        <f>IFERROR(__xludf.DUMMYFUNCTION("""COMPUTED_VALUE"""),"Fiber")</f>
        <v>Fiber</v>
      </c>
      <c r="I81" s="18"/>
      <c r="J81" s="18"/>
      <c r="K81" s="18"/>
      <c r="L81" s="20"/>
    </row>
    <row r="82" ht="1.5" customHeight="1">
      <c r="A82" s="17">
        <f>IFERROR(__xludf.DUMMYFUNCTION("""COMPUTED_VALUE"""),10.0)</f>
        <v>10</v>
      </c>
      <c r="B82" s="18">
        <f>IFERROR(__xludf.DUMMYFUNCTION("""COMPUTED_VALUE"""),0.0)</f>
        <v>0</v>
      </c>
      <c r="C82" s="19" t="str">
        <f>IFERROR(__xludf.DUMMYFUNCTION("""COMPUTED_VALUE"""),"Omeno-Soto")</f>
        <v>Omeno-Soto</v>
      </c>
      <c r="D82" s="18" t="str">
        <f>IFERROR(__xludf.DUMMYFUNCTION("""COMPUTED_VALUE"""),"M")</f>
        <v>M</v>
      </c>
      <c r="E82" s="18"/>
      <c r="F82" s="18"/>
      <c r="G82" s="18" t="str">
        <f>IFERROR(__xludf.DUMMYFUNCTION("""COMPUTED_VALUE"""),"●")</f>
        <v>●</v>
      </c>
      <c r="H82" s="18" t="str">
        <f>IFERROR(__xludf.DUMMYFUNCTION("""COMPUTED_VALUE"""),"×")</f>
        <v>×</v>
      </c>
      <c r="I82" s="18"/>
      <c r="J82" s="18" t="str">
        <f>IFERROR(__xludf.DUMMYFUNCTION("""COMPUTED_VALUE"""),"DOD Blue")</f>
        <v>DOD Blue</v>
      </c>
      <c r="K82" s="18"/>
      <c r="L82" s="20" t="str">
        <f>IFERROR(__xludf.DUMMYFUNCTION("""COMPUTED_VALUE"""),"BOSS: Max Sharp.")</f>
        <v>BOSS: Max Sharp.</v>
      </c>
    </row>
    <row r="83" ht="1.5" customHeight="1">
      <c r="A83" s="17">
        <f>IFERROR(__xludf.DUMMYFUNCTION("""COMPUTED_VALUE"""),9.0)</f>
        <v>9</v>
      </c>
      <c r="B83" s="18">
        <f>IFERROR(__xludf.DUMMYFUNCTION("""COMPUTED_VALUE"""),0.0)</f>
        <v>0</v>
      </c>
      <c r="C83" s="19" t="str">
        <f>IFERROR(__xludf.DUMMYFUNCTION("""COMPUTED_VALUE"""),"Nashiyoguchi")</f>
        <v>Nashiyoguchi</v>
      </c>
      <c r="D83" s="18" t="str">
        <f>IFERROR(__xludf.DUMMYFUNCTION("""COMPUTED_VALUE"""),"M")</f>
        <v>M</v>
      </c>
      <c r="E83" s="18"/>
      <c r="F83" s="18"/>
      <c r="G83" s="18" t="str">
        <f>IFERROR(__xludf.DUMMYFUNCTION("""COMPUTED_VALUE"""),"●")</f>
        <v>●</v>
      </c>
      <c r="H83" s="18" t="str">
        <f>IFERROR(__xludf.DUMMYFUNCTION("""COMPUTED_VALUE"""),"Copper")</f>
        <v>Copper</v>
      </c>
      <c r="I83" s="18"/>
      <c r="J83" s="18"/>
      <c r="K83" s="18"/>
      <c r="L83" s="20"/>
    </row>
    <row r="84" ht="1.5" customHeight="1">
      <c r="A84" s="17">
        <f>IFERROR(__xludf.DUMMYFUNCTION("""COMPUTED_VALUE"""),9.0)</f>
        <v>9</v>
      </c>
      <c r="B84" s="18">
        <f>IFERROR(__xludf.DUMMYFUNCTION("""COMPUTED_VALUE"""),0.0)</f>
        <v>0</v>
      </c>
      <c r="C84" s="19" t="str">
        <f>IFERROR(__xludf.DUMMYFUNCTION("""COMPUTED_VALUE"""),"Yoneguchi")</f>
        <v>Yoneguchi</v>
      </c>
      <c r="D84" s="18"/>
      <c r="E84" s="18"/>
      <c r="F84" s="18"/>
      <c r="G84" s="18"/>
      <c r="H84" s="18" t="str">
        <f>IFERROR(__xludf.DUMMYFUNCTION("""COMPUTED_VALUE"""),"All")</f>
        <v>All</v>
      </c>
      <c r="I84" s="18" t="str">
        <f>IFERROR(__xludf.DUMMYFUNCTION("""COMPUTED_VALUE"""),"G")</f>
        <v>G</v>
      </c>
      <c r="J84" s="18"/>
      <c r="K84" s="18"/>
      <c r="L84" s="20" t="str">
        <f>IFERROR(__xludf.DUMMYFUNCTION("""COMPUTED_VALUE"""),"Gyakufunsha can appear.")</f>
        <v>Gyakufunsha can appear.</v>
      </c>
    </row>
    <row r="85" ht="1.5" customHeight="1">
      <c r="A85" s="17">
        <f>IFERROR(__xludf.DUMMYFUNCTION("""COMPUTED_VALUE"""),9.0)</f>
        <v>9</v>
      </c>
      <c r="B85" s="18">
        <f>IFERROR(__xludf.DUMMYFUNCTION("""COMPUTED_VALUE"""),0.0)</f>
        <v>0</v>
      </c>
      <c r="C85" s="19" t="str">
        <f>IFERROR(__xludf.DUMMYFUNCTION("""COMPUTED_VALUE"""),"Yoshiki-Dani")</f>
        <v>Yoshiki-Dani</v>
      </c>
      <c r="D85" s="18"/>
      <c r="E85" s="18"/>
      <c r="F85" s="18">
        <f>IFERROR(__xludf.DUMMYFUNCTION("""COMPUTED_VALUE"""),1.6)</f>
        <v>1.6</v>
      </c>
      <c r="G85" s="18"/>
      <c r="H85" s="18" t="str">
        <f>IFERROR(__xludf.DUMMYFUNCTION("""COMPUTED_VALUE"""),"Fiber")</f>
        <v>Fiber</v>
      </c>
      <c r="I85" s="18"/>
      <c r="J85" s="18"/>
      <c r="K85" s="18"/>
      <c r="L85" s="20" t="str">
        <f>IFERROR(__xludf.DUMMYFUNCTION("""COMPUTED_VALUE"""),"One Mk-1 Reversal Tuber.")</f>
        <v>One Mk-1 Reversal Tuber.</v>
      </c>
    </row>
    <row r="86" ht="3.75" customHeight="1">
      <c r="A86" s="17">
        <f>IFERROR(__xludf.DUMMYFUNCTION("""COMPUTED_VALUE"""),8.0)</f>
        <v>8</v>
      </c>
      <c r="B86" s="18">
        <f>IFERROR(__xludf.DUMMYFUNCTION("""COMPUTED_VALUE"""),0.0)</f>
        <v>0</v>
      </c>
      <c r="C86" s="19" t="str">
        <f>IFERROR(__xludf.DUMMYFUNCTION("""COMPUTED_VALUE"""),"Niko-Senzoku")</f>
        <v>Niko-Senzoku</v>
      </c>
      <c r="D86" s="18" t="str">
        <f>IFERROR(__xludf.DUMMYFUNCTION("""COMPUTED_VALUE"""),"M")</f>
        <v>M</v>
      </c>
      <c r="E86" s="18"/>
      <c r="F86" s="18"/>
      <c r="G86" s="18"/>
      <c r="H86" s="18" t="str">
        <f>IFERROR(__xludf.DUMMYFUNCTION("""COMPUTED_VALUE"""),"Aluminum")</f>
        <v>Aluminum</v>
      </c>
      <c r="I86" s="18"/>
      <c r="J86" s="18"/>
      <c r="K86" s="18"/>
      <c r="L86" s="20" t="str">
        <f>IFERROR(__xludf.DUMMYFUNCTION("""COMPUTED_VALUE"""),"Unlock from 6F Mekaroku-Go. One Mk-1 Bullet Tuber.")</f>
        <v>Unlock from 6F Mekaroku-Go. One Mk-1 Bullet Tuber.</v>
      </c>
    </row>
    <row r="87" ht="3.75" customHeight="1">
      <c r="A87" s="17">
        <f>IFERROR(__xludf.DUMMYFUNCTION("""COMPUTED_VALUE"""),8.0)</f>
        <v>8</v>
      </c>
      <c r="B87" s="18">
        <f>IFERROR(__xludf.DUMMYFUNCTION("""COMPUTED_VALUE"""),0.0)</f>
        <v>0</v>
      </c>
      <c r="C87" s="19" t="str">
        <f>IFERROR(__xludf.DUMMYFUNCTION("""COMPUTED_VALUE"""),"Meta-Koya")</f>
        <v>Meta-Koya</v>
      </c>
      <c r="D87" s="18"/>
      <c r="E87" s="18"/>
      <c r="F87" s="18"/>
      <c r="G87" s="18"/>
      <c r="H87" s="18" t="str">
        <f>IFERROR(__xludf.DUMMYFUNCTION("""COMPUTED_VALUE"""),"Fiber")</f>
        <v>Fiber</v>
      </c>
      <c r="I87" s="18"/>
      <c r="J87" s="18"/>
      <c r="K87" s="18"/>
      <c r="L87" s="20"/>
    </row>
    <row r="88" ht="3.75" customHeight="1">
      <c r="A88" s="17">
        <f>IFERROR(__xludf.DUMMYFUNCTION("""COMPUTED_VALUE"""),8.0)</f>
        <v>8</v>
      </c>
      <c r="B88" s="18">
        <f>IFERROR(__xludf.DUMMYFUNCTION("""COMPUTED_VALUE"""),5.0)</f>
        <v>5</v>
      </c>
      <c r="C88" s="19" t="str">
        <f>IFERROR(__xludf.DUMMYFUNCTION("""COMPUTED_VALUE"""),"Maminemachi")</f>
        <v>Maminemachi</v>
      </c>
      <c r="D88" s="18"/>
      <c r="E88" s="18"/>
      <c r="F88" s="18"/>
      <c r="G88" s="18" t="str">
        <f>IFERROR(__xludf.DUMMYFUNCTION("""COMPUTED_VALUE"""),"●")</f>
        <v>●</v>
      </c>
      <c r="H88" s="18" t="str">
        <f>IFERROR(__xludf.DUMMYFUNCTION("""COMPUTED_VALUE"""),"Fiber")</f>
        <v>Fiber</v>
      </c>
      <c r="I88" s="18"/>
      <c r="J88" s="18"/>
      <c r="K88" s="18"/>
      <c r="L88" s="20" t="str">
        <f>IFERROR(__xludf.DUMMYFUNCTION("""COMPUTED_VALUE"""),"Must first enter from 7F Regashi-Koya.")</f>
        <v>Must first enter from 7F Regashi-Koya.</v>
      </c>
    </row>
    <row r="89" ht="3.75" customHeight="1">
      <c r="A89" s="17">
        <f>IFERROR(__xludf.DUMMYFUNCTION("""COMPUTED_VALUE"""),7.0)</f>
        <v>7</v>
      </c>
      <c r="B89" s="18">
        <f>IFERROR(__xludf.DUMMYFUNCTION("""COMPUTED_VALUE"""),0.0)</f>
        <v>0</v>
      </c>
      <c r="C89" s="19" t="str">
        <f>IFERROR(__xludf.DUMMYFUNCTION("""COMPUTED_VALUE"""),"Daneda")</f>
        <v>Daneda</v>
      </c>
      <c r="D89" s="18"/>
      <c r="E89" s="18"/>
      <c r="F89" s="18"/>
      <c r="G89" s="18"/>
      <c r="H89" s="18" t="str">
        <f>IFERROR(__xludf.DUMMYFUNCTION("""COMPUTED_VALUE"""),"Oil")</f>
        <v>Oil</v>
      </c>
      <c r="I89" s="18"/>
      <c r="J89" s="18"/>
      <c r="K89" s="18"/>
      <c r="L89" s="20" t="str">
        <f>IFERROR(__xludf.DUMMYFUNCTION("""COMPUTED_VALUE"""),"Unlock from Niko-Senzoku Lots of Snails.")</f>
        <v>Unlock from Niko-Senzoku Lots of Snails.</v>
      </c>
    </row>
    <row r="90" ht="3.75" customHeight="1">
      <c r="A90" s="17">
        <f>IFERROR(__xludf.DUMMYFUNCTION("""COMPUTED_VALUE"""),7.0)</f>
        <v>7</v>
      </c>
      <c r="B90" s="18">
        <f>IFERROR(__xludf.DUMMYFUNCTION("""COMPUTED_VALUE"""),0.0)</f>
        <v>0</v>
      </c>
      <c r="C90" s="19" t="str">
        <f>IFERROR(__xludf.DUMMYFUNCTION("""COMPUTED_VALUE"""),"Yuki")</f>
        <v>Yuki</v>
      </c>
      <c r="D90" s="18"/>
      <c r="E90" s="18"/>
      <c r="F90" s="18">
        <f>IFERROR(__xludf.DUMMYFUNCTION("""COMPUTED_VALUE"""),1.5)</f>
        <v>1.5</v>
      </c>
      <c r="G90" s="18" t="str">
        <f>IFERROR(__xludf.DUMMYFUNCTION("""COMPUTED_VALUE"""),"●")</f>
        <v>●</v>
      </c>
      <c r="H90" s="18" t="str">
        <f>IFERROR(__xludf.DUMMYFUNCTION("""COMPUTED_VALUE"""),"Fiber")</f>
        <v>Fiber</v>
      </c>
      <c r="I90" s="18"/>
      <c r="J90" s="18"/>
      <c r="K90" s="18"/>
      <c r="L90" s="20" t="str">
        <f>IFERROR(__xludf.DUMMYFUNCTION("""COMPUTED_VALUE"""),"Unlocked from HYAKUDORI (after Jin-Die Kill) Three Mk-1 Bullet Tubers.")</f>
        <v>Unlocked from HYAKUDORI (after Jin-Die Kill) Three Mk-1 Bullet Tubers.</v>
      </c>
    </row>
    <row r="91" ht="3.75" customHeight="1">
      <c r="A91" s="17">
        <f>IFERROR(__xludf.DUMMYFUNCTION("""COMPUTED_VALUE"""),7.0)</f>
        <v>7</v>
      </c>
      <c r="B91" s="18">
        <f>IFERROR(__xludf.DUMMYFUNCTION("""COMPUTED_VALUE"""),5.0)</f>
        <v>5</v>
      </c>
      <c r="C91" s="19" t="str">
        <f>IFERROR(__xludf.DUMMYFUNCTION("""COMPUTED_VALUE"""),"Regashi-Koya")</f>
        <v>Regashi-Koya</v>
      </c>
      <c r="D91" s="18"/>
      <c r="E91" s="18"/>
      <c r="F91" s="22"/>
      <c r="G91" s="18"/>
      <c r="H91" s="18" t="str">
        <f>IFERROR(__xludf.DUMMYFUNCTION("""COMPUTED_VALUE"""),"All")</f>
        <v>All</v>
      </c>
      <c r="I91" s="18"/>
      <c r="J91" s="18"/>
      <c r="K91" s="18"/>
      <c r="L91" s="20" t="str">
        <f>IFERROR(__xludf.DUMMYFUNCTION("""COMPUTED_VALUE"""),"Gates in two corridors close and stay locked until you return to Waiting Room.")</f>
        <v>Gates in two corridors close and stay locked until you return to Waiting Room.</v>
      </c>
    </row>
    <row r="92" ht="3.75" customHeight="1">
      <c r="A92" s="17">
        <f>IFERROR(__xludf.DUMMYFUNCTION("""COMPUTED_VALUE"""),6.0)</f>
        <v>6</v>
      </c>
      <c r="B92" s="18">
        <f>IFERROR(__xludf.DUMMYFUNCTION("""COMPUTED_VALUE"""),5.0)</f>
        <v>5</v>
      </c>
      <c r="C92" s="19" t="str">
        <f>IFERROR(__xludf.DUMMYFUNCTION("""COMPUTED_VALUE"""),"Moka-Magome")</f>
        <v>Moka-Magome</v>
      </c>
      <c r="D92" s="18" t="str">
        <f>IFERROR(__xludf.DUMMYFUNCTION("""COMPUTED_VALUE"""),"M")</f>
        <v>M</v>
      </c>
      <c r="E92" s="18"/>
      <c r="F92" s="18">
        <f>IFERROR(__xludf.DUMMYFUNCTION("""COMPUTED_VALUE"""),1.4)</f>
        <v>1.4</v>
      </c>
      <c r="G92" s="18"/>
      <c r="H92" s="18" t="str">
        <f>IFERROR(__xludf.DUMMYFUNCTION("""COMPUTED_VALUE"""),"Iron")</f>
        <v>Iron</v>
      </c>
      <c r="I92" s="18"/>
      <c r="J92" s="18" t="str">
        <f>IFERROR(__xludf.DUMMYFUNCTION("""COMPUTED_VALUE"""),"WE Blue")</f>
        <v>WE Blue</v>
      </c>
      <c r="K92" s="18"/>
      <c r="L92" s="20" t="str">
        <f>IFERROR(__xludf.DUMMYFUNCTION("""COMPUTED_VALUE"""),"BOSS: JIN-DIE. Drops War Ensemble Blue Metal. Trap not active Mondays &amp; Thursdays.")</f>
        <v>BOSS: JIN-DIE. Drops War Ensemble Blue Metal. Trap not active Mondays &amp; Thursdays.</v>
      </c>
    </row>
    <row r="93" ht="3.75" customHeight="1">
      <c r="A93" s="17">
        <f>IFERROR(__xludf.DUMMYFUNCTION("""COMPUTED_VALUE"""),6.0)</f>
        <v>6</v>
      </c>
      <c r="B93" s="18">
        <f>IFERROR(__xludf.DUMMYFUNCTION("""COMPUTED_VALUE"""),0.0)</f>
        <v>0</v>
      </c>
      <c r="C93" s="19" t="str">
        <f>IFERROR(__xludf.DUMMYFUNCTION("""COMPUTED_VALUE"""),"Mekaroku-Go")</f>
        <v>Mekaroku-Go</v>
      </c>
      <c r="D93" s="18"/>
      <c r="E93" s="18"/>
      <c r="F93" s="18"/>
      <c r="G93" s="18"/>
      <c r="H93" s="18" t="str">
        <f>IFERROR(__xludf.DUMMYFUNCTION("""COMPUTED_VALUE"""),"All")</f>
        <v>All</v>
      </c>
      <c r="I93" s="18"/>
      <c r="J93" s="18"/>
      <c r="K93" s="18"/>
      <c r="L93" s="20" t="str">
        <f>IFERROR(__xludf.DUMMYFUNCTION("""COMPUTED_VALUE"""),"Four Mk-1 Bullet Tubers, three of them in one room.")</f>
        <v>Four Mk-1 Bullet Tubers, three of them in one room.</v>
      </c>
    </row>
    <row r="94" ht="3.75" customHeight="1">
      <c r="A94" s="17">
        <f>IFERROR(__xludf.DUMMYFUNCTION("""COMPUTED_VALUE"""),5.0)</f>
        <v>5</v>
      </c>
      <c r="B94" s="18">
        <f>IFERROR(__xludf.DUMMYFUNCTION("""COMPUTED_VALUE"""),0.0)</f>
        <v>0</v>
      </c>
      <c r="C94" s="19" t="str">
        <f>IFERROR(__xludf.DUMMYFUNCTION("""COMPUTED_VALUE"""),"Hyakudori")</f>
        <v>Hyakudori</v>
      </c>
      <c r="D94" s="18" t="str">
        <f>IFERROR(__xludf.DUMMYFUNCTION("""COMPUTED_VALUE"""),"M")</f>
        <v>M</v>
      </c>
      <c r="E94" s="18"/>
      <c r="F94" s="18">
        <f>IFERROR(__xludf.DUMMYFUNCTION("""COMPUTED_VALUE"""),1.3)</f>
        <v>1.3</v>
      </c>
      <c r="G94" s="18" t="str">
        <f>IFERROR(__xludf.DUMMYFUNCTION("""COMPUTED_VALUE"""),"●")</f>
        <v>●</v>
      </c>
      <c r="H94" s="18" t="str">
        <f>IFERROR(__xludf.DUMMYFUNCTION("""COMPUTED_VALUE"""),"Fiber")</f>
        <v>Fiber</v>
      </c>
      <c r="I94" s="18"/>
      <c r="J94" s="18"/>
      <c r="K94" s="18"/>
      <c r="L94" s="20" t="str">
        <f>IFERROR(__xludf.DUMMYFUNCTION("""COMPUTED_VALUE"""),"Unlock from 3F Kami-Ikedoi.")</f>
        <v>Unlock from 3F Kami-Ikedoi.</v>
      </c>
    </row>
    <row r="95" ht="3.75" customHeight="1">
      <c r="A95" s="17">
        <f>IFERROR(__xludf.DUMMYFUNCTION("""COMPUTED_VALUE"""),5.0)</f>
        <v>5</v>
      </c>
      <c r="B95" s="18">
        <f>IFERROR(__xludf.DUMMYFUNCTION("""COMPUTED_VALUE"""),0.0)</f>
        <v>0</v>
      </c>
      <c r="C95" s="19" t="str">
        <f>IFERROR(__xludf.DUMMYFUNCTION("""COMPUTED_VALUE"""),"Joten-Jima")</f>
        <v>Joten-Jima</v>
      </c>
      <c r="D95" s="18"/>
      <c r="E95" s="18"/>
      <c r="F95" s="18"/>
      <c r="G95" s="18"/>
      <c r="H95" s="18" t="str">
        <f>IFERROR(__xludf.DUMMYFUNCTION("""COMPUTED_VALUE"""),"Wood")</f>
        <v>Wood</v>
      </c>
      <c r="I95" s="18"/>
      <c r="J95" s="18"/>
      <c r="K95" s="18"/>
      <c r="L95" s="20"/>
    </row>
    <row r="96" ht="3.75" customHeight="1">
      <c r="A96" s="17">
        <f>IFERROR(__xludf.DUMMYFUNCTION("""COMPUTED_VALUE"""),5.0)</f>
        <v>5</v>
      </c>
      <c r="B96" s="18">
        <f>IFERROR(__xludf.DUMMYFUNCTION("""COMPUTED_VALUE"""),5.0)</f>
        <v>5</v>
      </c>
      <c r="C96" s="19" t="str">
        <f>IFERROR(__xludf.DUMMYFUNCTION("""COMPUTED_VALUE"""),"Sokai")</f>
        <v>Sokai</v>
      </c>
      <c r="D96" s="18"/>
      <c r="E96" s="18"/>
      <c r="F96" s="18"/>
      <c r="G96" s="18"/>
      <c r="H96" s="18" t="str">
        <f>IFERROR(__xludf.DUMMYFUNCTION("""COMPUTED_VALUE"""),"All")</f>
        <v>All</v>
      </c>
      <c r="I96" s="18"/>
      <c r="J96" s="18"/>
      <c r="K96" s="18"/>
      <c r="L96" s="20" t="str">
        <f>IFERROR(__xludf.DUMMYFUNCTION("""COMPUTED_VALUE"""),"One Mk-1 Reversal Tuber, three Mk-1 Bone Tubers.")</f>
        <v>One Mk-1 Reversal Tuber, three Mk-1 Bone Tubers.</v>
      </c>
    </row>
    <row r="97" ht="3.75" customHeight="1">
      <c r="A97" s="17">
        <f>IFERROR(__xludf.DUMMYFUNCTION("""COMPUTED_VALUE"""),5.0)</f>
        <v>5</v>
      </c>
      <c r="B97" s="18">
        <f>IFERROR(__xludf.DUMMYFUNCTION("""COMPUTED_VALUE"""),5.0)</f>
        <v>5</v>
      </c>
      <c r="C97" s="19" t="str">
        <f>IFERROR(__xludf.DUMMYFUNCTION("""COMPUTED_VALUE"""),"Denden-Chofu")</f>
        <v>Denden-Chofu</v>
      </c>
      <c r="D97" s="18"/>
      <c r="E97" s="18"/>
      <c r="F97" s="18"/>
      <c r="G97" s="18"/>
      <c r="H97" s="18" t="str">
        <f>IFERROR(__xludf.DUMMYFUNCTION("""COMPUTED_VALUE"""),"Fiber")</f>
        <v>Fiber</v>
      </c>
      <c r="I97" s="18" t="str">
        <f>IFERROR(__xludf.DUMMYFUNCTION("""COMPUTED_VALUE"""),"G")</f>
        <v>G</v>
      </c>
      <c r="J97" s="18"/>
      <c r="K97" s="18"/>
      <c r="L97" s="20" t="str">
        <f>IFERROR(__xludf.DUMMYFUNCTION("""COMPUTED_VALUE"""),"Gyakufunsha can appear. Many Wool spawns.")</f>
        <v>Gyakufunsha can appear. Many Wool spawns.</v>
      </c>
    </row>
    <row r="98" ht="3.75" customHeight="1">
      <c r="A98" s="17">
        <f>IFERROR(__xludf.DUMMYFUNCTION("""COMPUTED_VALUE"""),4.0)</f>
        <v>4</v>
      </c>
      <c r="B98" s="18">
        <f>IFERROR(__xludf.DUMMYFUNCTION("""COMPUTED_VALUE"""),0.0)</f>
        <v>0</v>
      </c>
      <c r="C98" s="19" t="str">
        <f>IFERROR(__xludf.DUMMYFUNCTION("""COMPUTED_VALUE"""),"Tagahara")</f>
        <v>Tagahara</v>
      </c>
      <c r="D98" s="18" t="str">
        <f>IFERROR(__xludf.DUMMYFUNCTION("""COMPUTED_VALUE"""),"M")</f>
        <v>M</v>
      </c>
      <c r="E98" s="18"/>
      <c r="F98" s="18"/>
      <c r="G98" s="18" t="str">
        <f>IFERROR(__xludf.DUMMYFUNCTION("""COMPUTED_VALUE"""),"●")</f>
        <v>●</v>
      </c>
      <c r="H98" s="18" t="str">
        <f>IFERROR(__xludf.DUMMYFUNCTION("""COMPUTED_VALUE"""),"Iron")</f>
        <v>Iron</v>
      </c>
      <c r="I98" s="18"/>
      <c r="J98" s="18"/>
      <c r="K98" s="18"/>
      <c r="L98" s="20"/>
    </row>
    <row r="99" ht="3.75" customHeight="1">
      <c r="A99" s="17">
        <f>IFERROR(__xludf.DUMMYFUNCTION("""COMPUTED_VALUE"""),4.0)</f>
        <v>4</v>
      </c>
      <c r="B99" s="18">
        <f>IFERROR(__xludf.DUMMYFUNCTION("""COMPUTED_VALUE"""),5.0)</f>
        <v>5</v>
      </c>
      <c r="C99" s="19" t="str">
        <f>IFERROR(__xludf.DUMMYFUNCTION("""COMPUTED_VALUE"""),"Manno")</f>
        <v>Manno</v>
      </c>
      <c r="D99" s="18"/>
      <c r="E99" s="18"/>
      <c r="F99" s="18"/>
      <c r="G99" s="18"/>
      <c r="H99" s="18" t="str">
        <f>IFERROR(__xludf.DUMMYFUNCTION("""COMPUTED_VALUE"""),"Iron")</f>
        <v>Iron</v>
      </c>
      <c r="I99" s="18"/>
      <c r="J99" s="18"/>
      <c r="K99" s="18"/>
      <c r="L99" s="20" t="str">
        <f>IFERROR(__xludf.DUMMYFUNCTION("""COMPUTED_VALUE"""),"Must first enter from 3F Sotosenzoku.")</f>
        <v>Must first enter from 3F Sotosenzoku.</v>
      </c>
    </row>
    <row r="100" ht="3.75" customHeight="1">
      <c r="A100" s="17">
        <f>IFERROR(__xludf.DUMMYFUNCTION("""COMPUTED_VALUE"""),3.0)</f>
        <v>3</v>
      </c>
      <c r="B100" s="18">
        <f>IFERROR(__xludf.DUMMYFUNCTION("""COMPUTED_VALUE"""),0.0)</f>
        <v>0</v>
      </c>
      <c r="C100" s="19" t="str">
        <f>IFERROR(__xludf.DUMMYFUNCTION("""COMPUTED_VALUE"""),"Tamata")</f>
        <v>Tamata</v>
      </c>
      <c r="D100" s="18" t="str">
        <f>IFERROR(__xludf.DUMMYFUNCTION("""COMPUTED_VALUE"""),"M")</f>
        <v>M</v>
      </c>
      <c r="E100" s="18"/>
      <c r="F100" s="18">
        <f>IFERROR(__xludf.DUMMYFUNCTION("""COMPUTED_VALUE"""),1.2)</f>
        <v>1.2</v>
      </c>
      <c r="G100" s="18"/>
      <c r="H100" s="18" t="str">
        <f>IFERROR(__xludf.DUMMYFUNCTION("""COMPUTED_VALUE"""),"Fiber")</f>
        <v>Fiber</v>
      </c>
      <c r="I100" s="18"/>
      <c r="J100" s="18" t="str">
        <f>IFERROR(__xludf.DUMMYFUNCTION("""COMPUTED_VALUE"""),"DOD Blue")</f>
        <v>DOD Blue</v>
      </c>
      <c r="K100" s="18" t="str">
        <f>IFERROR(__xludf.DUMMYFUNCTION("""COMPUTED_VALUE"""),"Blue")</f>
        <v>Blue</v>
      </c>
      <c r="L100" s="20" t="str">
        <f>IFERROR(__xludf.DUMMYFUNCTION("""COMPUTED_VALUE"""),"BOSS: COEN. Drops DOD ARMS Blue Metal. TRAP: Blue Metals, only active Mon / Thu / Fri.")</f>
        <v>BOSS: COEN. Drops DOD ARMS Blue Metal. TRAP: Blue Metals, only active Mon / Thu / Fri.</v>
      </c>
    </row>
    <row r="101">
      <c r="A101" s="17">
        <f>IFERROR(__xludf.DUMMYFUNCTION("""COMPUTED_VALUE"""),3.0)</f>
        <v>3</v>
      </c>
      <c r="B101" s="18">
        <f>IFERROR(__xludf.DUMMYFUNCTION("""COMPUTED_VALUE"""),0.0)</f>
        <v>0</v>
      </c>
      <c r="C101" s="19" t="str">
        <f>IFERROR(__xludf.DUMMYFUNCTION("""COMPUTED_VALUE"""),"Kami-Ikedoi")</f>
        <v>Kami-Ikedoi</v>
      </c>
      <c r="D101" s="18"/>
      <c r="E101" s="18"/>
      <c r="F101" s="18"/>
      <c r="G101" s="18" t="str">
        <f>IFERROR(__xludf.DUMMYFUNCTION("""COMPUTED_VALUE"""),"●")</f>
        <v>●</v>
      </c>
      <c r="H101" s="18" t="str">
        <f>IFERROR(__xludf.DUMMYFUNCTION("""COMPUTED_VALUE"""),"All")</f>
        <v>All</v>
      </c>
      <c r="I101" s="18"/>
      <c r="J101" s="18"/>
      <c r="K101" s="18" t="str">
        <f>IFERROR(__xludf.DUMMYFUNCTION("""COMPUTED_VALUE"""),"Blue")</f>
        <v>Blue</v>
      </c>
      <c r="L101" s="20" t="str">
        <f>IFERROR(__xludf.DUMMYFUNCTION("""COMPUTED_VALUE"""),"TRAP: Blue Metals. 3 Screamers. Trap is active every day, but doesn't always spawn.")</f>
        <v>TRAP: Blue Metals. 3 Screamers. Trap is active every day, but doesn't always spawn.</v>
      </c>
    </row>
    <row r="102">
      <c r="A102" s="17">
        <f>IFERROR(__xludf.DUMMYFUNCTION("""COMPUTED_VALUE"""),3.0)</f>
        <v>3</v>
      </c>
      <c r="B102" s="18">
        <f>IFERROR(__xludf.DUMMYFUNCTION("""COMPUTED_VALUE"""),5.0)</f>
        <v>5</v>
      </c>
      <c r="C102" s="19" t="str">
        <f>IFERROR(__xludf.DUMMYFUNCTION("""COMPUTED_VALUE"""),"Sotosenzoku")</f>
        <v>Sotosenzoku</v>
      </c>
      <c r="D102" s="18"/>
      <c r="E102" s="18"/>
      <c r="F102" s="18"/>
      <c r="G102" s="18"/>
      <c r="H102" s="18" t="str">
        <f>IFERROR(__xludf.DUMMYFUNCTION("""COMPUTED_VALUE"""),"Iron")</f>
        <v>Iron</v>
      </c>
      <c r="I102" s="18"/>
      <c r="J102" s="18"/>
      <c r="K102" s="18"/>
      <c r="L102" s="20" t="str">
        <f>IFERROR(__xludf.DUMMYFUNCTION("""COMPUTED_VALUE"""),"Small area, with a single Hater and many Iron Scraps.")</f>
        <v>Small area, with a single Hater and many Iron Scraps.</v>
      </c>
    </row>
    <row r="103">
      <c r="A103" s="22">
        <f>IFERROR(__xludf.DUMMYFUNCTION("""COMPUTED_VALUE"""),3.0)</f>
        <v>3</v>
      </c>
      <c r="B103" s="18">
        <f>IFERROR(__xludf.DUMMYFUNCTION("""COMPUTED_VALUE"""),5.0)</f>
        <v>5</v>
      </c>
      <c r="C103" s="19" t="str">
        <f>IFERROR(__xludf.DUMMYFUNCTION("""COMPUTED_VALUE"""),"Metakojiya")</f>
        <v>Metakojiya</v>
      </c>
      <c r="D103" s="18"/>
      <c r="E103" s="18"/>
      <c r="F103" s="18"/>
      <c r="G103" s="18"/>
      <c r="H103" s="18" t="str">
        <f>IFERROR(__xludf.DUMMYFUNCTION("""COMPUTED_VALUE"""),"Iron")</f>
        <v>Iron</v>
      </c>
      <c r="I103" s="23"/>
      <c r="J103" s="18"/>
      <c r="K103" s="18"/>
      <c r="L103" s="20" t="str">
        <f>IFERROR(__xludf.DUMMYFUNCTION("""COMPUTED_VALUE"""),"Lots of Skillshrooms, mainly Bronze with some Silver and Gold.")</f>
        <v>Lots of Skillshrooms, mainly Bronze with some Silver and Gold.</v>
      </c>
    </row>
    <row r="104">
      <c r="A104" s="22">
        <f>IFERROR(__xludf.DUMMYFUNCTION("""COMPUTED_VALUE"""),2.0)</f>
        <v>2</v>
      </c>
      <c r="B104" s="18">
        <f>IFERROR(__xludf.DUMMYFUNCTION("""COMPUTED_VALUE"""),0.0)</f>
        <v>0</v>
      </c>
      <c r="C104" s="19" t="str">
        <f>IFERROR(__xludf.DUMMYFUNCTION("""COMPUTED_VALUE"""),"Imokawa-Cho")</f>
        <v>Imokawa-Cho</v>
      </c>
      <c r="D104" s="18"/>
      <c r="E104" s="18"/>
      <c r="F104" s="18">
        <f>IFERROR(__xludf.DUMMYFUNCTION("""COMPUTED_VALUE"""),1.1)</f>
        <v>1.1</v>
      </c>
      <c r="G104" s="18" t="str">
        <f>IFERROR(__xludf.DUMMYFUNCTION("""COMPUTED_VALUE"""),"●")</f>
        <v>●</v>
      </c>
      <c r="H104" s="18" t="str">
        <f>IFERROR(__xludf.DUMMYFUNCTION("""COMPUTED_VALUE"""),"All")</f>
        <v>All</v>
      </c>
      <c r="I104" s="18"/>
      <c r="J104" s="18"/>
      <c r="K104" s="18"/>
      <c r="L104" s="20"/>
    </row>
    <row r="105">
      <c r="A105" s="22">
        <f>IFERROR(__xludf.DUMMYFUNCTION("""COMPUTED_VALUE"""),2.0)</f>
        <v>2</v>
      </c>
      <c r="B105" s="18">
        <f>IFERROR(__xludf.DUMMYFUNCTION("""COMPUTED_VALUE"""),0.0)</f>
        <v>0</v>
      </c>
      <c r="C105" s="19" t="str">
        <f>IFERROR(__xludf.DUMMYFUNCTION("""COMPUTED_VALUE"""),"Wanoki")</f>
        <v>Wanoki</v>
      </c>
      <c r="D105" s="18"/>
      <c r="E105" s="18"/>
      <c r="F105" s="18"/>
      <c r="G105" s="18"/>
      <c r="H105" s="18" t="str">
        <f>IFERROR(__xludf.DUMMYFUNCTION("""COMPUTED_VALUE"""),"Aluminum")</f>
        <v>Aluminum</v>
      </c>
      <c r="I105" s="18"/>
      <c r="J105" s="18"/>
      <c r="K105" s="18"/>
      <c r="L105" s="20" t="str">
        <f>IFERROR(__xludf.DUMMYFUNCTION("""COMPUTED_VALUE"""),"Over 18 Screamers, good for Mastery farming or Screamer quests.")</f>
        <v>Over 18 Screamers, good for Mastery farming or Screamer quests.</v>
      </c>
    </row>
    <row r="106">
      <c r="A106" s="22">
        <f>IFERROR(__xludf.DUMMYFUNCTION("""COMPUTED_VALUE"""),1.0)</f>
        <v>1</v>
      </c>
      <c r="B106" s="18">
        <f>IFERROR(__xludf.DUMMYFUNCTION("""COMPUTED_VALUE"""),0.0)</f>
        <v>0</v>
      </c>
      <c r="C106" s="19" t="str">
        <f>IFERROR(__xludf.DUMMYFUNCTION("""COMPUTED_VALUE"""),"Ikegara")</f>
        <v>Ikegara</v>
      </c>
      <c r="D106" s="18" t="str">
        <f>IFERROR(__xludf.DUMMYFUNCTION("""COMPUTED_VALUE"""),"M")</f>
        <v>M</v>
      </c>
      <c r="E106" s="18"/>
      <c r="F106" s="18"/>
      <c r="G106" s="18" t="str">
        <f>IFERROR(__xludf.DUMMYFUNCTION("""COMPUTED_VALUE"""),"●")</f>
        <v>●</v>
      </c>
      <c r="H106" s="18" t="str">
        <f>IFERROR(__xludf.DUMMYFUNCTION("""COMPUTED_VALUE"""),"×")</f>
        <v>×</v>
      </c>
      <c r="I106" s="18"/>
      <c r="J106" s="18"/>
      <c r="K106" s="18"/>
      <c r="L106" s="20"/>
    </row>
    <row r="107">
      <c r="A107" s="22"/>
      <c r="B107" s="18"/>
      <c r="C107" s="19"/>
      <c r="D107" s="18"/>
      <c r="E107" s="18"/>
      <c r="F107" s="18"/>
      <c r="G107" s="18"/>
      <c r="H107" s="18"/>
      <c r="I107" s="18"/>
      <c r="J107" s="18"/>
      <c r="K107" s="18"/>
      <c r="L107" s="20"/>
    </row>
    <row r="108">
      <c r="A108" s="22"/>
      <c r="B108" s="18"/>
      <c r="C108" s="19"/>
      <c r="D108" s="18"/>
      <c r="E108" s="18"/>
      <c r="F108" s="18"/>
      <c r="G108" s="18"/>
      <c r="H108" s="18"/>
      <c r="I108" s="18"/>
      <c r="J108" s="18"/>
      <c r="K108" s="18"/>
      <c r="L108" s="20"/>
    </row>
    <row r="109">
      <c r="A109" s="22"/>
      <c r="B109" s="18"/>
      <c r="C109" s="19"/>
      <c r="D109" s="18"/>
      <c r="E109" s="18"/>
      <c r="F109" s="18"/>
      <c r="G109" s="18"/>
      <c r="H109" s="18"/>
      <c r="I109" s="18"/>
      <c r="J109" s="18"/>
      <c r="K109" s="18"/>
      <c r="L109" s="20"/>
    </row>
    <row r="110">
      <c r="A110" s="22"/>
      <c r="B110" s="18"/>
      <c r="C110" s="19"/>
      <c r="D110" s="18"/>
      <c r="E110" s="18"/>
      <c r="F110" s="18"/>
      <c r="G110" s="18"/>
      <c r="H110" s="18"/>
      <c r="I110" s="18"/>
      <c r="J110" s="18"/>
      <c r="K110" s="18"/>
      <c r="L110" s="20"/>
    </row>
    <row r="111">
      <c r="A111" s="22"/>
      <c r="B111" s="18"/>
      <c r="C111" s="19"/>
      <c r="D111" s="18"/>
      <c r="E111" s="18"/>
      <c r="F111" s="18"/>
      <c r="G111" s="18"/>
      <c r="H111" s="18"/>
      <c r="I111" s="18"/>
      <c r="J111" s="18"/>
      <c r="K111" s="18"/>
      <c r="L111" s="20"/>
    </row>
    <row r="112">
      <c r="A112" s="22"/>
      <c r="B112" s="18"/>
      <c r="C112" s="19"/>
      <c r="D112" s="18"/>
      <c r="E112" s="18"/>
      <c r="F112" s="18"/>
      <c r="G112" s="18"/>
      <c r="H112" s="18"/>
      <c r="I112" s="18"/>
      <c r="J112" s="18"/>
      <c r="K112" s="18"/>
      <c r="L112" s="20"/>
    </row>
    <row r="113">
      <c r="A113" s="22"/>
      <c r="B113" s="18"/>
      <c r="C113" s="19"/>
      <c r="D113" s="18"/>
      <c r="E113" s="18"/>
      <c r="F113" s="18"/>
      <c r="G113" s="18"/>
      <c r="H113" s="18"/>
      <c r="I113" s="18"/>
      <c r="J113" s="18"/>
      <c r="K113" s="18"/>
      <c r="L113" s="20"/>
    </row>
    <row r="114">
      <c r="A114" s="22"/>
      <c r="B114" s="18"/>
      <c r="C114" s="19"/>
      <c r="D114" s="18"/>
      <c r="E114" s="18"/>
      <c r="F114" s="18"/>
      <c r="G114" s="18"/>
      <c r="H114" s="18"/>
      <c r="I114" s="18"/>
      <c r="J114" s="18"/>
      <c r="K114" s="18"/>
      <c r="L114" s="20"/>
    </row>
    <row r="115">
      <c r="A115" s="22"/>
      <c r="B115" s="18"/>
      <c r="C115" s="19"/>
      <c r="D115" s="18"/>
      <c r="E115" s="18"/>
      <c r="F115" s="18"/>
      <c r="G115" s="18"/>
      <c r="H115" s="18"/>
      <c r="I115" s="18"/>
      <c r="J115" s="18"/>
      <c r="K115" s="18"/>
      <c r="L115" s="20"/>
    </row>
    <row r="116">
      <c r="A116" s="22"/>
      <c r="B116" s="18"/>
      <c r="C116" s="19"/>
      <c r="D116" s="18"/>
      <c r="E116" s="18"/>
      <c r="F116" s="18"/>
      <c r="G116" s="18"/>
      <c r="H116" s="18"/>
      <c r="I116" s="18"/>
      <c r="J116" s="18"/>
      <c r="K116" s="18"/>
      <c r="L116" s="20"/>
    </row>
    <row r="117">
      <c r="A117" s="22"/>
      <c r="B117" s="18"/>
      <c r="C117" s="19"/>
      <c r="D117" s="18"/>
      <c r="E117" s="18"/>
      <c r="F117" s="18"/>
      <c r="G117" s="18"/>
      <c r="H117" s="18"/>
      <c r="I117" s="18"/>
      <c r="J117" s="18"/>
      <c r="K117" s="18"/>
      <c r="L117" s="20"/>
    </row>
    <row r="118">
      <c r="A118" s="22"/>
      <c r="B118" s="18"/>
      <c r="C118" s="19"/>
      <c r="D118" s="18"/>
      <c r="E118" s="18"/>
      <c r="F118" s="18"/>
      <c r="G118" s="18"/>
      <c r="H118" s="18"/>
      <c r="I118" s="18"/>
      <c r="J118" s="18"/>
      <c r="K118" s="18"/>
      <c r="L118" s="20"/>
    </row>
    <row r="119">
      <c r="A119" s="22"/>
      <c r="B119" s="18"/>
      <c r="C119" s="19"/>
      <c r="D119" s="18"/>
      <c r="E119" s="18"/>
      <c r="F119" s="18"/>
      <c r="G119" s="18"/>
      <c r="H119" s="18"/>
      <c r="I119" s="18"/>
      <c r="J119" s="18"/>
      <c r="K119" s="18"/>
      <c r="L119" s="20"/>
    </row>
    <row r="120">
      <c r="A120" s="22"/>
      <c r="B120" s="18"/>
      <c r="C120" s="19"/>
      <c r="D120" s="18"/>
      <c r="E120" s="18"/>
      <c r="F120" s="18"/>
      <c r="G120" s="18"/>
      <c r="H120" s="18"/>
      <c r="I120" s="18"/>
      <c r="J120" s="18"/>
      <c r="K120" s="18"/>
      <c r="L120" s="20"/>
    </row>
    <row r="121">
      <c r="A121" s="22"/>
      <c r="B121" s="18"/>
      <c r="C121" s="19"/>
      <c r="D121" s="18"/>
      <c r="E121" s="18"/>
      <c r="F121" s="18"/>
      <c r="G121" s="18"/>
      <c r="H121" s="18"/>
      <c r="I121" s="18"/>
      <c r="J121" s="18"/>
      <c r="K121" s="18"/>
      <c r="L121" s="20"/>
    </row>
    <row r="122">
      <c r="A122" s="22"/>
      <c r="B122" s="18"/>
      <c r="C122" s="19"/>
      <c r="D122" s="18"/>
      <c r="E122" s="18"/>
      <c r="F122" s="18"/>
      <c r="G122" s="18"/>
      <c r="H122" s="18"/>
      <c r="I122" s="18"/>
      <c r="J122" s="18"/>
      <c r="K122" s="18"/>
      <c r="L122" s="20"/>
    </row>
    <row r="123">
      <c r="A123" s="22"/>
      <c r="B123" s="18"/>
      <c r="C123" s="19"/>
      <c r="D123" s="18"/>
      <c r="E123" s="18"/>
      <c r="F123" s="18"/>
      <c r="G123" s="18"/>
      <c r="H123" s="18"/>
      <c r="I123" s="18"/>
      <c r="J123" s="18"/>
      <c r="K123" s="18"/>
      <c r="L123" s="20"/>
    </row>
    <row r="124">
      <c r="A124" s="22"/>
      <c r="B124" s="18"/>
      <c r="C124" s="19"/>
      <c r="D124" s="18"/>
      <c r="E124" s="18"/>
      <c r="F124" s="18"/>
      <c r="G124" s="18"/>
      <c r="H124" s="18"/>
      <c r="I124" s="18"/>
      <c r="J124" s="18"/>
      <c r="K124" s="18"/>
      <c r="L124" s="20"/>
    </row>
    <row r="125">
      <c r="A125" s="22"/>
      <c r="B125" s="18"/>
      <c r="C125" s="19"/>
      <c r="D125" s="18"/>
      <c r="E125" s="18"/>
      <c r="F125" s="18"/>
      <c r="G125" s="18"/>
      <c r="H125" s="18"/>
      <c r="I125" s="18"/>
      <c r="J125" s="18"/>
      <c r="K125" s="18"/>
      <c r="L125" s="20"/>
    </row>
    <row r="126">
      <c r="A126" s="22"/>
      <c r="B126" s="18"/>
      <c r="C126" s="19"/>
      <c r="D126" s="18"/>
      <c r="E126" s="18"/>
      <c r="F126" s="18"/>
      <c r="G126" s="18"/>
      <c r="H126" s="18"/>
      <c r="I126" s="18"/>
      <c r="J126" s="18"/>
      <c r="K126" s="18"/>
      <c r="L126" s="20"/>
    </row>
    <row r="127">
      <c r="A127" s="22"/>
      <c r="B127" s="18"/>
      <c r="C127" s="19"/>
      <c r="D127" s="18"/>
      <c r="E127" s="18"/>
      <c r="F127" s="18"/>
      <c r="G127" s="18"/>
      <c r="H127" s="18"/>
      <c r="I127" s="18"/>
      <c r="J127" s="18"/>
      <c r="K127" s="18"/>
      <c r="L127" s="20"/>
    </row>
    <row r="128">
      <c r="A128" s="22"/>
      <c r="B128" s="18"/>
      <c r="C128" s="19"/>
      <c r="D128" s="18"/>
      <c r="E128" s="18"/>
      <c r="F128" s="18"/>
      <c r="G128" s="18"/>
      <c r="H128" s="18"/>
      <c r="I128" s="18"/>
      <c r="J128" s="18"/>
      <c r="K128" s="18"/>
      <c r="L128" s="20"/>
    </row>
    <row r="129">
      <c r="A129" s="22"/>
      <c r="B129" s="18"/>
      <c r="C129" s="19"/>
      <c r="D129" s="18"/>
      <c r="E129" s="18"/>
      <c r="F129" s="18"/>
      <c r="G129" s="18"/>
      <c r="H129" s="18"/>
      <c r="I129" s="18"/>
      <c r="J129" s="18"/>
      <c r="K129" s="18"/>
      <c r="L129" s="20"/>
    </row>
    <row r="130">
      <c r="A130" s="22"/>
      <c r="B130" s="18"/>
      <c r="C130" s="19"/>
      <c r="D130" s="18"/>
      <c r="E130" s="18"/>
      <c r="F130" s="18"/>
      <c r="G130" s="18"/>
      <c r="H130" s="18"/>
      <c r="I130" s="18"/>
      <c r="J130" s="18"/>
      <c r="K130" s="18"/>
      <c r="L130" s="20"/>
    </row>
    <row r="131">
      <c r="A131" s="22"/>
      <c r="B131" s="18"/>
      <c r="C131" s="19"/>
      <c r="D131" s="18"/>
      <c r="E131" s="18"/>
      <c r="F131" s="18"/>
      <c r="G131" s="18"/>
      <c r="H131" s="18"/>
      <c r="I131" s="18"/>
      <c r="J131" s="18"/>
      <c r="K131" s="18"/>
      <c r="L131" s="20"/>
    </row>
    <row r="132">
      <c r="A132" s="22"/>
      <c r="B132" s="18"/>
      <c r="C132" s="19"/>
      <c r="D132" s="18"/>
      <c r="E132" s="18"/>
      <c r="F132" s="18"/>
      <c r="G132" s="18"/>
      <c r="H132" s="18"/>
      <c r="I132" s="18"/>
      <c r="J132" s="18"/>
      <c r="K132" s="18"/>
      <c r="L132" s="20"/>
    </row>
    <row r="133">
      <c r="A133" s="22"/>
      <c r="B133" s="18"/>
      <c r="C133" s="19"/>
      <c r="D133" s="18"/>
      <c r="E133" s="18"/>
      <c r="F133" s="18"/>
      <c r="G133" s="18"/>
      <c r="H133" s="18"/>
      <c r="I133" s="18"/>
      <c r="J133" s="18"/>
      <c r="K133" s="18"/>
      <c r="L133" s="20"/>
    </row>
    <row r="134">
      <c r="A134" s="22"/>
      <c r="B134" s="18"/>
      <c r="C134" s="19"/>
      <c r="D134" s="18"/>
      <c r="E134" s="18"/>
      <c r="F134" s="18"/>
      <c r="G134" s="18"/>
      <c r="H134" s="18"/>
      <c r="I134" s="18"/>
      <c r="J134" s="18"/>
      <c r="K134" s="18"/>
      <c r="L134" s="20"/>
    </row>
    <row r="135">
      <c r="A135" s="22"/>
      <c r="B135" s="18"/>
      <c r="C135" s="19"/>
      <c r="D135" s="18"/>
      <c r="E135" s="18"/>
      <c r="F135" s="18"/>
      <c r="G135" s="18"/>
      <c r="H135" s="18"/>
      <c r="I135" s="18"/>
      <c r="J135" s="18"/>
      <c r="K135" s="18"/>
      <c r="L135" s="20"/>
    </row>
    <row r="136">
      <c r="A136" s="22"/>
      <c r="B136" s="18"/>
      <c r="C136" s="19"/>
      <c r="D136" s="18"/>
      <c r="E136" s="18"/>
      <c r="F136" s="18"/>
      <c r="G136" s="18"/>
      <c r="H136" s="18"/>
      <c r="I136" s="18"/>
      <c r="J136" s="18"/>
      <c r="K136" s="18"/>
      <c r="L136" s="20"/>
    </row>
    <row r="137">
      <c r="A137" s="22"/>
      <c r="B137" s="18"/>
      <c r="C137" s="19"/>
      <c r="D137" s="18"/>
      <c r="E137" s="18"/>
      <c r="F137" s="18"/>
      <c r="G137" s="18"/>
      <c r="H137" s="18"/>
      <c r="I137" s="18"/>
      <c r="J137" s="18"/>
      <c r="K137" s="18"/>
      <c r="L137" s="20"/>
    </row>
    <row r="138">
      <c r="A138" s="22"/>
      <c r="B138" s="18"/>
      <c r="C138" s="19"/>
      <c r="D138" s="18"/>
      <c r="E138" s="18"/>
      <c r="F138" s="18"/>
      <c r="G138" s="18"/>
      <c r="H138" s="18"/>
      <c r="I138" s="18"/>
      <c r="J138" s="18"/>
      <c r="K138" s="18"/>
      <c r="L138" s="20"/>
    </row>
    <row r="139">
      <c r="A139" s="22"/>
      <c r="B139" s="18"/>
      <c r="C139" s="19"/>
      <c r="D139" s="18"/>
      <c r="E139" s="18"/>
      <c r="F139" s="18"/>
      <c r="G139" s="18"/>
      <c r="H139" s="18"/>
      <c r="I139" s="18"/>
      <c r="J139" s="18"/>
      <c r="K139" s="18"/>
      <c r="L139" s="20"/>
    </row>
    <row r="140">
      <c r="A140" s="22"/>
      <c r="B140" s="18"/>
      <c r="C140" s="19"/>
      <c r="D140" s="18"/>
      <c r="E140" s="18"/>
      <c r="F140" s="18"/>
      <c r="G140" s="18"/>
      <c r="H140" s="18"/>
      <c r="I140" s="18"/>
      <c r="J140" s="18"/>
      <c r="K140" s="18"/>
      <c r="L140" s="20"/>
    </row>
    <row r="141">
      <c r="A141" s="22"/>
      <c r="B141" s="18"/>
      <c r="C141" s="19"/>
      <c r="D141" s="18"/>
      <c r="E141" s="18"/>
      <c r="F141" s="18"/>
      <c r="G141" s="18"/>
      <c r="H141" s="18"/>
      <c r="I141" s="18"/>
      <c r="J141" s="18"/>
      <c r="K141" s="18"/>
      <c r="L141" s="20"/>
    </row>
    <row r="142">
      <c r="A142" s="22"/>
      <c r="B142" s="18"/>
      <c r="C142" s="19"/>
      <c r="D142" s="18"/>
      <c r="E142" s="18"/>
      <c r="F142" s="18"/>
      <c r="G142" s="18"/>
      <c r="H142" s="18"/>
      <c r="I142" s="18"/>
      <c r="J142" s="18"/>
      <c r="K142" s="18"/>
      <c r="L142" s="20"/>
    </row>
    <row r="143">
      <c r="A143" s="22"/>
      <c r="B143" s="18"/>
      <c r="C143" s="19"/>
      <c r="D143" s="18"/>
      <c r="E143" s="18"/>
      <c r="F143" s="18"/>
      <c r="G143" s="18"/>
      <c r="H143" s="18"/>
      <c r="I143" s="18"/>
      <c r="J143" s="18"/>
      <c r="K143" s="18"/>
      <c r="L143" s="20"/>
    </row>
    <row r="144">
      <c r="A144" s="22"/>
      <c r="B144" s="18"/>
      <c r="C144" s="19"/>
      <c r="D144" s="18"/>
      <c r="E144" s="18"/>
      <c r="F144" s="18"/>
      <c r="G144" s="18"/>
      <c r="H144" s="18"/>
      <c r="I144" s="18"/>
      <c r="J144" s="18"/>
      <c r="K144" s="18"/>
      <c r="L144" s="20"/>
    </row>
    <row r="145">
      <c r="A145" s="22"/>
      <c r="B145" s="18"/>
      <c r="C145" s="19"/>
      <c r="D145" s="18"/>
      <c r="E145" s="18"/>
      <c r="F145" s="18"/>
      <c r="G145" s="18"/>
      <c r="H145" s="18"/>
      <c r="I145" s="18"/>
      <c r="J145" s="18"/>
      <c r="K145" s="18"/>
      <c r="L145" s="20"/>
    </row>
    <row r="146">
      <c r="A146" s="22"/>
      <c r="B146" s="18"/>
      <c r="C146" s="19"/>
      <c r="D146" s="18"/>
      <c r="E146" s="18"/>
      <c r="F146" s="18"/>
      <c r="G146" s="18"/>
      <c r="H146" s="18"/>
      <c r="I146" s="18"/>
      <c r="J146" s="18"/>
      <c r="K146" s="18"/>
      <c r="L146" s="20"/>
    </row>
    <row r="147">
      <c r="A147" s="22"/>
      <c r="B147" s="18"/>
      <c r="C147" s="19"/>
      <c r="D147" s="18"/>
      <c r="E147" s="18"/>
      <c r="F147" s="18"/>
      <c r="G147" s="18"/>
      <c r="H147" s="18"/>
      <c r="I147" s="18"/>
      <c r="J147" s="18"/>
      <c r="K147" s="18"/>
      <c r="L147" s="20"/>
    </row>
    <row r="148">
      <c r="A148" s="22"/>
      <c r="B148" s="18"/>
      <c r="C148" s="19"/>
      <c r="D148" s="18"/>
      <c r="E148" s="18"/>
      <c r="F148" s="18"/>
      <c r="G148" s="18"/>
      <c r="H148" s="18"/>
      <c r="I148" s="18"/>
      <c r="J148" s="18"/>
      <c r="K148" s="18"/>
      <c r="L148" s="20"/>
    </row>
    <row r="149">
      <c r="A149" s="22"/>
      <c r="B149" s="18"/>
      <c r="C149" s="19"/>
      <c r="D149" s="18"/>
      <c r="E149" s="18"/>
      <c r="F149" s="18"/>
      <c r="G149" s="18"/>
      <c r="H149" s="18"/>
      <c r="I149" s="18"/>
      <c r="J149" s="18"/>
      <c r="K149" s="18"/>
      <c r="L149" s="20"/>
    </row>
    <row r="150">
      <c r="A150" s="22"/>
      <c r="B150" s="18"/>
      <c r="C150" s="19"/>
      <c r="D150" s="18"/>
      <c r="E150" s="18"/>
      <c r="F150" s="18"/>
      <c r="G150" s="18"/>
      <c r="H150" s="18"/>
      <c r="I150" s="18"/>
      <c r="J150" s="18"/>
      <c r="K150" s="18"/>
      <c r="L150" s="20"/>
    </row>
    <row r="151">
      <c r="A151" s="22"/>
      <c r="B151" s="18"/>
      <c r="C151" s="19"/>
      <c r="D151" s="18"/>
      <c r="E151" s="18"/>
      <c r="F151" s="18"/>
      <c r="G151" s="18"/>
      <c r="H151" s="18"/>
      <c r="I151" s="18"/>
      <c r="J151" s="18"/>
      <c r="K151" s="18"/>
      <c r="L151" s="20"/>
    </row>
    <row r="152">
      <c r="A152" s="22"/>
      <c r="B152" s="18"/>
      <c r="C152" s="19"/>
      <c r="D152" s="18"/>
      <c r="E152" s="18"/>
      <c r="F152" s="18"/>
      <c r="G152" s="18"/>
      <c r="H152" s="18"/>
      <c r="I152" s="18"/>
      <c r="J152" s="18"/>
      <c r="K152" s="18"/>
      <c r="L152" s="20"/>
    </row>
    <row r="153">
      <c r="A153" s="22"/>
      <c r="B153" s="18"/>
      <c r="C153" s="19"/>
      <c r="D153" s="18"/>
      <c r="E153" s="18"/>
      <c r="F153" s="18"/>
      <c r="G153" s="18"/>
      <c r="H153" s="18"/>
      <c r="I153" s="18"/>
      <c r="J153" s="18"/>
      <c r="K153" s="18"/>
      <c r="L153" s="20"/>
    </row>
    <row r="154">
      <c r="A154" s="22"/>
      <c r="B154" s="18"/>
      <c r="C154" s="19"/>
      <c r="D154" s="18"/>
      <c r="E154" s="18"/>
      <c r="F154" s="18"/>
      <c r="G154" s="18"/>
      <c r="H154" s="18"/>
      <c r="I154" s="18"/>
      <c r="J154" s="18"/>
      <c r="K154" s="18"/>
      <c r="L154" s="20"/>
    </row>
    <row r="155">
      <c r="A155" s="22"/>
      <c r="B155" s="18"/>
      <c r="C155" s="19"/>
      <c r="D155" s="18"/>
      <c r="E155" s="18"/>
      <c r="F155" s="18"/>
      <c r="G155" s="18"/>
      <c r="H155" s="18"/>
      <c r="I155" s="18"/>
      <c r="J155" s="18"/>
      <c r="K155" s="18"/>
      <c r="L155" s="20"/>
    </row>
    <row r="156">
      <c r="A156" s="22"/>
      <c r="B156" s="18"/>
      <c r="C156" s="19"/>
      <c r="D156" s="18"/>
      <c r="E156" s="18"/>
      <c r="F156" s="18"/>
      <c r="G156" s="18"/>
      <c r="H156" s="18"/>
      <c r="I156" s="18"/>
      <c r="J156" s="18"/>
      <c r="K156" s="18"/>
      <c r="L156" s="20"/>
    </row>
    <row r="157">
      <c r="A157" s="22"/>
      <c r="B157" s="18"/>
      <c r="C157" s="19"/>
      <c r="D157" s="18"/>
      <c r="E157" s="18"/>
      <c r="F157" s="18"/>
      <c r="G157" s="18"/>
      <c r="H157" s="18"/>
      <c r="I157" s="18"/>
      <c r="J157" s="18"/>
      <c r="K157" s="18"/>
      <c r="L157" s="20"/>
    </row>
    <row r="158">
      <c r="A158" s="22"/>
      <c r="B158" s="18"/>
      <c r="C158" s="19"/>
      <c r="D158" s="18"/>
      <c r="E158" s="18"/>
      <c r="F158" s="18"/>
      <c r="G158" s="18"/>
      <c r="H158" s="18"/>
      <c r="I158" s="18"/>
      <c r="J158" s="18"/>
      <c r="K158" s="18"/>
      <c r="L158" s="20"/>
    </row>
    <row r="159">
      <c r="A159" s="22"/>
      <c r="B159" s="18"/>
      <c r="C159" s="19"/>
      <c r="D159" s="18"/>
      <c r="E159" s="18"/>
      <c r="F159" s="18"/>
      <c r="G159" s="18"/>
      <c r="H159" s="18"/>
      <c r="I159" s="18"/>
      <c r="J159" s="18"/>
      <c r="K159" s="18"/>
      <c r="L159" s="20"/>
    </row>
    <row r="160">
      <c r="A160" s="22"/>
      <c r="B160" s="18"/>
      <c r="C160" s="19"/>
      <c r="D160" s="18"/>
      <c r="E160" s="18"/>
      <c r="F160" s="18"/>
      <c r="G160" s="18"/>
      <c r="H160" s="18"/>
      <c r="I160" s="18"/>
      <c r="J160" s="18"/>
      <c r="K160" s="18"/>
      <c r="L160" s="20"/>
    </row>
    <row r="161">
      <c r="A161" s="22"/>
      <c r="B161" s="18"/>
      <c r="C161" s="19"/>
      <c r="D161" s="18"/>
      <c r="E161" s="18"/>
      <c r="F161" s="18"/>
      <c r="G161" s="18"/>
      <c r="H161" s="18"/>
      <c r="I161" s="18"/>
      <c r="J161" s="18"/>
      <c r="K161" s="18"/>
      <c r="L161" s="20"/>
    </row>
    <row r="162">
      <c r="A162" s="22"/>
      <c r="B162" s="18"/>
      <c r="C162" s="19"/>
      <c r="D162" s="18"/>
      <c r="E162" s="18"/>
      <c r="F162" s="18"/>
      <c r="G162" s="18"/>
      <c r="H162" s="18"/>
      <c r="I162" s="18"/>
      <c r="J162" s="18"/>
      <c r="K162" s="18"/>
      <c r="L162" s="20"/>
    </row>
    <row r="163">
      <c r="A163" s="22"/>
      <c r="B163" s="18"/>
      <c r="C163" s="19"/>
      <c r="D163" s="18"/>
      <c r="E163" s="18"/>
      <c r="F163" s="18"/>
      <c r="G163" s="18"/>
      <c r="H163" s="18"/>
      <c r="I163" s="18"/>
      <c r="J163" s="18"/>
      <c r="K163" s="18"/>
      <c r="L163" s="20"/>
    </row>
    <row r="164">
      <c r="A164" s="22"/>
      <c r="B164" s="18"/>
      <c r="C164" s="19"/>
      <c r="D164" s="18"/>
      <c r="E164" s="18"/>
      <c r="F164" s="18"/>
      <c r="G164" s="18"/>
      <c r="H164" s="18"/>
      <c r="I164" s="18"/>
      <c r="J164" s="18"/>
      <c r="K164" s="18"/>
      <c r="L164" s="20"/>
    </row>
    <row r="165">
      <c r="A165" s="22"/>
      <c r="B165" s="18"/>
      <c r="C165" s="19"/>
      <c r="D165" s="18"/>
      <c r="E165" s="18"/>
      <c r="F165" s="18"/>
      <c r="G165" s="18"/>
      <c r="H165" s="18"/>
      <c r="I165" s="18"/>
      <c r="J165" s="18"/>
      <c r="K165" s="18"/>
      <c r="L165" s="20"/>
    </row>
    <row r="166">
      <c r="A166" s="22"/>
      <c r="B166" s="18"/>
      <c r="C166" s="19"/>
      <c r="D166" s="18"/>
      <c r="E166" s="18"/>
      <c r="F166" s="18"/>
      <c r="G166" s="18"/>
      <c r="H166" s="18"/>
      <c r="I166" s="18"/>
      <c r="J166" s="18"/>
      <c r="K166" s="18"/>
      <c r="L166" s="20"/>
    </row>
    <row r="167">
      <c r="A167" s="22"/>
      <c r="B167" s="18"/>
      <c r="C167" s="19"/>
      <c r="D167" s="18"/>
      <c r="E167" s="18"/>
      <c r="F167" s="18"/>
      <c r="G167" s="18"/>
      <c r="H167" s="18"/>
      <c r="I167" s="18"/>
      <c r="J167" s="18"/>
      <c r="K167" s="18"/>
      <c r="L167" s="20"/>
    </row>
  </sheetData>
  <mergeCells count="181">
    <mergeCell ref="L96:P96"/>
    <mergeCell ref="L97:P97"/>
    <mergeCell ref="L98:P98"/>
    <mergeCell ref="L99:P99"/>
    <mergeCell ref="L100:P100"/>
    <mergeCell ref="L101:P101"/>
    <mergeCell ref="L102:P102"/>
    <mergeCell ref="L103:P103"/>
    <mergeCell ref="L104:P104"/>
    <mergeCell ref="L105:P105"/>
    <mergeCell ref="L106:P106"/>
    <mergeCell ref="L107:P107"/>
    <mergeCell ref="L108:P108"/>
    <mergeCell ref="L109:P109"/>
    <mergeCell ref="L110:P110"/>
    <mergeCell ref="L111:P111"/>
    <mergeCell ref="L112:P112"/>
    <mergeCell ref="L113:P113"/>
    <mergeCell ref="L114:P114"/>
    <mergeCell ref="L115:P115"/>
    <mergeCell ref="L116:P116"/>
    <mergeCell ref="L117:P117"/>
    <mergeCell ref="L118:P118"/>
    <mergeCell ref="L119:P119"/>
    <mergeCell ref="L120:P120"/>
    <mergeCell ref="L121:P121"/>
    <mergeCell ref="L122:P122"/>
    <mergeCell ref="L123:P123"/>
    <mergeCell ref="L124:P124"/>
    <mergeCell ref="L125:P125"/>
    <mergeCell ref="L126:P126"/>
    <mergeCell ref="L127:P127"/>
    <mergeCell ref="L128:P128"/>
    <mergeCell ref="L129:P129"/>
    <mergeCell ref="L130:P130"/>
    <mergeCell ref="L131:P131"/>
    <mergeCell ref="L132:P132"/>
    <mergeCell ref="L133:P133"/>
    <mergeCell ref="L134:P134"/>
    <mergeCell ref="L135:P135"/>
    <mergeCell ref="L136:P136"/>
    <mergeCell ref="L137:P137"/>
    <mergeCell ref="L138:P138"/>
    <mergeCell ref="L139:P139"/>
    <mergeCell ref="L140:P140"/>
    <mergeCell ref="L141:P141"/>
    <mergeCell ref="L142:P142"/>
    <mergeCell ref="L143:P143"/>
    <mergeCell ref="L144:P144"/>
    <mergeCell ref="L145:P145"/>
    <mergeCell ref="L146:P146"/>
    <mergeCell ref="L147:P147"/>
    <mergeCell ref="L148:P148"/>
    <mergeCell ref="L149:P149"/>
    <mergeCell ref="L150:P150"/>
    <mergeCell ref="L151:P151"/>
    <mergeCell ref="L3:P4"/>
    <mergeCell ref="L5:P5"/>
    <mergeCell ref="L166:P166"/>
    <mergeCell ref="L167:P167"/>
    <mergeCell ref="D1:D2"/>
    <mergeCell ref="E1:I1"/>
    <mergeCell ref="J1:J2"/>
    <mergeCell ref="K1:P2"/>
    <mergeCell ref="R1:S1"/>
    <mergeCell ref="Q2:Z167"/>
    <mergeCell ref="D3:D4"/>
    <mergeCell ref="L152:P152"/>
    <mergeCell ref="L153:P153"/>
    <mergeCell ref="L154:P154"/>
    <mergeCell ref="L155:P155"/>
    <mergeCell ref="L156:P156"/>
    <mergeCell ref="L157:P157"/>
    <mergeCell ref="L158:P158"/>
    <mergeCell ref="L159:P159"/>
    <mergeCell ref="L160:P160"/>
    <mergeCell ref="L161:P161"/>
    <mergeCell ref="L162:P162"/>
    <mergeCell ref="L163:P163"/>
    <mergeCell ref="L164:P164"/>
    <mergeCell ref="L165:P165"/>
    <mergeCell ref="A1:C2"/>
    <mergeCell ref="A3:A4"/>
    <mergeCell ref="B3:B4"/>
    <mergeCell ref="C3:C4"/>
    <mergeCell ref="E2:I2"/>
    <mergeCell ref="E3:G3"/>
    <mergeCell ref="H3:H4"/>
    <mergeCell ref="I3:I4"/>
    <mergeCell ref="J3:J4"/>
    <mergeCell ref="K3:K4"/>
    <mergeCell ref="L6:P6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18:P18"/>
    <mergeCell ref="L19:P19"/>
    <mergeCell ref="L20:P20"/>
    <mergeCell ref="L21:P21"/>
    <mergeCell ref="L22:P22"/>
    <mergeCell ref="L23:P23"/>
    <mergeCell ref="L24:P24"/>
    <mergeCell ref="L25:P25"/>
    <mergeCell ref="L26:P26"/>
    <mergeCell ref="L27:P27"/>
    <mergeCell ref="L28:P28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0:P40"/>
    <mergeCell ref="L41:P41"/>
    <mergeCell ref="L42:P42"/>
    <mergeCell ref="L43:P43"/>
    <mergeCell ref="L44:P44"/>
    <mergeCell ref="L45:P45"/>
    <mergeCell ref="L46:P46"/>
    <mergeCell ref="L47:P47"/>
    <mergeCell ref="L48:P48"/>
    <mergeCell ref="L49:P49"/>
    <mergeCell ref="L50:P50"/>
    <mergeCell ref="L51:P51"/>
    <mergeCell ref="L52:P52"/>
    <mergeCell ref="L53:P53"/>
    <mergeCell ref="L54:P54"/>
    <mergeCell ref="L55:P55"/>
    <mergeCell ref="L56:P56"/>
    <mergeCell ref="L57:P57"/>
    <mergeCell ref="L58:P58"/>
    <mergeCell ref="L59:P59"/>
    <mergeCell ref="L60:P60"/>
    <mergeCell ref="L61:P61"/>
    <mergeCell ref="L62:P62"/>
    <mergeCell ref="L63:P63"/>
    <mergeCell ref="L64:P64"/>
    <mergeCell ref="L65:P65"/>
    <mergeCell ref="L66:P66"/>
    <mergeCell ref="L67:P67"/>
    <mergeCell ref="L68:P68"/>
    <mergeCell ref="L69:P69"/>
    <mergeCell ref="L70:P70"/>
    <mergeCell ref="L71:P71"/>
    <mergeCell ref="L72:P72"/>
    <mergeCell ref="L73:P73"/>
    <mergeCell ref="L74:P74"/>
    <mergeCell ref="L75:P75"/>
    <mergeCell ref="L76:P76"/>
    <mergeCell ref="L77:P77"/>
    <mergeCell ref="L78:P78"/>
    <mergeCell ref="L79:P79"/>
    <mergeCell ref="L80:P80"/>
    <mergeCell ref="L81:P81"/>
    <mergeCell ref="L82:P82"/>
    <mergeCell ref="L83:P83"/>
    <mergeCell ref="L84:P84"/>
    <mergeCell ref="L85:P85"/>
    <mergeCell ref="L86:P86"/>
    <mergeCell ref="L87:P87"/>
    <mergeCell ref="L88:P88"/>
    <mergeCell ref="L89:P89"/>
    <mergeCell ref="L90:P90"/>
    <mergeCell ref="L91:P91"/>
    <mergeCell ref="L92:P92"/>
    <mergeCell ref="L93:P93"/>
    <mergeCell ref="L94:P94"/>
    <mergeCell ref="L95:P95"/>
  </mergeCells>
  <conditionalFormatting sqref="J5:K167">
    <cfRule type="containsText" dxfId="9" priority="1" operator="containsText" text="Blue">
      <formula>NOT(ISERROR(SEARCH(("Blue"),(J5))))</formula>
    </cfRule>
  </conditionalFormatting>
  <conditionalFormatting sqref="J5:K167">
    <cfRule type="containsText" dxfId="10" priority="2" operator="containsText" text="Green">
      <formula>NOT(ISERROR(SEARCH(("Green"),(J5))))</formula>
    </cfRule>
  </conditionalFormatting>
  <conditionalFormatting sqref="J5:K167">
    <cfRule type="containsText" dxfId="11" priority="3" operator="containsText" text="Black">
      <formula>NOT(ISERROR(SEARCH(("Black"),(J5))))</formula>
    </cfRule>
  </conditionalFormatting>
  <conditionalFormatting sqref="J5:K167">
    <cfRule type="containsText" dxfId="12" priority="4" operator="containsText" text="Red">
      <formula>NOT(ISERROR(SEARCH(("Red"),(J5))))</formula>
    </cfRule>
  </conditionalFormatting>
  <conditionalFormatting sqref="J5:K167">
    <cfRule type="containsText" dxfId="13" priority="5" operator="containsText" text="44CE">
      <formula>NOT(ISERROR(SEARCH(("44CE"),(J5))))</formula>
    </cfRule>
  </conditionalFormatting>
  <conditionalFormatting sqref="H5:H136">
    <cfRule type="containsText" dxfId="0" priority="6" operator="containsText" text="Copper">
      <formula>NOT(ISERROR(SEARCH(("Copper"),(H5))))</formula>
    </cfRule>
  </conditionalFormatting>
  <conditionalFormatting sqref="H5:H136">
    <cfRule type="containsText" dxfId="1" priority="7" operator="containsText" text="Wood">
      <formula>NOT(ISERROR(SEARCH(("Wood"),(H5))))</formula>
    </cfRule>
  </conditionalFormatting>
  <conditionalFormatting sqref="H5:H136">
    <cfRule type="containsText" dxfId="2" priority="8" operator="containsText" text="Fiber">
      <formula>NOT(ISERROR(SEARCH(("Fiber"),(H5))))</formula>
    </cfRule>
  </conditionalFormatting>
  <conditionalFormatting sqref="H5:H136">
    <cfRule type="containsText" dxfId="3" priority="9" operator="containsText" text="Oil">
      <formula>NOT(ISERROR(SEARCH(("Oil"),(H5))))</formula>
    </cfRule>
  </conditionalFormatting>
  <conditionalFormatting sqref="H5:H136">
    <cfRule type="containsText" dxfId="4" priority="10" operator="containsText" text="Aluminum">
      <formula>NOT(ISERROR(SEARCH(("Aluminum"),(H5))))</formula>
    </cfRule>
  </conditionalFormatting>
  <conditionalFormatting sqref="H5:H136">
    <cfRule type="containsText" dxfId="5" priority="11" operator="containsText" text="Iron">
      <formula>NOT(ISERROR(SEARCH(("Iron"),(H5))))</formula>
    </cfRule>
  </conditionalFormatting>
  <conditionalFormatting sqref="H5:H136">
    <cfRule type="containsText" dxfId="6" priority="12" operator="containsText" text="All">
      <formula>NOT(ISERROR(SEARCH(("All"),(H5))))</formula>
    </cfRule>
  </conditionalFormatting>
  <conditionalFormatting sqref="H5:H136">
    <cfRule type="containsText" dxfId="7" priority="13" operator="containsText" text="×">
      <formula>NOT(ISERROR(SEARCH(("×"),(H5))))</formula>
    </cfRule>
  </conditionalFormatting>
  <conditionalFormatting sqref="H5:H136">
    <cfRule type="expression" dxfId="8" priority="14">
      <formula>not(isblank($B5))</formula>
    </cfRule>
  </conditionalFormatting>
  <conditionalFormatting sqref="E5:G167">
    <cfRule type="notContainsBlanks" dxfId="14" priority="15">
      <formula>LEN(TRIM(E5))&gt;0</formula>
    </cfRule>
  </conditionalFormatting>
  <conditionalFormatting sqref="I5:I167">
    <cfRule type="notContainsBlanks" dxfId="13" priority="16">
      <formula>LEN(TRIM(I5))&gt;0</formula>
    </cfRule>
  </conditionalFormatting>
  <conditionalFormatting sqref="A5:P167">
    <cfRule type="expression" dxfId="15" priority="17">
      <formula>$D5="Divider"</formula>
    </cfRule>
  </conditionalFormatting>
  <conditionalFormatting sqref="A5:P167">
    <cfRule type="expression" dxfId="16" priority="18">
      <formula>$D5="44CE"</formula>
    </cfRule>
  </conditionalFormatting>
  <conditionalFormatting sqref="A5:P167">
    <cfRule type="expression" dxfId="17" priority="19">
      <formula>$D5="M"</formula>
    </cfRule>
  </conditionalFormatting>
  <conditionalFormatting sqref="A5:P167">
    <cfRule type="expression" dxfId="18" priority="20">
      <formula>AND($B5=1,isblank($D5))</formula>
    </cfRule>
  </conditionalFormatting>
  <conditionalFormatting sqref="A5:P167">
    <cfRule type="expression" dxfId="19" priority="21">
      <formula>AND($B5=2,isblank($D5))</formula>
    </cfRule>
  </conditionalFormatting>
  <conditionalFormatting sqref="A5:P167">
    <cfRule type="expression" dxfId="20" priority="22">
      <formula>AND($B5=3,isblank($D5))</formula>
    </cfRule>
  </conditionalFormatting>
  <conditionalFormatting sqref="A5:P167">
    <cfRule type="expression" dxfId="18" priority="23">
      <formula>AND($B5=4,isblank($D5))</formula>
    </cfRule>
  </conditionalFormatting>
  <conditionalFormatting sqref="A5:P167">
    <cfRule type="expression" dxfId="21" priority="24">
      <formula>AND($B5=5,isblank($D5))</formula>
    </cfRule>
  </conditionalFormatting>
  <conditionalFormatting sqref="A5:P167">
    <cfRule type="expression" dxfId="18" priority="25">
      <formula>AND($B5=6,isblank($D5))</formula>
    </cfRule>
  </conditionalFormatting>
  <conditionalFormatting sqref="A5:P167">
    <cfRule type="expression" dxfId="20" priority="26">
      <formula>AND($B5=7,isblank($D5))</formula>
    </cfRule>
  </conditionalFormatting>
  <conditionalFormatting sqref="A5:P167">
    <cfRule type="expression" dxfId="8" priority="27">
      <formula>not(isblank($B5))</formula>
    </cfRule>
  </conditionalFormatting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75"/>
  <cols>
    <col customWidth="1" min="1" max="1" width="3.14"/>
    <col customWidth="1" hidden="1" min="2" max="2" width="2.71"/>
    <col customWidth="1" min="3" max="3" width="15.29"/>
    <col customWidth="1" hidden="1" min="4" max="4" width="11.57"/>
    <col customWidth="1" min="5" max="7" width="4.43"/>
    <col customWidth="1" min="8" max="8" width="11.29"/>
    <col customWidth="1" min="9" max="9" width="4.43"/>
    <col customWidth="1" min="10" max="10" width="10.43"/>
    <col customWidth="1" min="11" max="12" width="6.57"/>
    <col customWidth="1" min="13" max="13" width="7.57"/>
    <col customWidth="1" min="14" max="15" width="14.43"/>
    <col customWidth="1" min="16" max="16" width="31.57"/>
    <col customWidth="1" min="17" max="17" width="14.43"/>
  </cols>
  <sheetData>
    <row r="1" ht="15.75" customHeight="1">
      <c r="A1" s="38" t="str">
        <f>text(Floor_data!$O$4+4,"ddddddddd")</f>
        <v>Friday</v>
      </c>
      <c r="D1" s="39">
        <f>IF(VLOOKUP(Floor_data!$O$4,Floor_data!$N$11:$O$17,1,TRUE)+4 &gt;7,VLOOKUP(Floor_data!$O$4,Floor_data!$N$11:$O$17,1,TRUE)-3,VLOOKUP(Floor_data!$O$4,Floor_data!$N$11:$O$17,1,TRUE)+4)</f>
        <v>6</v>
      </c>
      <c r="E1" s="40" t="s">
        <v>19</v>
      </c>
      <c r="J1" s="5" t="s">
        <v>2</v>
      </c>
      <c r="K1" s="28" t="str">
        <f>VLOOKUP($D$1,Floor_data!$N$11:$P$17,3,FALSE)</f>
        <v>3F Omoki and 27F Yukiyoshi: Gyakufunsha
</v>
      </c>
      <c r="Q1" s="7" t="s">
        <v>3</v>
      </c>
      <c r="R1" s="8" t="str">
        <f>VLOOKUP($D$1,Floor_data!$N$11:$Q$17,4,FALSE)</f>
        <v>https://i.imgur.com/ryNIgix.png</v>
      </c>
    </row>
    <row r="2" ht="15.75" customHeight="1">
      <c r="E2" s="41" t="s">
        <v>22</v>
      </c>
      <c r="Q2" s="9" t="str">
        <f>IMAGE(VLOOKUP($D$1,Floor_data!$N$11:$Q$17,4,FALSE),4,3520,1010)</f>
        <v/>
      </c>
    </row>
    <row r="3">
      <c r="A3" s="10" t="s">
        <v>4</v>
      </c>
      <c r="B3" s="10" t="s">
        <v>5</v>
      </c>
      <c r="C3" s="10" t="s">
        <v>6</v>
      </c>
      <c r="D3" s="10" t="s">
        <v>7</v>
      </c>
      <c r="E3" s="11" t="s">
        <v>8</v>
      </c>
      <c r="H3" s="10" t="s">
        <v>9</v>
      </c>
      <c r="I3" s="12" t="s">
        <v>10</v>
      </c>
      <c r="J3" s="13" t="s">
        <v>11</v>
      </c>
      <c r="K3" s="14" t="s">
        <v>12</v>
      </c>
      <c r="L3" s="15" t="s">
        <v>13</v>
      </c>
    </row>
    <row r="4">
      <c r="E4" s="16" t="s">
        <v>14</v>
      </c>
      <c r="F4" s="16" t="s">
        <v>15</v>
      </c>
      <c r="G4" s="16" t="s">
        <v>16</v>
      </c>
    </row>
    <row r="5" ht="3.75" customHeight="1">
      <c r="A5" s="17">
        <f>IFERROR(__xludf.DUMMYFUNCTION("QUERY(Floor_data!$A$2:$L$315,""select A,B,C,D,E,F,G,H,I,J,K,L where B=0 or B=""&amp;$D$1&amp;"""")"),41.0)</f>
        <v>41</v>
      </c>
      <c r="B5" s="18">
        <f>IFERROR(__xludf.DUMMYFUNCTION("""COMPUTED_VALUE"""),0.0)</f>
        <v>0</v>
      </c>
      <c r="C5" s="19" t="str">
        <f>IFERROR(__xludf.DUMMYFUNCTION("""COMPUTED_VALUE"""),"Chojo")</f>
        <v>Chojo</v>
      </c>
      <c r="D5" s="18"/>
      <c r="E5" s="18"/>
      <c r="F5" s="18"/>
      <c r="G5" s="18"/>
      <c r="H5" s="18" t="str">
        <f>IFERROR(__xludf.DUMMYFUNCTION("""COMPUTED_VALUE"""),"×")</f>
        <v>×</v>
      </c>
      <c r="I5" s="18"/>
      <c r="J5" s="18"/>
      <c r="K5" s="18"/>
      <c r="L5" s="20" t="str">
        <f>IFERROR(__xludf.DUMMYFUNCTION("""COMPUTED_VALUE"""),"Final floor of the main game.")</f>
        <v>Final floor of the main game.</v>
      </c>
    </row>
    <row r="6" ht="3.75" customHeight="1">
      <c r="A6" s="17">
        <f>IFERROR(__xludf.DUMMYFUNCTION("""COMPUTED_VALUE"""),40.0)</f>
        <v>40</v>
      </c>
      <c r="B6" s="18">
        <f>IFERROR(__xludf.DUMMYFUNCTION("""COMPUTED_VALUE"""),0.0)</f>
        <v>0</v>
      </c>
      <c r="C6" s="19" t="str">
        <f>IFERROR(__xludf.DUMMYFUNCTION("""COMPUTED_VALUE"""),"Futagi")</f>
        <v>Futagi</v>
      </c>
      <c r="D6" s="18" t="str">
        <f>IFERROR(__xludf.DUMMYFUNCTION("""COMPUTED_VALUE"""),"M")</f>
        <v>M</v>
      </c>
      <c r="E6" s="18"/>
      <c r="F6" s="18">
        <f>IFERROR(__xludf.DUMMYFUNCTION("""COMPUTED_VALUE"""),4.6)</f>
        <v>4.6</v>
      </c>
      <c r="G6" s="18" t="str">
        <f>IFERROR(__xludf.DUMMYFUNCTION("""COMPUTED_VALUE"""),"●")</f>
        <v>●</v>
      </c>
      <c r="H6" s="18" t="str">
        <f>IFERROR(__xludf.DUMMYFUNCTION("""COMPUTED_VALUE"""),"×")</f>
        <v>×</v>
      </c>
      <c r="I6" s="18"/>
      <c r="J6" s="18" t="str">
        <f>IFERROR(__xludf.DUMMYFUNCTION("""COMPUTED_VALUE"""),"MILK Red")</f>
        <v>MILK Red</v>
      </c>
      <c r="K6" s="18"/>
      <c r="L6" s="20" t="str">
        <f>IFERROR(__xludf.DUMMYFUNCTION("""COMPUTED_VALUE"""),"BOSS: Taro Gunkanyama. Must kill 38F JIN-DIE to unlock the floor.")</f>
        <v>BOSS: Taro Gunkanyama. Must kill 38F JIN-DIE to unlock the floor.</v>
      </c>
    </row>
    <row r="7" ht="3.75" customHeight="1">
      <c r="A7" s="17">
        <f>IFERROR(__xludf.DUMMYFUNCTION("""COMPUTED_VALUE"""),39.0)</f>
        <v>39</v>
      </c>
      <c r="B7" s="18">
        <f>IFERROR(__xludf.DUMMYFUNCTION("""COMPUTED_VALUE"""),0.0)</f>
        <v>0</v>
      </c>
      <c r="C7" s="19" t="str">
        <f>IFERROR(__xludf.DUMMYFUNCTION("""COMPUTED_VALUE"""),"Nakasaki")</f>
        <v>Nakasaki</v>
      </c>
      <c r="D7" s="18" t="str">
        <f>IFERROR(__xludf.DUMMYFUNCTION("""COMPUTED_VALUE"""),"M")</f>
        <v>M</v>
      </c>
      <c r="E7" s="18"/>
      <c r="F7" s="18"/>
      <c r="G7" s="18"/>
      <c r="H7" s="18" t="str">
        <f>IFERROR(__xludf.DUMMYFUNCTION("""COMPUTED_VALUE"""),"Iron")</f>
        <v>Iron</v>
      </c>
      <c r="I7" s="18"/>
      <c r="J7" s="18"/>
      <c r="K7" s="18"/>
      <c r="L7" s="20"/>
    </row>
    <row r="8" ht="3.75" customHeight="1">
      <c r="A8" s="17">
        <f>IFERROR(__xludf.DUMMYFUNCTION("""COMPUTED_VALUE"""),39.0)</f>
        <v>39</v>
      </c>
      <c r="B8" s="18">
        <f>IFERROR(__xludf.DUMMYFUNCTION("""COMPUTED_VALUE"""),0.0)</f>
        <v>0</v>
      </c>
      <c r="C8" s="19" t="str">
        <f>IFERROR(__xludf.DUMMYFUNCTION("""COMPUTED_VALUE"""),"Haratsuka")</f>
        <v>Haratsuka</v>
      </c>
      <c r="D8" s="18"/>
      <c r="E8" s="18"/>
      <c r="F8" s="18">
        <f>IFERROR(__xludf.DUMMYFUNCTION("""COMPUTED_VALUE"""),4.5)</f>
        <v>4.5</v>
      </c>
      <c r="G8" s="18"/>
      <c r="H8" s="18" t="str">
        <f>IFERROR(__xludf.DUMMYFUNCTION("""COMPUTED_VALUE"""),"Oil")</f>
        <v>Oil</v>
      </c>
      <c r="I8" s="18" t="str">
        <f>IFERROR(__xludf.DUMMYFUNCTION("""COMPUTED_VALUE"""),"G")</f>
        <v>G</v>
      </c>
      <c r="J8" s="18"/>
      <c r="K8" s="18"/>
      <c r="L8" s="20" t="str">
        <f>IFERROR(__xludf.DUMMYFUNCTION("""COMPUTED_VALUE"""),"Gyakufunsha can appear. Three Mk-5 Bullet Tubers.")</f>
        <v>Gyakufunsha can appear. Three Mk-5 Bullet Tubers.</v>
      </c>
    </row>
    <row r="9" ht="3.75" customHeight="1">
      <c r="A9" s="17">
        <f>IFERROR(__xludf.DUMMYFUNCTION("""COMPUTED_VALUE"""),38.0)</f>
        <v>38</v>
      </c>
      <c r="B9" s="18">
        <f>IFERROR(__xludf.DUMMYFUNCTION("""COMPUTED_VALUE"""),0.0)</f>
        <v>0</v>
      </c>
      <c r="C9" s="19" t="str">
        <f>IFERROR(__xludf.DUMMYFUNCTION("""COMPUTED_VALUE"""),"Yataka-Cho")</f>
        <v>Yataka-Cho</v>
      </c>
      <c r="D9" s="18"/>
      <c r="E9" s="18"/>
      <c r="F9" s="18"/>
      <c r="G9" s="18"/>
      <c r="H9" s="18" t="str">
        <f>IFERROR(__xludf.DUMMYFUNCTION("""COMPUTED_VALUE"""),"Fiber")</f>
        <v>Fiber</v>
      </c>
      <c r="I9" s="18"/>
      <c r="J9" s="18"/>
      <c r="K9" s="18" t="str">
        <f>IFERROR(__xludf.DUMMYFUNCTION("""COMPUTED_VALUE"""),"Red")</f>
        <v>Red</v>
      </c>
      <c r="L9" s="20" t="str">
        <f>IFERROR(__xludf.DUMMYFUNCTION("""COMPUTED_VALUE"""),"TRAP: Red or Black Metals. Five Screamers one after another.")</f>
        <v>TRAP: Red or Black Metals. Five Screamers one after another.</v>
      </c>
    </row>
    <row r="10" ht="3.75" customHeight="1">
      <c r="A10" s="17">
        <f>IFERROR(__xludf.DUMMYFUNCTION("""COMPUTED_VALUE"""),38.0)</f>
        <v>38</v>
      </c>
      <c r="B10" s="18">
        <f>IFERROR(__xludf.DUMMYFUNCTION("""COMPUTED_VALUE"""),0.0)</f>
        <v>0</v>
      </c>
      <c r="C10" s="19" t="str">
        <f>IFERROR(__xludf.DUMMYFUNCTION("""COMPUTED_VALUE"""),"Ebata")</f>
        <v>Ebata</v>
      </c>
      <c r="D10" s="18"/>
      <c r="E10" s="18"/>
      <c r="F10" s="18">
        <f>IFERROR(__xludf.DUMMYFUNCTION("""COMPUTED_VALUE"""),4.4)</f>
        <v>4.4</v>
      </c>
      <c r="G10" s="18"/>
      <c r="H10" s="18" t="str">
        <f>IFERROR(__xludf.DUMMYFUNCTION("""COMPUTED_VALUE"""),"Aluminum")</f>
        <v>Aluminum</v>
      </c>
      <c r="I10" s="18"/>
      <c r="J10" s="18" t="str">
        <f>IFERROR(__xludf.DUMMYFUNCTION("""COMPUTED_VALUE"""),"WE Red")</f>
        <v>WE Red</v>
      </c>
      <c r="K10" s="18"/>
      <c r="L10" s="20" t="str">
        <f>IFERROR(__xludf.DUMMYFUNCTION("""COMPUTED_VALUE"""),"BOSS: JIN-DIE. Drops War Ensemble Red Metal. Two Mk-5 Bullet Tubers.")</f>
        <v>BOSS: JIN-DIE. Drops War Ensemble Red Metal. Two Mk-5 Bullet Tubers.</v>
      </c>
    </row>
    <row r="11" ht="3.75" customHeight="1">
      <c r="A11" s="17">
        <f>IFERROR(__xludf.DUMMYFUNCTION("""COMPUTED_VALUE"""),38.0)</f>
        <v>38</v>
      </c>
      <c r="B11" s="18">
        <f>IFERROR(__xludf.DUMMYFUNCTION("""COMPUTED_VALUE"""),6.0)</f>
        <v>6</v>
      </c>
      <c r="C11" s="19" t="str">
        <f>IFERROR(__xludf.DUMMYFUNCTION("""COMPUTED_VALUE"""),"Koba")</f>
        <v>Koba</v>
      </c>
      <c r="D11" s="18"/>
      <c r="E11" s="18"/>
      <c r="F11" s="18"/>
      <c r="G11" s="18"/>
      <c r="H11" s="18" t="str">
        <f>IFERROR(__xludf.DUMMYFUNCTION("""COMPUTED_VALUE"""),"×")</f>
        <v>×</v>
      </c>
      <c r="I11" s="18"/>
      <c r="J11" s="18"/>
      <c r="K11" s="18"/>
      <c r="L11" s="20"/>
    </row>
    <row r="12" ht="3.75" customHeight="1">
      <c r="A12" s="17">
        <f>IFERROR(__xludf.DUMMYFUNCTION("""COMPUTED_VALUE"""),37.0)</f>
        <v>37</v>
      </c>
      <c r="B12" s="18">
        <f>IFERROR(__xludf.DUMMYFUNCTION("""COMPUTED_VALUE"""),0.0)</f>
        <v>0</v>
      </c>
      <c r="C12" s="19" t="str">
        <f>IFERROR(__xludf.DUMMYFUNCTION("""COMPUTED_VALUE"""),"Hiromatsu")</f>
        <v>Hiromatsu</v>
      </c>
      <c r="D12" s="18" t="str">
        <f>IFERROR(__xludf.DUMMYFUNCTION("""COMPUTED_VALUE"""),"M")</f>
        <v>M</v>
      </c>
      <c r="E12" s="18"/>
      <c r="F12" s="18">
        <f>IFERROR(__xludf.DUMMYFUNCTION("""COMPUTED_VALUE"""),4.3)</f>
        <v>4.3</v>
      </c>
      <c r="G12" s="18"/>
      <c r="H12" s="18" t="str">
        <f>IFERROR(__xludf.DUMMYFUNCTION("""COMPUTED_VALUE"""),"All")</f>
        <v>All</v>
      </c>
      <c r="I12" s="18"/>
      <c r="J12" s="18"/>
      <c r="K12" s="18"/>
      <c r="L12" s="20" t="str">
        <f>IFERROR(__xludf.DUMMYFUNCTION("""COMPUTED_VALUE"""),"Must unlock from 36F Itanodai.")</f>
        <v>Must unlock from 36F Itanodai.</v>
      </c>
    </row>
    <row r="13" ht="3.75" customHeight="1">
      <c r="A13" s="17">
        <f>IFERROR(__xludf.DUMMYFUNCTION("""COMPUTED_VALUE"""),37.0)</f>
        <v>37</v>
      </c>
      <c r="B13" s="18">
        <f>IFERROR(__xludf.DUMMYFUNCTION("""COMPUTED_VALUE"""),0.0)</f>
        <v>0</v>
      </c>
      <c r="C13" s="19" t="str">
        <f>IFERROR(__xludf.DUMMYFUNCTION("""COMPUTED_VALUE"""),"Mitsuba")</f>
        <v>Mitsuba</v>
      </c>
      <c r="D13" s="18"/>
      <c r="E13" s="18"/>
      <c r="F13" s="18"/>
      <c r="G13" s="18"/>
      <c r="H13" s="18" t="str">
        <f>IFERROR(__xludf.DUMMYFUNCTION("""COMPUTED_VALUE"""),"Oil")</f>
        <v>Oil</v>
      </c>
      <c r="I13" s="18"/>
      <c r="J13" s="18"/>
      <c r="K13" s="18"/>
      <c r="L13" s="20"/>
    </row>
    <row r="14" ht="3.75" customHeight="1">
      <c r="A14" s="17">
        <f>IFERROR(__xludf.DUMMYFUNCTION("""COMPUTED_VALUE"""),37.0)</f>
        <v>37</v>
      </c>
      <c r="B14" s="18">
        <f>IFERROR(__xludf.DUMMYFUNCTION("""COMPUTED_VALUE"""),6.0)</f>
        <v>6</v>
      </c>
      <c r="C14" s="19" t="str">
        <f>IFERROR(__xludf.DUMMYFUNCTION("""COMPUTED_VALUE"""),"Moguro")</f>
        <v>Moguro</v>
      </c>
      <c r="D14" s="18"/>
      <c r="E14" s="18"/>
      <c r="F14" s="18"/>
      <c r="G14" s="18" t="str">
        <f>IFERROR(__xludf.DUMMYFUNCTION("""COMPUTED_VALUE"""),"●")</f>
        <v>●</v>
      </c>
      <c r="H14" s="18" t="str">
        <f>IFERROR(__xludf.DUMMYFUNCTION("""COMPUTED_VALUE"""),"Iron")</f>
        <v>Iron</v>
      </c>
      <c r="I14" s="18"/>
      <c r="J14" s="18"/>
      <c r="K14" s="18"/>
      <c r="L14" s="20"/>
    </row>
    <row r="15" ht="3.75" customHeight="1">
      <c r="A15" s="17">
        <f>IFERROR(__xludf.DUMMYFUNCTION("""COMPUTED_VALUE"""),36.0)</f>
        <v>36</v>
      </c>
      <c r="B15" s="18">
        <f>IFERROR(__xludf.DUMMYFUNCTION("""COMPUTED_VALUE"""),0.0)</f>
        <v>0</v>
      </c>
      <c r="C15" s="19" t="str">
        <f>IFERROR(__xludf.DUMMYFUNCTION("""COMPUTED_VALUE"""),"Yatsuo")</f>
        <v>Yatsuo</v>
      </c>
      <c r="D15" s="18" t="str">
        <f>IFERROR(__xludf.DUMMYFUNCTION("""COMPUTED_VALUE"""),"M")</f>
        <v>M</v>
      </c>
      <c r="E15" s="18">
        <f>IFERROR(__xludf.DUMMYFUNCTION("""COMPUTED_VALUE"""),8.0)</f>
        <v>8</v>
      </c>
      <c r="F15" s="18"/>
      <c r="G15" s="18" t="str">
        <f>IFERROR(__xludf.DUMMYFUNCTION("""COMPUTED_VALUE"""),"●")</f>
        <v>●</v>
      </c>
      <c r="H15" s="18" t="str">
        <f>IFERROR(__xludf.DUMMYFUNCTION("""COMPUTED_VALUE"""),"All")</f>
        <v>All</v>
      </c>
      <c r="I15" s="18"/>
      <c r="J15" s="18"/>
      <c r="K15" s="18"/>
      <c r="L15" s="20" t="str">
        <f>IFERROR(__xludf.DUMMYFUNCTION("""COMPUTED_VALUE"""),"Only properly connects to 35F Wakaba on Monday.")</f>
        <v>Only properly connects to 35F Wakaba on Monday.</v>
      </c>
    </row>
    <row r="16" ht="3.75" customHeight="1">
      <c r="A16" s="17">
        <f>IFERROR(__xludf.DUMMYFUNCTION("""COMPUTED_VALUE"""),36.0)</f>
        <v>36</v>
      </c>
      <c r="B16" s="18">
        <f>IFERROR(__xludf.DUMMYFUNCTION("""COMPUTED_VALUE"""),0.0)</f>
        <v>0</v>
      </c>
      <c r="C16" s="19" t="str">
        <f>IFERROR(__xludf.DUMMYFUNCTION("""COMPUTED_VALUE"""),"Itanodai")</f>
        <v>Itanodai</v>
      </c>
      <c r="D16" s="18"/>
      <c r="E16" s="18"/>
      <c r="F16" s="18">
        <f>IFERROR(__xludf.DUMMYFUNCTION("""COMPUTED_VALUE"""),4.2)</f>
        <v>4.2</v>
      </c>
      <c r="G16" s="18"/>
      <c r="H16" s="18" t="str">
        <f>IFERROR(__xludf.DUMMYFUNCTION("""COMPUTED_VALUE"""),"Wood")</f>
        <v>Wood</v>
      </c>
      <c r="I16" s="18"/>
      <c r="J16" s="18" t="str">
        <f>IFERROR(__xludf.DUMMYFUNCTION("""COMPUTED_VALUE"""),"CW Red ")</f>
        <v>CW Red </v>
      </c>
      <c r="K16" s="18"/>
      <c r="L16" s="20" t="str">
        <f>IFERROR(__xludf.DUMMYFUNCTION("""COMPUTED_VALUE"""),"BOSS: GOTO-9. Drops Candle Wolf Red Metal.")</f>
        <v>BOSS: GOTO-9. Drops Candle Wolf Red Metal.</v>
      </c>
    </row>
    <row r="17" ht="3.75" customHeight="1">
      <c r="A17" s="17">
        <f>IFERROR(__xludf.DUMMYFUNCTION("""COMPUTED_VALUE"""),36.0)</f>
        <v>36</v>
      </c>
      <c r="B17" s="18">
        <f>IFERROR(__xludf.DUMMYFUNCTION("""COMPUTED_VALUE"""),0.0)</f>
        <v>0</v>
      </c>
      <c r="C17" s="19" t="str">
        <f>IFERROR(__xludf.DUMMYFUNCTION("""COMPUTED_VALUE"""),"Hiranuma")</f>
        <v>Hiranuma</v>
      </c>
      <c r="D17" s="18"/>
      <c r="E17" s="18"/>
      <c r="F17" s="18"/>
      <c r="G17" s="18"/>
      <c r="H17" s="18" t="str">
        <f>IFERROR(__xludf.DUMMYFUNCTION("""COMPUTED_VALUE"""),"Copper")</f>
        <v>Copper</v>
      </c>
      <c r="I17" s="18"/>
      <c r="J17" s="18"/>
      <c r="K17" s="18"/>
      <c r="L17" s="20"/>
    </row>
    <row r="18" ht="3.75" customHeight="1">
      <c r="A18" s="17">
        <f>IFERROR(__xludf.DUMMYFUNCTION("""COMPUTED_VALUE"""),36.0)</f>
        <v>36</v>
      </c>
      <c r="B18" s="18">
        <f>IFERROR(__xludf.DUMMYFUNCTION("""COMPUTED_VALUE"""),6.0)</f>
        <v>6</v>
      </c>
      <c r="C18" s="19" t="str">
        <f>IFERROR(__xludf.DUMMYFUNCTION("""COMPUTED_VALUE"""),"Momonoki-Zaka")</f>
        <v>Momonoki-Zaka</v>
      </c>
      <c r="D18" s="18"/>
      <c r="E18" s="18"/>
      <c r="F18" s="18"/>
      <c r="G18" s="18"/>
      <c r="H18" s="18" t="str">
        <f>IFERROR(__xludf.DUMMYFUNCTION("""COMPUTED_VALUE"""),"Fiber")</f>
        <v>Fiber</v>
      </c>
      <c r="I18" s="18"/>
      <c r="J18" s="18"/>
      <c r="K18" s="18"/>
      <c r="L18" s="20"/>
    </row>
    <row r="19" ht="3.75" customHeight="1">
      <c r="A19" s="17">
        <f>IFERROR(__xludf.DUMMYFUNCTION("""COMPUTED_VALUE"""),35.0)</f>
        <v>35</v>
      </c>
      <c r="B19" s="18">
        <f>IFERROR(__xludf.DUMMYFUNCTION("""COMPUTED_VALUE"""),0.0)</f>
        <v>0</v>
      </c>
      <c r="C19" s="19" t="str">
        <f>IFERROR(__xludf.DUMMYFUNCTION("""COMPUTED_VALUE"""),"Shina-Yama")</f>
        <v>Shina-Yama</v>
      </c>
      <c r="D19" s="18"/>
      <c r="E19" s="18"/>
      <c r="F19" s="18">
        <f>IFERROR(__xludf.DUMMYFUNCTION("""COMPUTED_VALUE"""),4.1)</f>
        <v>4.1</v>
      </c>
      <c r="G19" s="18"/>
      <c r="H19" s="18" t="str">
        <f>IFERROR(__xludf.DUMMYFUNCTION("""COMPUTED_VALUE"""),"Aluminum")</f>
        <v>Aluminum</v>
      </c>
      <c r="I19" s="18"/>
      <c r="J19" s="18"/>
      <c r="K19" s="18"/>
      <c r="L19" s="20" t="str">
        <f>IFERROR(__xludf.DUMMYFUNCTION("""COMPUTED_VALUE"""),"Must unlock from 34F Nitanda.")</f>
        <v>Must unlock from 34F Nitanda.</v>
      </c>
    </row>
    <row r="20" ht="3.75" customHeight="1">
      <c r="A20" s="17">
        <f>IFERROR(__xludf.DUMMYFUNCTION("""COMPUTED_VALUE"""),35.0)</f>
        <v>35</v>
      </c>
      <c r="B20" s="18">
        <f>IFERROR(__xludf.DUMMYFUNCTION("""COMPUTED_VALUE"""),0.0)</f>
        <v>0</v>
      </c>
      <c r="C20" s="19" t="str">
        <f>IFERROR(__xludf.DUMMYFUNCTION("""COMPUTED_VALUE"""),"Wakaba")</f>
        <v>Wakaba</v>
      </c>
      <c r="D20" s="18"/>
      <c r="E20" s="18">
        <f>IFERROR(__xludf.DUMMYFUNCTION("""COMPUTED_VALUE"""),7.0)</f>
        <v>7</v>
      </c>
      <c r="F20" s="18"/>
      <c r="G20" s="18" t="str">
        <f>IFERROR(__xludf.DUMMYFUNCTION("""COMPUTED_VALUE"""),"●")</f>
        <v>●</v>
      </c>
      <c r="H20" s="18" t="str">
        <f>IFERROR(__xludf.DUMMYFUNCTION("""COMPUTED_VALUE"""),"Iron")</f>
        <v>Iron</v>
      </c>
      <c r="I20" s="18"/>
      <c r="J20" s="18"/>
      <c r="K20" s="18" t="str">
        <f>IFERROR(__xludf.DUMMYFUNCTION("""COMPUTED_VALUE"""),"Red")</f>
        <v>Red</v>
      </c>
      <c r="L20" s="20" t="str">
        <f>IFERROR(__xludf.DUMMYFUNCTION("""COMPUTED_VALUE"""),"TRAP: Red or Black Metals. 4 Mk-5 Scratch, Mk-5 Hover, a Screamer.
Gate in the garden locks automatically; cannot approach from Nagazaka/Sengoku.")</f>
        <v>TRAP: Red or Black Metals. 4 Mk-5 Scratch, Mk-5 Hover, a Screamer.
Gate in the garden locks automatically; cannot approach from Nagazaka/Sengoku.</v>
      </c>
    </row>
    <row r="21" ht="3.75" customHeight="1">
      <c r="A21" s="17">
        <f>IFERROR(__xludf.DUMMYFUNCTION("""COMPUTED_VALUE"""),34.0)</f>
        <v>34</v>
      </c>
      <c r="B21" s="18">
        <f>IFERROR(__xludf.DUMMYFUNCTION("""COMPUTED_VALUE"""),0.0)</f>
        <v>0</v>
      </c>
      <c r="C21" s="19" t="str">
        <f>IFERROR(__xludf.DUMMYFUNCTION("""COMPUTED_VALUE"""),"Nitanda")</f>
        <v>Nitanda</v>
      </c>
      <c r="D21" s="18"/>
      <c r="E21" s="18"/>
      <c r="F21" s="18"/>
      <c r="G21" s="18" t="str">
        <f>IFERROR(__xludf.DUMMYFUNCTION("""COMPUTED_VALUE"""),"●")</f>
        <v>●</v>
      </c>
      <c r="H21" s="18" t="str">
        <f>IFERROR(__xludf.DUMMYFUNCTION("""COMPUTED_VALUE"""),"×")</f>
        <v>×</v>
      </c>
      <c r="I21" s="18"/>
      <c r="J21" s="18" t="str">
        <f>IFERROR(__xludf.DUMMYFUNCTION("""COMPUTED_VALUE"""),"DOD Red")</f>
        <v>DOD Red</v>
      </c>
      <c r="K21" s="18"/>
      <c r="L21" s="20" t="str">
        <f>IFERROR(__xludf.DUMMYFUNCTION("""COMPUTED_VALUE"""),"BOSS: COEN. Drops DOD ARMS Red Metal.")</f>
        <v>BOSS: COEN. Drops DOD ARMS Red Metal.</v>
      </c>
    </row>
    <row r="22" ht="3.75" customHeight="1">
      <c r="A22" s="17">
        <f>IFERROR(__xludf.DUMMYFUNCTION("""COMPUTED_VALUE"""),34.0)</f>
        <v>34</v>
      </c>
      <c r="B22" s="18">
        <f>IFERROR(__xludf.DUMMYFUNCTION("""COMPUTED_VALUE"""),6.0)</f>
        <v>6</v>
      </c>
      <c r="C22" s="19" t="str">
        <f>IFERROR(__xludf.DUMMYFUNCTION("""COMPUTED_VALUE"""),"Kohashi")</f>
        <v>Kohashi</v>
      </c>
      <c r="D22" s="18"/>
      <c r="E22" s="18"/>
      <c r="F22" s="18"/>
      <c r="G22" s="18"/>
      <c r="H22" s="18" t="str">
        <f>IFERROR(__xludf.DUMMYFUNCTION("""COMPUTED_VALUE"""),"×")</f>
        <v>×</v>
      </c>
      <c r="I22" s="18"/>
      <c r="J22" s="18"/>
      <c r="K22" s="18"/>
      <c r="L22" s="20" t="str">
        <f>IFERROR(__xludf.DUMMYFUNCTION("""COMPUTED_VALUE"""),"Three traps, each with a Mk-4 Reversal Tuber. Chance for a Golden Bird.")</f>
        <v>Three traps, each with a Mk-4 Reversal Tuber. Chance for a Golden Bird.</v>
      </c>
    </row>
    <row r="23" ht="3.75" customHeight="1">
      <c r="A23" s="17">
        <f>IFERROR(__xludf.DUMMYFUNCTION("""COMPUTED_VALUE"""),34.0)</f>
        <v>34</v>
      </c>
      <c r="B23" s="18">
        <f>IFERROR(__xludf.DUMMYFUNCTION("""COMPUTED_VALUE"""),6.0)</f>
        <v>6</v>
      </c>
      <c r="C23" s="19" t="str">
        <f>IFERROR(__xludf.DUMMYFUNCTION("""COMPUTED_VALUE"""),"Otani-Yama")</f>
        <v>Otani-Yama</v>
      </c>
      <c r="D23" s="18"/>
      <c r="E23" s="18"/>
      <c r="F23" s="18"/>
      <c r="G23" s="18"/>
      <c r="H23" s="18" t="str">
        <f>IFERROR(__xludf.DUMMYFUNCTION("""COMPUTED_VALUE"""),"Iron")</f>
        <v>Iron</v>
      </c>
      <c r="I23" s="18"/>
      <c r="J23" s="18"/>
      <c r="K23" s="18"/>
      <c r="L23" s="20"/>
    </row>
    <row r="24" ht="3.75" customHeight="1">
      <c r="A24" s="17">
        <f>IFERROR(__xludf.DUMMYFUNCTION("""COMPUTED_VALUE"""),33.0)</f>
        <v>33</v>
      </c>
      <c r="B24" s="18">
        <f>IFERROR(__xludf.DUMMYFUNCTION("""COMPUTED_VALUE"""),0.0)</f>
        <v>0</v>
      </c>
      <c r="C24" s="19" t="str">
        <f>IFERROR(__xludf.DUMMYFUNCTION("""COMPUTED_VALUE"""),"Togose")</f>
        <v>Togose</v>
      </c>
      <c r="D24" s="18" t="str">
        <f>IFERROR(__xludf.DUMMYFUNCTION("""COMPUTED_VALUE"""),"M")</f>
        <v>M</v>
      </c>
      <c r="E24" s="18"/>
      <c r="F24" s="18"/>
      <c r="G24" s="18"/>
      <c r="H24" s="18" t="str">
        <f>IFERROR(__xludf.DUMMYFUNCTION("""COMPUTED_VALUE"""),"All")</f>
        <v>All</v>
      </c>
      <c r="I24" s="18"/>
      <c r="J24" s="18"/>
      <c r="K24" s="18"/>
      <c r="L24" s="20"/>
    </row>
    <row r="25" ht="1.5" customHeight="1">
      <c r="A25" s="17">
        <f>IFERROR(__xludf.DUMMYFUNCTION("""COMPUTED_VALUE"""),33.0)</f>
        <v>33</v>
      </c>
      <c r="B25" s="18">
        <f>IFERROR(__xludf.DUMMYFUNCTION("""COMPUTED_VALUE"""),0.0)</f>
        <v>0</v>
      </c>
      <c r="C25" s="19" t="str">
        <f>IFERROR(__xludf.DUMMYFUNCTION("""COMPUTED_VALUE"""),"Uchinobu")</f>
        <v>Uchinobu</v>
      </c>
      <c r="D25" s="18"/>
      <c r="E25" s="18"/>
      <c r="F25" s="18"/>
      <c r="G25" s="18"/>
      <c r="H25" s="18" t="str">
        <f>IFERROR(__xludf.DUMMYFUNCTION("""COMPUTED_VALUE"""),"Fiber")</f>
        <v>Fiber</v>
      </c>
      <c r="I25" s="18" t="str">
        <f>IFERROR(__xludf.DUMMYFUNCTION("""COMPUTED_VALUE"""),"G")</f>
        <v>G</v>
      </c>
      <c r="J25" s="18"/>
      <c r="K25" s="18"/>
      <c r="L25" s="20"/>
    </row>
    <row r="26" ht="1.5" customHeight="1">
      <c r="A26" s="17">
        <f>IFERROR(__xludf.DUMMYFUNCTION("""COMPUTED_VALUE"""),33.0)</f>
        <v>33</v>
      </c>
      <c r="B26" s="18">
        <f>IFERROR(__xludf.DUMMYFUNCTION("""COMPUTED_VALUE"""),6.0)</f>
        <v>6</v>
      </c>
      <c r="C26" s="19" t="str">
        <f>IFERROR(__xludf.DUMMYFUNCTION("""COMPUTED_VALUE"""),"Akabadai")</f>
        <v>Akabadai</v>
      </c>
      <c r="D26" s="18"/>
      <c r="E26" s="18"/>
      <c r="F26" s="18"/>
      <c r="G26" s="18"/>
      <c r="H26" s="18" t="str">
        <f>IFERROR(__xludf.DUMMYFUNCTION("""COMPUTED_VALUE"""),"Wood")</f>
        <v>Wood</v>
      </c>
      <c r="I26" s="18"/>
      <c r="J26" s="18"/>
      <c r="K26" s="18"/>
      <c r="L26" s="20"/>
    </row>
    <row r="27" ht="1.5" customHeight="1">
      <c r="A27" s="17">
        <f>IFERROR(__xludf.DUMMYFUNCTION("""COMPUTED_VALUE"""),32.0)</f>
        <v>32</v>
      </c>
      <c r="B27" s="18">
        <f>IFERROR(__xludf.DUMMYFUNCTION("""COMPUTED_VALUE"""),0.0)</f>
        <v>0</v>
      </c>
      <c r="C27" s="19" t="str">
        <f>IFERROR(__xludf.DUMMYFUNCTION("""COMPUTED_VALUE"""),"Koshi-Yama")</f>
        <v>Koshi-Yama</v>
      </c>
      <c r="D27" s="18"/>
      <c r="E27" s="18"/>
      <c r="F27" s="18"/>
      <c r="G27" s="18"/>
      <c r="H27" s="18" t="str">
        <f>IFERROR(__xludf.DUMMYFUNCTION("""COMPUTED_VALUE"""),"Iron")</f>
        <v>Iron</v>
      </c>
      <c r="I27" s="18"/>
      <c r="J27" s="18"/>
      <c r="K27" s="18" t="str">
        <f>IFERROR(__xludf.DUMMYFUNCTION("""COMPUTED_VALUE"""),"Red")</f>
        <v>Red</v>
      </c>
      <c r="L27" s="20" t="str">
        <f>IFERROR(__xludf.DUMMYFUNCTION("""COMPUTED_VALUE"""),"TRAP: Red or Black Metals. Mk-4 Bone Tuber, two Screamers. Unlock from 33F Uchinobu.")</f>
        <v>TRAP: Red or Black Metals. Mk-4 Bone Tuber, two Screamers. Unlock from 33F Uchinobu.</v>
      </c>
    </row>
    <row r="28" ht="1.5" customHeight="1">
      <c r="A28" s="17">
        <f>IFERROR(__xludf.DUMMYFUNCTION("""COMPUTED_VALUE"""),32.0)</f>
        <v>32</v>
      </c>
      <c r="B28" s="18">
        <f>IFERROR(__xludf.DUMMYFUNCTION("""COMPUTED_VALUE"""),0.0)</f>
        <v>0</v>
      </c>
      <c r="C28" s="19" t="str">
        <f>IFERROR(__xludf.DUMMYFUNCTION("""COMPUTED_VALUE"""),"Katsuma")</f>
        <v>Katsuma</v>
      </c>
      <c r="D28" s="18"/>
      <c r="E28" s="18"/>
      <c r="F28" s="18"/>
      <c r="G28" s="18" t="str">
        <f>IFERROR(__xludf.DUMMYFUNCTION("""COMPUTED_VALUE"""),"●")</f>
        <v>●</v>
      </c>
      <c r="H28" s="18" t="str">
        <f>IFERROR(__xludf.DUMMYFUNCTION("""COMPUTED_VALUE"""),"Oil")</f>
        <v>Oil</v>
      </c>
      <c r="I28" s="18"/>
      <c r="J28" s="18" t="str">
        <f>IFERROR(__xludf.DUMMYFUNCTION("""COMPUTED_VALUE"""),"MILK Red")</f>
        <v>MILK Red</v>
      </c>
      <c r="K28" s="18"/>
      <c r="L28" s="20" t="str">
        <f>IFERROR(__xludf.DUMMYFUNCTION("""COMPUTED_VALUE"""),"BOSS: U-10. Drops MILK Red Metal.")</f>
        <v>BOSS: U-10. Drops MILK Red Metal.</v>
      </c>
    </row>
    <row r="29" ht="1.5" customHeight="1">
      <c r="A29" s="17">
        <f>IFERROR(__xludf.DUMMYFUNCTION("""COMPUTED_VALUE"""),32.0)</f>
        <v>32</v>
      </c>
      <c r="B29" s="18">
        <f>IFERROR(__xludf.DUMMYFUNCTION("""COMPUTED_VALUE"""),0.0)</f>
        <v>0</v>
      </c>
      <c r="C29" s="19" t="str">
        <f>IFERROR(__xludf.DUMMYFUNCTION("""COMPUTED_VALUE"""),"Osuki")</f>
        <v>Osuki</v>
      </c>
      <c r="D29" s="18"/>
      <c r="E29" s="18"/>
      <c r="F29" s="18"/>
      <c r="G29" s="18"/>
      <c r="H29" s="18" t="str">
        <f>IFERROR(__xludf.DUMMYFUNCTION("""COMPUTED_VALUE"""),"Copper")</f>
        <v>Copper</v>
      </c>
      <c r="I29" s="18"/>
      <c r="J29" s="18"/>
      <c r="K29" s="18"/>
      <c r="L29" s="20"/>
    </row>
    <row r="30" ht="1.5" customHeight="1">
      <c r="A30" s="17">
        <f>IFERROR(__xludf.DUMMYFUNCTION("""COMPUTED_VALUE"""),31.0)</f>
        <v>31</v>
      </c>
      <c r="B30" s="18">
        <f>IFERROR(__xludf.DUMMYFUNCTION("""COMPUTED_VALUE"""),0.0)</f>
        <v>0</v>
      </c>
      <c r="C30" s="19" t="str">
        <f>IFERROR(__xludf.DUMMYFUNCTION("""COMPUTED_VALUE"""),"Obara")</f>
        <v>Obara</v>
      </c>
      <c r="D30" s="18" t="str">
        <f>IFERROR(__xludf.DUMMYFUNCTION("""COMPUTED_VALUE"""),"M")</f>
        <v>M</v>
      </c>
      <c r="E30" s="18"/>
      <c r="F30" s="18"/>
      <c r="G30" s="18" t="str">
        <f>IFERROR(__xludf.DUMMYFUNCTION("""COMPUTED_VALUE"""),"●")</f>
        <v>●</v>
      </c>
      <c r="H30" s="18" t="str">
        <f>IFERROR(__xludf.DUMMYFUNCTION("""COMPUTED_VALUE"""),"All")</f>
        <v>All</v>
      </c>
      <c r="I30" s="18"/>
      <c r="J30" s="18"/>
      <c r="K30" s="18"/>
      <c r="L30" s="20"/>
    </row>
    <row r="31" ht="1.5" customHeight="1">
      <c r="A31" s="17">
        <f>IFERROR(__xludf.DUMMYFUNCTION("""COMPUTED_VALUE"""),31.0)</f>
        <v>31</v>
      </c>
      <c r="B31" s="18">
        <f>IFERROR(__xludf.DUMMYFUNCTION("""COMPUTED_VALUE"""),0.0)</f>
        <v>0</v>
      </c>
      <c r="C31" s="19" t="str">
        <f>IFERROR(__xludf.DUMMYFUNCTION("""COMPUTED_VALUE"""),"Koi")</f>
        <v>Koi</v>
      </c>
      <c r="D31" s="18"/>
      <c r="E31" s="18"/>
      <c r="F31" s="18"/>
      <c r="G31" s="18"/>
      <c r="H31" s="18" t="str">
        <f>IFERROR(__xludf.DUMMYFUNCTION("""COMPUTED_VALUE"""),"×")</f>
        <v>×</v>
      </c>
      <c r="I31" s="18"/>
      <c r="J31" s="18"/>
      <c r="K31" s="18"/>
      <c r="L31" s="20" t="str">
        <f>IFERROR(__xludf.DUMMYFUNCTION("""COMPUTED_VALUE"""),"One Mk-4 Reversal Tuber in a dead-end trap room.")</f>
        <v>One Mk-4 Reversal Tuber in a dead-end trap room.</v>
      </c>
    </row>
    <row r="32" ht="1.5" customHeight="1">
      <c r="A32" s="17">
        <f>IFERROR(__xludf.DUMMYFUNCTION("""COMPUTED_VALUE"""),30.0)</f>
        <v>30</v>
      </c>
      <c r="B32" s="18">
        <f>IFERROR(__xludf.DUMMYFUNCTION("""COMPUTED_VALUE"""),0.0)</f>
        <v>0</v>
      </c>
      <c r="C32" s="19" t="str">
        <f>IFERROR(__xludf.DUMMYFUNCTION("""COMPUTED_VALUE"""),"Towada")</f>
        <v>Towada</v>
      </c>
      <c r="D32" s="18"/>
      <c r="E32" s="18"/>
      <c r="F32" s="18"/>
      <c r="G32" s="18"/>
      <c r="H32" s="18" t="str">
        <f>IFERROR(__xludf.DUMMYFUNCTION("""COMPUTED_VALUE"""),"All")</f>
        <v>All</v>
      </c>
      <c r="I32" s="18"/>
      <c r="J32" s="18"/>
      <c r="K32" s="18"/>
      <c r="L32" s="20"/>
    </row>
    <row r="33" ht="1.5" customHeight="1">
      <c r="A33" s="17">
        <f>IFERROR(__xludf.DUMMYFUNCTION("""COMPUTED_VALUE"""),30.0)</f>
        <v>30</v>
      </c>
      <c r="B33" s="18">
        <f>IFERROR(__xludf.DUMMYFUNCTION("""COMPUTED_VALUE"""),6.0)</f>
        <v>6</v>
      </c>
      <c r="C33" s="19" t="str">
        <f>IFERROR(__xludf.DUMMYFUNCTION("""COMPUTED_VALUE"""),"Utatsu")</f>
        <v>Utatsu</v>
      </c>
      <c r="D33" s="18"/>
      <c r="E33" s="18"/>
      <c r="F33" s="18"/>
      <c r="G33" s="18"/>
      <c r="H33" s="18" t="str">
        <f>IFERROR(__xludf.DUMMYFUNCTION("""COMPUTED_VALUE"""),"Aluminum")</f>
        <v>Aluminum</v>
      </c>
      <c r="I33" s="18"/>
      <c r="J33" s="18"/>
      <c r="K33" s="18"/>
      <c r="L33" s="20" t="str">
        <f>IFERROR(__xludf.DUMMYFUNCTION("""COMPUTED_VALUE"""),"One Mk-4 Reversal Tuber. Floor is Friday only.")</f>
        <v>One Mk-4 Reversal Tuber. Floor is Friday only.</v>
      </c>
    </row>
    <row r="34" ht="1.5" customHeight="1">
      <c r="A34" s="17">
        <f>IFERROR(__xludf.DUMMYFUNCTION("""COMPUTED_VALUE"""),30.0)</f>
        <v>30</v>
      </c>
      <c r="B34" s="18">
        <f>IFERROR(__xludf.DUMMYFUNCTION("""COMPUTED_VALUE"""),0.0)</f>
        <v>0</v>
      </c>
      <c r="C34" s="19" t="str">
        <f>IFERROR(__xludf.DUMMYFUNCTION("""COMPUTED_VALUE"""),"Saigetsu")</f>
        <v>Saigetsu</v>
      </c>
      <c r="D34" s="18" t="str">
        <f>IFERROR(__xludf.DUMMYFUNCTION("""COMPUTED_VALUE"""),"M")</f>
        <v>M</v>
      </c>
      <c r="E34" s="18"/>
      <c r="F34" s="18">
        <f>IFERROR(__xludf.DUMMYFUNCTION("""COMPUTED_VALUE"""),3.6)</f>
        <v>3.6</v>
      </c>
      <c r="G34" s="18" t="str">
        <f>IFERROR(__xludf.DUMMYFUNCTION("""COMPUTED_VALUE"""),"●")</f>
        <v>●</v>
      </c>
      <c r="H34" s="18" t="str">
        <f>IFERROR(__xludf.DUMMYFUNCTION("""COMPUTED_VALUE"""),"×")</f>
        <v>×</v>
      </c>
      <c r="I34" s="18"/>
      <c r="J34" s="18" t="str">
        <f>IFERROR(__xludf.DUMMYFUNCTION("""COMPUTED_VALUE"""),"CW Black")</f>
        <v>CW Black</v>
      </c>
      <c r="K34" s="18"/>
      <c r="L34" s="20" t="str">
        <f>IFERROR(__xludf.DUMMYFUNCTION("""COMPUTED_VALUE"""),"BOSS: Mr. Crowley.")</f>
        <v>BOSS: Mr. Crowley.</v>
      </c>
    </row>
    <row r="35" ht="1.5" customHeight="1">
      <c r="A35" s="17">
        <f>IFERROR(__xludf.DUMMYFUNCTION("""COMPUTED_VALUE"""),29.0)</f>
        <v>29</v>
      </c>
      <c r="B35" s="18">
        <f>IFERROR(__xludf.DUMMYFUNCTION("""COMPUTED_VALUE"""),0.0)</f>
        <v>0</v>
      </c>
      <c r="C35" s="19" t="str">
        <f>IFERROR(__xludf.DUMMYFUNCTION("""COMPUTED_VALUE"""),"Hashidaka")</f>
        <v>Hashidaka</v>
      </c>
      <c r="D35" s="18"/>
      <c r="E35" s="18"/>
      <c r="F35" s="18">
        <f>IFERROR(__xludf.DUMMYFUNCTION("""COMPUTED_VALUE"""),3.5)</f>
        <v>3.5</v>
      </c>
      <c r="G35" s="18" t="str">
        <f>IFERROR(__xludf.DUMMYFUNCTION("""COMPUTED_VALUE"""),"●")</f>
        <v>●</v>
      </c>
      <c r="H35" s="18" t="str">
        <f>IFERROR(__xludf.DUMMYFUNCTION("""COMPUTED_VALUE"""),"Iron")</f>
        <v>Iron</v>
      </c>
      <c r="I35" s="18"/>
      <c r="J35" s="18"/>
      <c r="K35" s="18"/>
      <c r="L35" s="20" t="str">
        <f>IFERROR(__xludf.DUMMYFUNCTION("""COMPUTED_VALUE"""),"Unlock from 28F Hyakkoku and/or Hyakuda. One Mk-4 Reversal Tuber.")</f>
        <v>Unlock from 28F Hyakkoku and/or Hyakuda. One Mk-4 Reversal Tuber.</v>
      </c>
    </row>
    <row r="36" ht="3.75" customHeight="1">
      <c r="A36" s="17">
        <f>IFERROR(__xludf.DUMMYFUNCTION("""COMPUTED_VALUE"""),28.0)</f>
        <v>28</v>
      </c>
      <c r="B36" s="18">
        <f>IFERROR(__xludf.DUMMYFUNCTION("""COMPUTED_VALUE"""),0.0)</f>
        <v>0</v>
      </c>
      <c r="C36" s="19" t="str">
        <f>IFERROR(__xludf.DUMMYFUNCTION("""COMPUTED_VALUE"""),"Hyakkoku")</f>
        <v>Hyakkoku</v>
      </c>
      <c r="D36" s="18"/>
      <c r="E36" s="18"/>
      <c r="F36" s="18"/>
      <c r="G36" s="18"/>
      <c r="H36" s="18" t="str">
        <f>IFERROR(__xludf.DUMMYFUNCTION("""COMPUTED_VALUE"""),"All")</f>
        <v>All</v>
      </c>
      <c r="I36" s="18"/>
      <c r="J36" s="18"/>
      <c r="K36" s="18" t="str">
        <f>IFERROR(__xludf.DUMMYFUNCTION("""COMPUTED_VALUE"""),"Black")</f>
        <v>Black</v>
      </c>
      <c r="L36" s="20" t="str">
        <f>IFERROR(__xludf.DUMMYFUNCTION("""COMPUTED_VALUE"""),"TRAP: Black or Green Metals. Four Mk-4 Scratch, one Mk-4 Hover, spear Screamer.")</f>
        <v>TRAP: Black or Green Metals. Four Mk-4 Scratch, one Mk-4 Hover, spear Screamer.</v>
      </c>
    </row>
    <row r="37" ht="3.75" customHeight="1">
      <c r="A37" s="17">
        <f>IFERROR(__xludf.DUMMYFUNCTION("""COMPUTED_VALUE"""),28.0)</f>
        <v>28</v>
      </c>
      <c r="B37" s="18">
        <f>IFERROR(__xludf.DUMMYFUNCTION("""COMPUTED_VALUE"""),0.0)</f>
        <v>0</v>
      </c>
      <c r="C37" s="19" t="str">
        <f>IFERROR(__xludf.DUMMYFUNCTION("""COMPUTED_VALUE"""),"Hyakuda")</f>
        <v>Hyakuda</v>
      </c>
      <c r="D37" s="18"/>
      <c r="E37" s="18"/>
      <c r="F37" s="18"/>
      <c r="G37" s="18" t="str">
        <f>IFERROR(__xludf.DUMMYFUNCTION("""COMPUTED_VALUE"""),"●")</f>
        <v>●</v>
      </c>
      <c r="H37" s="18" t="str">
        <f>IFERROR(__xludf.DUMMYFUNCTION("""COMPUTED_VALUE"""),"Fiber")</f>
        <v>Fiber</v>
      </c>
      <c r="I37" s="18"/>
      <c r="J37" s="18"/>
      <c r="K37" s="18" t="str">
        <f>IFERROR(__xludf.DUMMYFUNCTION("""COMPUTED_VALUE"""),"Black")</f>
        <v>Black</v>
      </c>
      <c r="L37" s="20" t="str">
        <f>IFERROR(__xludf.DUMMYFUNCTION("""COMPUTED_VALUE"""),"TRAP: Black or Green Metals. Five Screamers, one at a time.")</f>
        <v>TRAP: Black or Green Metals. Five Screamers, one at a time.</v>
      </c>
    </row>
    <row r="38" ht="3.75" customHeight="1">
      <c r="A38" s="17">
        <f>IFERROR(__xludf.DUMMYFUNCTION("""COMPUTED_VALUE"""),27.0)</f>
        <v>27</v>
      </c>
      <c r="B38" s="18">
        <f>IFERROR(__xludf.DUMMYFUNCTION("""COMPUTED_VALUE"""),6.0)</f>
        <v>6</v>
      </c>
      <c r="C38" s="19" t="str">
        <f>IFERROR(__xludf.DUMMYFUNCTION("""COMPUTED_VALUE"""),"Yukiyoshi")</f>
        <v>Yukiyoshi</v>
      </c>
      <c r="D38" s="18"/>
      <c r="E38" s="18"/>
      <c r="F38" s="18"/>
      <c r="G38" s="18"/>
      <c r="H38" s="18" t="str">
        <f>IFERROR(__xludf.DUMMYFUNCTION("""COMPUTED_VALUE"""),"Fiber")</f>
        <v>Fiber</v>
      </c>
      <c r="I38" s="18" t="str">
        <f>IFERROR(__xludf.DUMMYFUNCTION("""COMPUTED_VALUE"""),"G★")</f>
        <v>G★</v>
      </c>
      <c r="J38" s="18"/>
      <c r="K38" s="18"/>
      <c r="L38" s="20" t="str">
        <f>IFERROR(__xludf.DUMMYFUNCTION("""COMPUTED_VALUE"""),"Gyakufunsha always appears, sells 3-5★ mats, all Tuber metals, and Black / Red Metals.")</f>
        <v>Gyakufunsha always appears, sells 3-5★ mats, all Tuber metals, and Black / Red Metals.</v>
      </c>
    </row>
    <row r="39" ht="3.75" customHeight="1">
      <c r="A39" s="17">
        <f>IFERROR(__xludf.DUMMYFUNCTION("""COMPUTED_VALUE"""),27.0)</f>
        <v>27</v>
      </c>
      <c r="B39" s="18">
        <f>IFERROR(__xludf.DUMMYFUNCTION("""COMPUTED_VALUE"""),0.0)</f>
        <v>0</v>
      </c>
      <c r="C39" s="19" t="str">
        <f>IFERROR(__xludf.DUMMYFUNCTION("""COMPUTED_VALUE"""),"Shinko-Bashi")</f>
        <v>Shinko-Bashi</v>
      </c>
      <c r="D39" s="18" t="str">
        <f>IFERROR(__xludf.DUMMYFUNCTION("""COMPUTED_VALUE"""),"M")</f>
        <v>M</v>
      </c>
      <c r="E39" s="18"/>
      <c r="F39" s="18">
        <f>IFERROR(__xludf.DUMMYFUNCTION("""COMPUTED_VALUE"""),3.4)</f>
        <v>3.4</v>
      </c>
      <c r="G39" s="18"/>
      <c r="H39" s="18" t="str">
        <f>IFERROR(__xludf.DUMMYFUNCTION("""COMPUTED_VALUE"""),"Fiber")</f>
        <v>Fiber</v>
      </c>
      <c r="I39" s="18"/>
      <c r="J39" s="18"/>
      <c r="K39" s="18"/>
      <c r="L39" s="20" t="str">
        <f>IFERROR(__xludf.DUMMYFUNCTION("""COMPUTED_VALUE"""),"Elevator is locked behind two gates until both 26F COEN and 26F JIN-DIE are defeated.")</f>
        <v>Elevator is locked behind two gates until both 26F COEN and 26F JIN-DIE are defeated.</v>
      </c>
    </row>
    <row r="40" ht="3.75" customHeight="1">
      <c r="A40" s="17">
        <f>IFERROR(__xludf.DUMMYFUNCTION("""COMPUTED_VALUE"""),27.0)</f>
        <v>27</v>
      </c>
      <c r="B40" s="18">
        <f>IFERROR(__xludf.DUMMYFUNCTION("""COMPUTED_VALUE"""),6.0)</f>
        <v>6</v>
      </c>
      <c r="C40" s="19" t="str">
        <f>IFERROR(__xludf.DUMMYFUNCTION("""COMPUTED_VALUE"""),"Kurokawa")</f>
        <v>Kurokawa</v>
      </c>
      <c r="D40" s="18"/>
      <c r="E40" s="18"/>
      <c r="F40" s="18"/>
      <c r="G40" s="18"/>
      <c r="H40" s="18" t="str">
        <f>IFERROR(__xludf.DUMMYFUNCTION("""COMPUTED_VALUE"""),"All")</f>
        <v>All</v>
      </c>
      <c r="I40" s="18"/>
      <c r="J40" s="18"/>
      <c r="K40" s="18"/>
      <c r="L40" s="20"/>
    </row>
    <row r="41" ht="3.75" customHeight="1">
      <c r="A41" s="17">
        <f>IFERROR(__xludf.DUMMYFUNCTION("""COMPUTED_VALUE"""),26.0)</f>
        <v>26</v>
      </c>
      <c r="B41" s="18">
        <f>IFERROR(__xludf.DUMMYFUNCTION("""COMPUTED_VALUE"""),0.0)</f>
        <v>0</v>
      </c>
      <c r="C41" s="19" t="str">
        <f>IFERROR(__xludf.DUMMYFUNCTION("""COMPUTED_VALUE"""),"Oshimi")</f>
        <v>Oshimi</v>
      </c>
      <c r="D41" s="18"/>
      <c r="E41" s="18"/>
      <c r="F41" s="18"/>
      <c r="G41" s="18"/>
      <c r="H41" s="18" t="str">
        <f>IFERROR(__xludf.DUMMYFUNCTION("""COMPUTED_VALUE"""),"Copper")</f>
        <v>Copper</v>
      </c>
      <c r="I41" s="18"/>
      <c r="J41" s="18" t="str">
        <f>IFERROR(__xludf.DUMMYFUNCTION("""COMPUTED_VALUE"""),"DOD Black")</f>
        <v>DOD Black</v>
      </c>
      <c r="K41" s="18"/>
      <c r="L41" s="20" t="str">
        <f>IFERROR(__xludf.DUMMYFUNCTION("""COMPUTED_VALUE"""),"BOSS: COEN. Drops DOD ARMS Black Metal. Unlocks one of the gates to the 27F Elevator.")</f>
        <v>BOSS: COEN. Drops DOD ARMS Black Metal. Unlocks one of the gates to the 27F Elevator.</v>
      </c>
    </row>
    <row r="42" ht="3.75" customHeight="1">
      <c r="A42" s="17">
        <f>IFERROR(__xludf.DUMMYFUNCTION("""COMPUTED_VALUE"""),26.0)</f>
        <v>26</v>
      </c>
      <c r="B42" s="18">
        <f>IFERROR(__xludf.DUMMYFUNCTION("""COMPUTED_VALUE"""),0.0)</f>
        <v>0</v>
      </c>
      <c r="C42" s="19" t="str">
        <f>IFERROR(__xludf.DUMMYFUNCTION("""COMPUTED_VALUE"""),"Shimomeno")</f>
        <v>Shimomeno</v>
      </c>
      <c r="D42" s="18"/>
      <c r="E42" s="18"/>
      <c r="F42" s="18"/>
      <c r="G42" s="18"/>
      <c r="H42" s="18" t="str">
        <f>IFERROR(__xludf.DUMMYFUNCTION("""COMPUTED_VALUE"""),"Oil")</f>
        <v>Oil</v>
      </c>
      <c r="I42" s="18"/>
      <c r="J42" s="18" t="str">
        <f>IFERROR(__xludf.DUMMYFUNCTION("""COMPUTED_VALUE"""),"WE Black")</f>
        <v>WE Black</v>
      </c>
      <c r="K42" s="18"/>
      <c r="L42" s="20" t="str">
        <f>IFERROR(__xludf.DUMMYFUNCTION("""COMPUTED_VALUE"""),"BOSS: JIN-DIE. Drops War Ensemble Black Metal. Unlocks one of the gates to the 27F Elevator.")</f>
        <v>BOSS: JIN-DIE. Drops War Ensemble Black Metal. Unlocks one of the gates to the 27F Elevator.</v>
      </c>
    </row>
    <row r="43" ht="3.75" customHeight="1">
      <c r="A43" s="17">
        <f>IFERROR(__xludf.DUMMYFUNCTION("""COMPUTED_VALUE"""),25.0)</f>
        <v>25</v>
      </c>
      <c r="B43" s="18">
        <f>IFERROR(__xludf.DUMMYFUNCTION("""COMPUTED_VALUE"""),0.0)</f>
        <v>0</v>
      </c>
      <c r="C43" s="19" t="str">
        <f>IFERROR(__xludf.DUMMYFUNCTION("""COMPUTED_VALUE"""),"Kanie")</f>
        <v>Kanie</v>
      </c>
      <c r="D43" s="18" t="str">
        <f>IFERROR(__xludf.DUMMYFUNCTION("""COMPUTED_VALUE"""),"M")</f>
        <v>M</v>
      </c>
      <c r="E43" s="18"/>
      <c r="F43" s="18">
        <f>IFERROR(__xludf.DUMMYFUNCTION("""COMPUTED_VALUE"""),3.3)</f>
        <v>3.3</v>
      </c>
      <c r="G43" s="18"/>
      <c r="H43" s="18" t="str">
        <f>IFERROR(__xludf.DUMMYFUNCTION("""COMPUTED_VALUE"""),"All")</f>
        <v>All</v>
      </c>
      <c r="I43" s="18"/>
      <c r="J43" s="18"/>
      <c r="K43" s="18"/>
      <c r="L43" s="20"/>
    </row>
    <row r="44" ht="3.75" customHeight="1">
      <c r="A44" s="17">
        <f>IFERROR(__xludf.DUMMYFUNCTION("""COMPUTED_VALUE"""),25.0)</f>
        <v>25</v>
      </c>
      <c r="B44" s="18">
        <f>IFERROR(__xludf.DUMMYFUNCTION("""COMPUTED_VALUE"""),6.0)</f>
        <v>6</v>
      </c>
      <c r="C44" s="19" t="str">
        <f>IFERROR(__xludf.DUMMYFUNCTION("""COMPUTED_VALUE"""),"Oshi-Hama")</f>
        <v>Oshi-Hama</v>
      </c>
      <c r="D44" s="18"/>
      <c r="E44" s="18"/>
      <c r="F44" s="18"/>
      <c r="G44" s="18"/>
      <c r="H44" s="18" t="str">
        <f>IFERROR(__xludf.DUMMYFUNCTION("""COMPUTED_VALUE"""),"Oil")</f>
        <v>Oil</v>
      </c>
      <c r="I44" s="18"/>
      <c r="J44" s="18"/>
      <c r="K44" s="18"/>
      <c r="L44" s="20" t="str">
        <f>IFERROR(__xludf.DUMMYFUNCTION("""COMPUTED_VALUE"""),"Unlock from both 22F Agasu and 27F Yukiyoshi.")</f>
        <v>Unlock from both 22F Agasu and 27F Yukiyoshi.</v>
      </c>
    </row>
    <row r="45" ht="3.75" customHeight="1">
      <c r="A45" s="17">
        <f>IFERROR(__xludf.DUMMYFUNCTION("""COMPUTED_VALUE"""),24.0)</f>
        <v>24</v>
      </c>
      <c r="B45" s="18">
        <f>IFERROR(__xludf.DUMMYFUNCTION("""COMPUTED_VALUE"""),0.0)</f>
        <v>0</v>
      </c>
      <c r="C45" s="19" t="str">
        <f>IFERROR(__xludf.DUMMYFUNCTION("""COMPUTED_VALUE"""),"Moriba")</f>
        <v>Moriba</v>
      </c>
      <c r="D45" s="18"/>
      <c r="E45" s="18"/>
      <c r="F45" s="18"/>
      <c r="G45" s="18"/>
      <c r="H45" s="18" t="str">
        <f>IFERROR(__xludf.DUMMYFUNCTION("""COMPUTED_VALUE"""),"×")</f>
        <v>×</v>
      </c>
      <c r="I45" s="18" t="str">
        <f>IFERROR(__xludf.DUMMYFUNCTION("""COMPUTED_VALUE"""),"G")</f>
        <v>G</v>
      </c>
      <c r="J45" s="18"/>
      <c r="K45" s="18"/>
      <c r="L45" s="20" t="str">
        <f>IFERROR(__xludf.DUMMYFUNCTION("""COMPUTED_VALUE"""),"Gyakufunsha can appear. Small area with a single Hater - good for farming CHARGERS.")</f>
        <v>Gyakufunsha can appear. Small area with a single Hater - good for farming CHARGERS.</v>
      </c>
    </row>
    <row r="46" ht="3.75" customHeight="1">
      <c r="A46" s="17">
        <f>IFERROR(__xludf.DUMMYFUNCTION("""COMPUTED_VALUE"""),24.0)</f>
        <v>24</v>
      </c>
      <c r="B46" s="18">
        <f>IFERROR(__xludf.DUMMYFUNCTION("""COMPUTED_VALUE"""),0.0)</f>
        <v>0</v>
      </c>
      <c r="C46" s="19" t="str">
        <f>IFERROR(__xludf.DUMMYFUNCTION("""COMPUTED_VALUE"""),"Sumikiyo")</f>
        <v>Sumikiyo</v>
      </c>
      <c r="D46" s="18"/>
      <c r="E46" s="18"/>
      <c r="F46" s="18">
        <f>IFERROR(__xludf.DUMMYFUNCTION("""COMPUTED_VALUE"""),3.2)</f>
        <v>3.2</v>
      </c>
      <c r="G46" s="18"/>
      <c r="H46" s="18" t="str">
        <f>IFERROR(__xludf.DUMMYFUNCTION("""COMPUTED_VALUE"""),"Iron")</f>
        <v>Iron</v>
      </c>
      <c r="I46" s="18"/>
      <c r="J46" s="18"/>
      <c r="K46" s="18"/>
      <c r="L46" s="20" t="str">
        <f>IFERROR(__xludf.DUMMYFUNCTION("""COMPUTED_VALUE"""),"Unlock from 23F Echizen-Jima.")</f>
        <v>Unlock from 23F Echizen-Jima.</v>
      </c>
    </row>
    <row r="47" ht="3.75" customHeight="1">
      <c r="A47" s="17">
        <f>IFERROR(__xludf.DUMMYFUNCTION("""COMPUTED_VALUE"""),24.0)</f>
        <v>24</v>
      </c>
      <c r="B47" s="18">
        <f>IFERROR(__xludf.DUMMYFUNCTION("""COMPUTED_VALUE"""),0.0)</f>
        <v>0</v>
      </c>
      <c r="C47" s="19" t="str">
        <f>IFERROR(__xludf.DUMMYFUNCTION("""COMPUTED_VALUE"""),"Agasu")</f>
        <v>Agasu</v>
      </c>
      <c r="D47" s="18"/>
      <c r="E47" s="18"/>
      <c r="F47" s="18"/>
      <c r="G47" s="18" t="str">
        <f>IFERROR(__xludf.DUMMYFUNCTION("""COMPUTED_VALUE"""),"●")</f>
        <v>●</v>
      </c>
      <c r="H47" s="18" t="str">
        <f>IFERROR(__xludf.DUMMYFUNCTION("""COMPUTED_VALUE"""),"Wood")</f>
        <v>Wood</v>
      </c>
      <c r="I47" s="18"/>
      <c r="J47" s="18"/>
      <c r="K47" s="18"/>
      <c r="L47" s="20" t="str">
        <f>IFERROR(__xludf.DUMMYFUNCTION("""COMPUTED_VALUE"""),"Unlock from 23F Echizen-Jima.")</f>
        <v>Unlock from 23F Echizen-Jima.</v>
      </c>
    </row>
    <row r="48" ht="3.75" customHeight="1">
      <c r="A48" s="17">
        <f>IFERROR(__xludf.DUMMYFUNCTION("""COMPUTED_VALUE"""),23.0)</f>
        <v>23</v>
      </c>
      <c r="B48" s="18">
        <f>IFERROR(__xludf.DUMMYFUNCTION("""COMPUTED_VALUE"""),0.0)</f>
        <v>0</v>
      </c>
      <c r="C48" s="19" t="str">
        <f>IFERROR(__xludf.DUMMYFUNCTION("""COMPUTED_VALUE"""),"Echizen-Jima")</f>
        <v>Echizen-Jima</v>
      </c>
      <c r="D48" s="18" t="str">
        <f>IFERROR(__xludf.DUMMYFUNCTION("""COMPUTED_VALUE"""),"M")</f>
        <v>M</v>
      </c>
      <c r="E48" s="18"/>
      <c r="F48" s="18"/>
      <c r="G48" s="18"/>
      <c r="H48" s="18" t="str">
        <f>IFERROR(__xludf.DUMMYFUNCTION("""COMPUTED_VALUE"""),"Fiber")</f>
        <v>Fiber</v>
      </c>
      <c r="I48" s="18"/>
      <c r="J48" s="18" t="str">
        <f>IFERROR(__xludf.DUMMYFUNCTION("""COMPUTED_VALUE"""),"CW Black")</f>
        <v>CW Black</v>
      </c>
      <c r="K48" s="18"/>
      <c r="L48" s="20" t="str">
        <f>IFERROR(__xludf.DUMMYFUNCTION("""COMPUTED_VALUE"""),"BOSS: GOTO-9. Drops Candle Wolf Black Metals.")</f>
        <v>BOSS: GOTO-9. Drops Candle Wolf Black Metals.</v>
      </c>
    </row>
    <row r="49" ht="3.75" customHeight="1">
      <c r="A49" s="17">
        <f>IFERROR(__xludf.DUMMYFUNCTION("""COMPUTED_VALUE"""),23.0)</f>
        <v>23</v>
      </c>
      <c r="B49" s="18">
        <f>IFERROR(__xludf.DUMMYFUNCTION("""COMPUTED_VALUE"""),0.0)</f>
        <v>0</v>
      </c>
      <c r="C49" s="19" t="str">
        <f>IFERROR(__xludf.DUMMYFUNCTION("""COMPUTED_VALUE"""),"Honkawa")</f>
        <v>Honkawa</v>
      </c>
      <c r="D49" s="18"/>
      <c r="E49" s="18">
        <f>IFERROR(__xludf.DUMMYFUNCTION("""COMPUTED_VALUE"""),5.0)</f>
        <v>5</v>
      </c>
      <c r="F49" s="18"/>
      <c r="G49" s="18"/>
      <c r="H49" s="18" t="str">
        <f>IFERROR(__xludf.DUMMYFUNCTION("""COMPUTED_VALUE"""),"Aluminum")</f>
        <v>Aluminum</v>
      </c>
      <c r="I49" s="18"/>
      <c r="J49" s="18"/>
      <c r="K49" s="18"/>
      <c r="L49" s="20" t="str">
        <f>IFERROR(__xludf.DUMMYFUNCTION("""COMPUTED_VALUE"""),"Chance for a Golden Scorpion.")</f>
        <v>Chance for a Golden Scorpion.</v>
      </c>
    </row>
    <row r="50" ht="1.5" customHeight="1">
      <c r="A50" s="17">
        <f>IFERROR(__xludf.DUMMYFUNCTION("""COMPUTED_VALUE"""),23.0)</f>
        <v>23</v>
      </c>
      <c r="B50" s="18">
        <f>IFERROR(__xludf.DUMMYFUNCTION("""COMPUTED_VALUE"""),6.0)</f>
        <v>6</v>
      </c>
      <c r="C50" s="19" t="str">
        <f>IFERROR(__xludf.DUMMYFUNCTION("""COMPUTED_VALUE"""),"Sensu-Bashi")</f>
        <v>Sensu-Bashi</v>
      </c>
      <c r="D50" s="18"/>
      <c r="E50" s="18"/>
      <c r="F50" s="18"/>
      <c r="G50" s="18" t="str">
        <f>IFERROR(__xludf.DUMMYFUNCTION("""COMPUTED_VALUE"""),"●")</f>
        <v>●</v>
      </c>
      <c r="H50" s="18" t="str">
        <f>IFERROR(__xludf.DUMMYFUNCTION("""COMPUTED_VALUE"""),"Fiber")</f>
        <v>Fiber</v>
      </c>
      <c r="I50" s="18"/>
      <c r="J50" s="18"/>
      <c r="K50" s="18"/>
      <c r="L50" s="20" t="str">
        <f>IFERROR(__xludf.DUMMYFUNCTION("""COMPUTED_VALUE"""),"Only connects to 22F Iwajima on Wednesdays / Sundays.")</f>
        <v>Only connects to 22F Iwajima on Wednesdays / Sundays.</v>
      </c>
    </row>
    <row r="51" ht="1.5" customHeight="1">
      <c r="A51" s="17">
        <f>IFERROR(__xludf.DUMMYFUNCTION("""COMPUTED_VALUE"""),22.0)</f>
        <v>22</v>
      </c>
      <c r="B51" s="18">
        <f>IFERROR(__xludf.DUMMYFUNCTION("""COMPUTED_VALUE"""),0.0)</f>
        <v>0</v>
      </c>
      <c r="C51" s="19" t="str">
        <f>IFERROR(__xludf.DUMMYFUNCTION("""COMPUTED_VALUE"""),"Kawabe")</f>
        <v>Kawabe</v>
      </c>
      <c r="D51" s="18"/>
      <c r="E51" s="18"/>
      <c r="F51" s="18">
        <f>IFERROR(__xludf.DUMMYFUNCTION("""COMPUTED_VALUE"""),3.1)</f>
        <v>3.1</v>
      </c>
      <c r="G51" s="18" t="str">
        <f>IFERROR(__xludf.DUMMYFUNCTION("""COMPUTED_VALUE"""),"●")</f>
        <v>●</v>
      </c>
      <c r="H51" s="18" t="str">
        <f>IFERROR(__xludf.DUMMYFUNCTION("""COMPUTED_VALUE"""),"All")</f>
        <v>All</v>
      </c>
      <c r="I51" s="18"/>
      <c r="J51" s="18"/>
      <c r="K51" s="18" t="str">
        <f>IFERROR(__xludf.DUMMYFUNCTION("""COMPUTED_VALUE"""),"Black")</f>
        <v>Black</v>
      </c>
      <c r="L51" s="20" t="str">
        <f>IFERROR(__xludf.DUMMYFUNCTION("""COMPUTED_VALUE"""),"TRAP: Black or Green Metals. Two Mk-3 Bone, one axe Screamer.")</f>
        <v>TRAP: Black or Green Metals. Two Mk-3 Bone, one axe Screamer.</v>
      </c>
    </row>
    <row r="52" ht="1.5" customHeight="1">
      <c r="A52" s="17">
        <f>IFERROR(__xludf.DUMMYFUNCTION("""COMPUTED_VALUE"""),22.0)</f>
        <v>22</v>
      </c>
      <c r="B52" s="18">
        <f>IFERROR(__xludf.DUMMYFUNCTION("""COMPUTED_VALUE"""),6.0)</f>
        <v>6</v>
      </c>
      <c r="C52" s="19" t="str">
        <f>IFERROR(__xludf.DUMMYFUNCTION("""COMPUTED_VALUE"""),"Eisei")</f>
        <v>Eisei</v>
      </c>
      <c r="D52" s="18"/>
      <c r="E52" s="18"/>
      <c r="F52" s="18"/>
      <c r="G52" s="18"/>
      <c r="H52" s="18" t="str">
        <f>IFERROR(__xludf.DUMMYFUNCTION("""COMPUTED_VALUE"""),"Fiber")</f>
        <v>Fiber</v>
      </c>
      <c r="I52" s="18"/>
      <c r="J52" s="18"/>
      <c r="K52" s="18"/>
      <c r="L52" s="20" t="str">
        <f>IFERROR(__xludf.DUMMYFUNCTION("""COMPUTED_VALUE"""),"Floor is Friday only.")</f>
        <v>Floor is Friday only.</v>
      </c>
    </row>
    <row r="53" ht="1.5" customHeight="1">
      <c r="A53" s="17">
        <f>IFERROR(__xludf.DUMMYFUNCTION("""COMPUTED_VALUE"""),22.0)</f>
        <v>22</v>
      </c>
      <c r="B53" s="18">
        <f>IFERROR(__xludf.DUMMYFUNCTION("""COMPUTED_VALUE"""),6.0)</f>
        <v>6</v>
      </c>
      <c r="C53" s="19" t="str">
        <f>IFERROR(__xludf.DUMMYFUNCTION("""COMPUTED_VALUE"""),"Iwajima")</f>
        <v>Iwajima</v>
      </c>
      <c r="D53" s="18"/>
      <c r="E53" s="18"/>
      <c r="F53" s="18"/>
      <c r="G53" s="18"/>
      <c r="H53" s="18" t="str">
        <f>IFERROR(__xludf.DUMMYFUNCTION("""COMPUTED_VALUE"""),"×")</f>
        <v>×</v>
      </c>
      <c r="I53" s="18"/>
      <c r="J53" s="18"/>
      <c r="K53" s="18"/>
      <c r="L53" s="20" t="str">
        <f>IFERROR(__xludf.DUMMYFUNCTION("""COMPUTED_VALUE"""),"Unock from 23F Honkawa. One Mk-3 Reversal Tuber; Don't loot all chests or it'll stop spawning.")</f>
        <v>Unock from 23F Honkawa. One Mk-3 Reversal Tuber; Don't loot all chests or it'll stop spawning.</v>
      </c>
    </row>
    <row r="54" ht="1.5" customHeight="1">
      <c r="A54" s="17">
        <f>IFERROR(__xludf.DUMMYFUNCTION("""COMPUTED_VALUE"""),21.0)</f>
        <v>21</v>
      </c>
      <c r="B54" s="18">
        <f>IFERROR(__xludf.DUMMYFUNCTION("""COMPUTED_VALUE"""),0.0)</f>
        <v>0</v>
      </c>
      <c r="C54" s="19" t="str">
        <f>IFERROR(__xludf.DUMMYFUNCTION("""COMPUTED_VALUE"""),"Akami")</f>
        <v>Akami</v>
      </c>
      <c r="D54" s="18" t="str">
        <f>IFERROR(__xludf.DUMMYFUNCTION("""COMPUTED_VALUE"""),"M")</f>
        <v>M</v>
      </c>
      <c r="E54" s="18"/>
      <c r="F54" s="18"/>
      <c r="G54" s="18" t="str">
        <f>IFERROR(__xludf.DUMMYFUNCTION("""COMPUTED_VALUE"""),"●")</f>
        <v>●</v>
      </c>
      <c r="H54" s="18" t="str">
        <f>IFERROR(__xludf.DUMMYFUNCTION("""COMPUTED_VALUE"""),"All")</f>
        <v>All</v>
      </c>
      <c r="I54" s="18"/>
      <c r="J54" s="18"/>
      <c r="K54" s="18"/>
      <c r="L54" s="20"/>
    </row>
    <row r="55" ht="1.5" customHeight="1">
      <c r="A55" s="17">
        <f>IFERROR(__xludf.DUMMYFUNCTION("""COMPUTED_VALUE"""),21.0)</f>
        <v>21</v>
      </c>
      <c r="B55" s="18">
        <f>IFERROR(__xludf.DUMMYFUNCTION("""COMPUTED_VALUE"""),0.0)</f>
        <v>0</v>
      </c>
      <c r="C55" s="19" t="str">
        <f>IFERROR(__xludf.DUMMYFUNCTION("""COMPUTED_VALUE"""),"Arigure")</f>
        <v>Arigure</v>
      </c>
      <c r="D55" s="18"/>
      <c r="E55" s="18"/>
      <c r="F55" s="18"/>
      <c r="G55" s="18"/>
      <c r="H55" s="18" t="str">
        <f>IFERROR(__xludf.DUMMYFUNCTION("""COMPUTED_VALUE"""),"All")</f>
        <v>All</v>
      </c>
      <c r="I55" s="18"/>
      <c r="J55" s="18"/>
      <c r="K55" s="18"/>
      <c r="L55" s="20"/>
    </row>
    <row r="56" ht="1.5" customHeight="1">
      <c r="A56" s="17">
        <f>IFERROR(__xludf.DUMMYFUNCTION("""COMPUTED_VALUE"""),20.0)</f>
        <v>20</v>
      </c>
      <c r="B56" s="18">
        <f>IFERROR(__xludf.DUMMYFUNCTION("""COMPUTED_VALUE"""),0.0)</f>
        <v>0</v>
      </c>
      <c r="C56" s="19" t="str">
        <f>IFERROR(__xludf.DUMMYFUNCTION("""COMPUTED_VALUE"""),"Nora")</f>
        <v>Nora</v>
      </c>
      <c r="D56" s="18"/>
      <c r="E56" s="18"/>
      <c r="F56" s="18"/>
      <c r="G56" s="18"/>
      <c r="H56" s="18" t="str">
        <f>IFERROR(__xludf.DUMMYFUNCTION("""COMPUTED_VALUE"""),"Copper")</f>
        <v>Copper</v>
      </c>
      <c r="I56" s="18"/>
      <c r="J56" s="18"/>
      <c r="K56" s="18"/>
      <c r="L56" s="20"/>
    </row>
    <row r="57" ht="1.5" customHeight="1">
      <c r="A57" s="17">
        <f>IFERROR(__xludf.DUMMYFUNCTION("""COMPUTED_VALUE"""),20.0)</f>
        <v>20</v>
      </c>
      <c r="B57" s="18">
        <f>IFERROR(__xludf.DUMMYFUNCTION("""COMPUTED_VALUE"""),0.0)</f>
        <v>0</v>
      </c>
      <c r="C57" s="19" t="str">
        <f>IFERROR(__xludf.DUMMYFUNCTION("""COMPUTED_VALUE"""),"Monegi")</f>
        <v>Monegi</v>
      </c>
      <c r="D57" s="18"/>
      <c r="E57" s="18"/>
      <c r="F57" s="18"/>
      <c r="G57" s="18"/>
      <c r="H57" s="18" t="str">
        <f>IFERROR(__xludf.DUMMYFUNCTION("""COMPUTED_VALUE"""),"All")</f>
        <v>All</v>
      </c>
      <c r="I57" s="18"/>
      <c r="J57" s="18"/>
      <c r="K57" s="18"/>
      <c r="L57" s="20"/>
    </row>
    <row r="58" ht="1.5" customHeight="1">
      <c r="A58" s="17">
        <f>IFERROR(__xludf.DUMMYFUNCTION("""COMPUTED_VALUE"""),20.0)</f>
        <v>20</v>
      </c>
      <c r="B58" s="18">
        <f>IFERROR(__xludf.DUMMYFUNCTION("""COMPUTED_VALUE"""),0.0)</f>
        <v>0</v>
      </c>
      <c r="C58" s="19" t="str">
        <f>IFERROR(__xludf.DUMMYFUNCTION("""COMPUTED_VALUE"""),"Hachiyanma")</f>
        <v>Hachiyanma</v>
      </c>
      <c r="D58" s="18" t="str">
        <f>IFERROR(__xludf.DUMMYFUNCTION("""COMPUTED_VALUE"""),"M")</f>
        <v>M</v>
      </c>
      <c r="E58" s="18"/>
      <c r="F58" s="18"/>
      <c r="G58" s="18" t="str">
        <f>IFERROR(__xludf.DUMMYFUNCTION("""COMPUTED_VALUE"""),"●")</f>
        <v>●</v>
      </c>
      <c r="H58" s="18" t="str">
        <f>IFERROR(__xludf.DUMMYFUNCTION("""COMPUTED_VALUE"""),"×")</f>
        <v>×</v>
      </c>
      <c r="I58" s="18"/>
      <c r="J58" s="18" t="str">
        <f>IFERROR(__xludf.DUMMYFUNCTION("""COMPUTED_VALUE"""),"WE Green")</f>
        <v>WE Green</v>
      </c>
      <c r="K58" s="18"/>
      <c r="L58" s="20" t="str">
        <f>IFERROR(__xludf.DUMMYFUNCTION("""COMPUTED_VALUE"""),"BOSS: Colonel Jackson.")</f>
        <v>BOSS: Colonel Jackson.</v>
      </c>
    </row>
    <row r="59" ht="1.5" customHeight="1">
      <c r="A59" s="17">
        <f>IFERROR(__xludf.DUMMYFUNCTION("""COMPUTED_VALUE"""),19.0)</f>
        <v>19</v>
      </c>
      <c r="B59" s="18">
        <f>IFERROR(__xludf.DUMMYFUNCTION("""COMPUTED_VALUE"""),0.0)</f>
        <v>0</v>
      </c>
      <c r="C59" s="19" t="str">
        <f>IFERROR(__xludf.DUMMYFUNCTION("""COMPUTED_VALUE"""),"Daida")</f>
        <v>Daida</v>
      </c>
      <c r="D59" s="18" t="str">
        <f>IFERROR(__xludf.DUMMYFUNCTION("""COMPUTED_VALUE"""),"M")</f>
        <v>M</v>
      </c>
      <c r="E59" s="18"/>
      <c r="F59" s="18"/>
      <c r="G59" s="18"/>
      <c r="H59" s="18" t="str">
        <f>IFERROR(__xludf.DUMMYFUNCTION("""COMPUTED_VALUE"""),"All")</f>
        <v>All</v>
      </c>
      <c r="I59" s="18"/>
      <c r="J59" s="18"/>
      <c r="K59" s="18"/>
      <c r="L59" s="20" t="str">
        <f>IFERROR(__xludf.DUMMYFUNCTION("""COMPUTED_VALUE"""),"One Mk-2 Reversal Tuber.")</f>
        <v>One Mk-2 Reversal Tuber.</v>
      </c>
    </row>
    <row r="60" ht="1.5" customHeight="1">
      <c r="A60" s="17">
        <f>IFERROR(__xludf.DUMMYFUNCTION("""COMPUTED_VALUE"""),19.0)</f>
        <v>19</v>
      </c>
      <c r="B60" s="18">
        <f>IFERROR(__xludf.DUMMYFUNCTION("""COMPUTED_VALUE"""),6.0)</f>
        <v>6</v>
      </c>
      <c r="C60" s="19" t="str">
        <f>IFERROR(__xludf.DUMMYFUNCTION("""COMPUTED_VALUE"""),"Chitose-Mei")</f>
        <v>Chitose-Mei</v>
      </c>
      <c r="D60" s="18"/>
      <c r="E60" s="18"/>
      <c r="F60" s="18">
        <f>IFERROR(__xludf.DUMMYFUNCTION("""COMPUTED_VALUE"""),2.6)</f>
        <v>2.6</v>
      </c>
      <c r="G60" s="18"/>
      <c r="H60" s="18" t="str">
        <f>IFERROR(__xludf.DUMMYFUNCTION("""COMPUTED_VALUE"""),"Aluminum")</f>
        <v>Aluminum</v>
      </c>
      <c r="I60" s="18"/>
      <c r="J60" s="18"/>
      <c r="K60" s="18" t="str">
        <f>IFERROR(__xludf.DUMMYFUNCTION("""COMPUTED_VALUE"""),"Green")</f>
        <v>Green</v>
      </c>
      <c r="L60" s="20" t="str">
        <f>IFERROR(__xludf.DUMMYFUNCTION("""COMPUTED_VALUE"""),"TRAP: Green or Blue Metals. 5 Screamers. Not active on Thursdays.")</f>
        <v>TRAP: Green or Blue Metals. 5 Screamers. Not active on Thursdays.</v>
      </c>
    </row>
    <row r="61" ht="3.75" customHeight="1">
      <c r="A61" s="17">
        <f>IFERROR(__xludf.DUMMYFUNCTION("""COMPUTED_VALUE"""),19.0)</f>
        <v>19</v>
      </c>
      <c r="B61" s="18">
        <f>IFERROR(__xludf.DUMMYFUNCTION("""COMPUTED_VALUE"""),6.0)</f>
        <v>6</v>
      </c>
      <c r="C61" s="19" t="str">
        <f>IFERROR(__xludf.DUMMYFUNCTION("""COMPUTED_VALUE"""),"Hibiki")</f>
        <v>Hibiki</v>
      </c>
      <c r="D61" s="18"/>
      <c r="E61" s="18"/>
      <c r="F61" s="18"/>
      <c r="G61" s="18" t="str">
        <f>IFERROR(__xludf.DUMMYFUNCTION("""COMPUTED_VALUE"""),"●")</f>
        <v>●</v>
      </c>
      <c r="H61" s="18" t="str">
        <f>IFERROR(__xludf.DUMMYFUNCTION("""COMPUTED_VALUE"""),"All")</f>
        <v>All</v>
      </c>
      <c r="I61" s="18"/>
      <c r="J61" s="18"/>
      <c r="K61" s="18"/>
      <c r="L61" s="20" t="str">
        <f>IFERROR(__xludf.DUMMYFUNCTION("""COMPUTED_VALUE"""),"Floor is active every day, except Monday.")</f>
        <v>Floor is active every day, except Monday.</v>
      </c>
    </row>
    <row r="62" ht="3.75" customHeight="1">
      <c r="A62" s="17">
        <f>IFERROR(__xludf.DUMMYFUNCTION("""COMPUTED_VALUE"""),18.0)</f>
        <v>18</v>
      </c>
      <c r="B62" s="18">
        <f>IFERROR(__xludf.DUMMYFUNCTION("""COMPUTED_VALUE"""),0.0)</f>
        <v>0</v>
      </c>
      <c r="C62" s="19" t="str">
        <f>IFERROR(__xludf.DUMMYFUNCTION("""COMPUTED_VALUE"""),"Temo-Uma")</f>
        <v>Temo-Uma</v>
      </c>
      <c r="D62" s="18"/>
      <c r="E62" s="18"/>
      <c r="F62" s="18">
        <f>IFERROR(__xludf.DUMMYFUNCTION("""COMPUTED_VALUE"""),2.5)</f>
        <v>2.5</v>
      </c>
      <c r="G62" s="18"/>
      <c r="H62" s="18" t="str">
        <f>IFERROR(__xludf.DUMMYFUNCTION("""COMPUTED_VALUE"""),"All")</f>
        <v>All</v>
      </c>
      <c r="I62" s="18"/>
      <c r="J62" s="18"/>
      <c r="K62" s="18" t="str">
        <f>IFERROR(__xludf.DUMMYFUNCTION("""COMPUTED_VALUE"""),"Green")</f>
        <v>Green</v>
      </c>
      <c r="L62" s="20" t="str">
        <f>IFERROR(__xludf.DUMMYFUNCTION("""COMPUTED_VALUE"""),"TRAP: Green or Blue Metals. Mk-3 Bullet, Bone Tuber, Screamer.")</f>
        <v>TRAP: Green or Blue Metals. Mk-3 Bullet, Bone Tuber, Screamer.</v>
      </c>
    </row>
    <row r="63" ht="3.75" customHeight="1">
      <c r="A63" s="17">
        <f>IFERROR(__xludf.DUMMYFUNCTION("""COMPUTED_VALUE"""),18.0)</f>
        <v>18</v>
      </c>
      <c r="B63" s="18">
        <f>IFERROR(__xludf.DUMMYFUNCTION("""COMPUTED_VALUE"""),0.0)</f>
        <v>0</v>
      </c>
      <c r="C63" s="19" t="str">
        <f>IFERROR(__xludf.DUMMYFUNCTION("""COMPUTED_VALUE"""),"Tata")</f>
        <v>Tata</v>
      </c>
      <c r="D63" s="18"/>
      <c r="E63" s="18"/>
      <c r="F63" s="18"/>
      <c r="G63" s="18"/>
      <c r="H63" s="18" t="str">
        <f>IFERROR(__xludf.DUMMYFUNCTION("""COMPUTED_VALUE"""),"All")</f>
        <v>All</v>
      </c>
      <c r="I63" s="18"/>
      <c r="J63" s="18"/>
      <c r="K63" s="18"/>
      <c r="L63" s="20"/>
    </row>
    <row r="64" ht="3.75" customHeight="1">
      <c r="A64" s="17">
        <f>IFERROR(__xludf.DUMMYFUNCTION("""COMPUTED_VALUE"""),17.0)</f>
        <v>17</v>
      </c>
      <c r="B64" s="18">
        <f>IFERROR(__xludf.DUMMYFUNCTION("""COMPUTED_VALUE"""),0.0)</f>
        <v>0</v>
      </c>
      <c r="C64" s="19" t="str">
        <f>IFERROR(__xludf.DUMMYFUNCTION("""COMPUTED_VALUE"""),"Kinutamin")</f>
        <v>Kinutamin</v>
      </c>
      <c r="D64" s="18"/>
      <c r="E64" s="18"/>
      <c r="F64" s="18">
        <f>IFERROR(__xludf.DUMMYFUNCTION("""COMPUTED_VALUE"""),2.4)</f>
        <v>2.4</v>
      </c>
      <c r="G64" s="18" t="str">
        <f>IFERROR(__xludf.DUMMYFUNCTION("""COMPUTED_VALUE"""),"●")</f>
        <v>●</v>
      </c>
      <c r="H64" s="18" t="str">
        <f>IFERROR(__xludf.DUMMYFUNCTION("""COMPUTED_VALUE"""),"Oil")</f>
        <v>Oil</v>
      </c>
      <c r="I64" s="18"/>
      <c r="J64" s="18"/>
      <c r="K64" s="18"/>
      <c r="L64" s="20"/>
    </row>
    <row r="65" ht="3.75" customHeight="1">
      <c r="A65" s="17">
        <f>IFERROR(__xludf.DUMMYFUNCTION("""COMPUTED_VALUE"""),17.0)</f>
        <v>17</v>
      </c>
      <c r="B65" s="18">
        <f>IFERROR(__xludf.DUMMYFUNCTION("""COMPUTED_VALUE"""),6.0)</f>
        <v>6</v>
      </c>
      <c r="C65" s="19" t="str">
        <f>IFERROR(__xludf.DUMMYFUNCTION("""COMPUTED_VALUE"""),"Nutakoen")</f>
        <v>Nutakoen</v>
      </c>
      <c r="D65" s="18"/>
      <c r="E65" s="18"/>
      <c r="F65" s="18"/>
      <c r="G65" s="18"/>
      <c r="H65" s="18" t="str">
        <f>IFERROR(__xludf.DUMMYFUNCTION("""COMPUTED_VALUE"""),"×")</f>
        <v>×</v>
      </c>
      <c r="I65" s="18" t="str">
        <f>IFERROR(__xludf.DUMMYFUNCTION("""COMPUTED_VALUE"""),"G")</f>
        <v>G</v>
      </c>
      <c r="J65" s="18"/>
      <c r="K65" s="18"/>
      <c r="L65" s="21" t="str">
        <f>IFERROR(__xludf.DUMMYFUNCTION("""COMPUTED_VALUE"""),"Gyakufunsha can appear.")</f>
        <v>Gyakufunsha can appear.</v>
      </c>
    </row>
    <row r="66" ht="3.75" customHeight="1">
      <c r="A66" s="17">
        <f>IFERROR(__xludf.DUMMYFUNCTION("""COMPUTED_VALUE"""),16.0)</f>
        <v>16</v>
      </c>
      <c r="B66" s="18">
        <f>IFERROR(__xludf.DUMMYFUNCTION("""COMPUTED_VALUE"""),0.0)</f>
        <v>0</v>
      </c>
      <c r="C66" s="19" t="str">
        <f>IFERROR(__xludf.DUMMYFUNCTION("""COMPUTED_VALUE"""),"Kaga")</f>
        <v>Kaga</v>
      </c>
      <c r="D66" s="18" t="str">
        <f>IFERROR(__xludf.DUMMYFUNCTION("""COMPUTED_VALUE"""),"M")</f>
        <v>M</v>
      </c>
      <c r="E66" s="18">
        <f>IFERROR(__xludf.DUMMYFUNCTION("""COMPUTED_VALUE"""),4.0)</f>
        <v>4</v>
      </c>
      <c r="F66" s="18"/>
      <c r="G66" s="18" t="str">
        <f>IFERROR(__xludf.DUMMYFUNCTION("""COMPUTED_VALUE"""),"●")</f>
        <v>●</v>
      </c>
      <c r="H66" s="18" t="str">
        <f>IFERROR(__xludf.DUMMYFUNCTION("""COMPUTED_VALUE"""),"Wood")</f>
        <v>Wood</v>
      </c>
      <c r="I66" s="18"/>
      <c r="J66" s="18" t="str">
        <f>IFERROR(__xludf.DUMMYFUNCTION("""COMPUTED_VALUE"""),"WE Green")</f>
        <v>WE Green</v>
      </c>
      <c r="K66" s="18"/>
      <c r="L66" s="20" t="str">
        <f>IFERROR(__xludf.DUMMYFUNCTION("""COMPUTED_VALUE"""),"BOSS: JIN-DIE. Drops War Ensemble Green Metal.")</f>
        <v>BOSS: JIN-DIE. Drops War Ensemble Green Metal.</v>
      </c>
    </row>
    <row r="67" ht="3.75" customHeight="1">
      <c r="A67" s="17">
        <f>IFERROR(__xludf.DUMMYFUNCTION("""COMPUTED_VALUE"""),15.0)</f>
        <v>15</v>
      </c>
      <c r="B67" s="18">
        <f>IFERROR(__xludf.DUMMYFUNCTION("""COMPUTED_VALUE"""),0.0)</f>
        <v>0</v>
      </c>
      <c r="C67" s="19" t="str">
        <f>IFERROR(__xludf.DUMMYFUNCTION("""COMPUTED_VALUE"""),"Usogaya")</f>
        <v>Usogaya</v>
      </c>
      <c r="D67" s="18"/>
      <c r="E67" s="18"/>
      <c r="F67" s="18">
        <f>IFERROR(__xludf.DUMMYFUNCTION("""COMPUTED_VALUE"""),2.3)</f>
        <v>2.3</v>
      </c>
      <c r="G67" s="18" t="str">
        <f>IFERROR(__xludf.DUMMYFUNCTION("""COMPUTED_VALUE"""),"●")</f>
        <v>●</v>
      </c>
      <c r="H67" s="18" t="str">
        <f>IFERROR(__xludf.DUMMYFUNCTION("""COMPUTED_VALUE"""),"Iron")</f>
        <v>Iron</v>
      </c>
      <c r="I67" s="18"/>
      <c r="J67" s="18"/>
      <c r="K67" s="18"/>
      <c r="L67" s="20"/>
    </row>
    <row r="68" ht="3.75" customHeight="1">
      <c r="A68" s="17">
        <f>IFERROR(__xludf.DUMMYFUNCTION("""COMPUTED_VALUE"""),15.0)</f>
        <v>15</v>
      </c>
      <c r="B68" s="18">
        <f>IFERROR(__xludf.DUMMYFUNCTION("""COMPUTED_VALUE"""),0.0)</f>
        <v>0</v>
      </c>
      <c r="C68" s="19" t="str">
        <f>IFERROR(__xludf.DUMMYFUNCTION("""COMPUTED_VALUE"""),"Uge")</f>
        <v>Uge</v>
      </c>
      <c r="D68" s="18"/>
      <c r="E68" s="18"/>
      <c r="F68" s="18"/>
      <c r="G68" s="18"/>
      <c r="H68" s="18" t="str">
        <f>IFERROR(__xludf.DUMMYFUNCTION("""COMPUTED_VALUE"""),"Copper")</f>
        <v>Copper</v>
      </c>
      <c r="I68" s="18"/>
      <c r="J68" s="18"/>
      <c r="K68" s="18"/>
      <c r="L68" s="20"/>
    </row>
    <row r="69" ht="3.75" customHeight="1">
      <c r="A69" s="17">
        <f>IFERROR(__xludf.DUMMYFUNCTION("""COMPUTED_VALUE"""),14.0)</f>
        <v>14</v>
      </c>
      <c r="B69" s="18">
        <f>IFERROR(__xludf.DUMMYFUNCTION("""COMPUTED_VALUE"""),0.0)</f>
        <v>0</v>
      </c>
      <c r="C69" s="19" t="str">
        <f>IFERROR(__xludf.DUMMYFUNCTION("""COMPUTED_VALUE"""),"Yamadai")</f>
        <v>Yamadai</v>
      </c>
      <c r="D69" s="18"/>
      <c r="E69" s="18"/>
      <c r="F69" s="18">
        <f>IFERROR(__xludf.DUMMYFUNCTION("""COMPUTED_VALUE"""),2.2)</f>
        <v>2.2</v>
      </c>
      <c r="G69" s="18"/>
      <c r="H69" s="18" t="str">
        <f>IFERROR(__xludf.DUMMYFUNCTION("""COMPUTED_VALUE"""),"Fiber")</f>
        <v>Fiber</v>
      </c>
      <c r="I69" s="18"/>
      <c r="J69" s="18"/>
      <c r="K69" s="18"/>
      <c r="L69" s="20" t="str">
        <f>IFERROR(__xludf.DUMMYFUNCTION("""COMPUTED_VALUE"""),"Many Hemp spawns (about 3-6).")</f>
        <v>Many Hemp spawns (about 3-6).</v>
      </c>
    </row>
    <row r="70" ht="3.75" customHeight="1">
      <c r="A70" s="17">
        <f>IFERROR(__xludf.DUMMYFUNCTION("""COMPUTED_VALUE"""),14.0)</f>
        <v>14</v>
      </c>
      <c r="B70" s="18">
        <f>IFERROR(__xludf.DUMMYFUNCTION("""COMPUTED_VALUE"""),6.0)</f>
        <v>6</v>
      </c>
      <c r="C70" s="19" t="str">
        <f>IFERROR(__xludf.DUMMYFUNCTION("""COMPUTED_VALUE"""),"Takoya")</f>
        <v>Takoya</v>
      </c>
      <c r="D70" s="18"/>
      <c r="E70" s="18"/>
      <c r="F70" s="18"/>
      <c r="G70" s="18"/>
      <c r="H70" s="18" t="str">
        <f>IFERROR(__xludf.DUMMYFUNCTION("""COMPUTED_VALUE"""),"Iron")</f>
        <v>Iron</v>
      </c>
      <c r="I70" s="18"/>
      <c r="J70" s="18"/>
      <c r="K70" s="18"/>
      <c r="L70" s="20" t="str">
        <f>IFERROR(__xludf.DUMMYFUNCTION("""COMPUTED_VALUE"""),"Unlock from 13F Nonokura. Floor is Friday only.")</f>
        <v>Unlock from 13F Nonokura. Floor is Friday only.</v>
      </c>
    </row>
    <row r="71" ht="3.75" customHeight="1">
      <c r="A71" s="17">
        <f>IFERROR(__xludf.DUMMYFUNCTION("""COMPUTED_VALUE"""),14.0)</f>
        <v>14</v>
      </c>
      <c r="B71" s="18">
        <f>IFERROR(__xludf.DUMMYFUNCTION("""COMPUTED_VALUE"""),6.0)</f>
        <v>6</v>
      </c>
      <c r="C71" s="19" t="str">
        <f>IFERROR(__xludf.DUMMYFUNCTION("""COMPUTED_VALUE"""),"Kami-Umai")</f>
        <v>Kami-Umai</v>
      </c>
      <c r="D71" s="18"/>
      <c r="E71" s="18"/>
      <c r="F71" s="18"/>
      <c r="G71" s="18" t="str">
        <f>IFERROR(__xludf.DUMMYFUNCTION("""COMPUTED_VALUE"""),"●")</f>
        <v>●</v>
      </c>
      <c r="H71" s="18" t="str">
        <f>IFERROR(__xludf.DUMMYFUNCTION("""COMPUTED_VALUE"""),"Aluminum")</f>
        <v>Aluminum</v>
      </c>
      <c r="I71" s="18"/>
      <c r="J71" s="18"/>
      <c r="K71" s="18"/>
      <c r="L71" s="20" t="str">
        <f>IFERROR(__xludf.DUMMYFUNCTION("""COMPUTED_VALUE"""),"Floor is Friday only.")</f>
        <v>Floor is Friday only.</v>
      </c>
    </row>
    <row r="72" ht="3.75" customHeight="1">
      <c r="A72" s="17">
        <f>IFERROR(__xludf.DUMMYFUNCTION("""COMPUTED_VALUE"""),13.0)</f>
        <v>13</v>
      </c>
      <c r="B72" s="18">
        <f>IFERROR(__xludf.DUMMYFUNCTION("""COMPUTED_VALUE"""),0.0)</f>
        <v>0</v>
      </c>
      <c r="C72" s="19" t="str">
        <f>IFERROR(__xludf.DUMMYFUNCTION("""COMPUTED_VALUE"""),"Kamoto")</f>
        <v>Kamoto</v>
      </c>
      <c r="D72" s="18" t="str">
        <f>IFERROR(__xludf.DUMMYFUNCTION("""COMPUTED_VALUE"""),"M")</f>
        <v>M</v>
      </c>
      <c r="E72" s="18">
        <f>IFERROR(__xludf.DUMMYFUNCTION("""COMPUTED_VALUE"""),3.0)</f>
        <v>3</v>
      </c>
      <c r="F72" s="18"/>
      <c r="G72" s="18"/>
      <c r="H72" s="18" t="str">
        <f>IFERROR(__xludf.DUMMYFUNCTION("""COMPUTED_VALUE"""),"All")</f>
        <v>All</v>
      </c>
      <c r="I72" s="18"/>
      <c r="J72" s="18"/>
      <c r="K72" s="18"/>
      <c r="L72" s="20"/>
    </row>
    <row r="73" ht="3.75" customHeight="1">
      <c r="A73" s="17">
        <f>IFERROR(__xludf.DUMMYFUNCTION("""COMPUTED_VALUE"""),13.0)</f>
        <v>13</v>
      </c>
      <c r="B73" s="18">
        <f>IFERROR(__xludf.DUMMYFUNCTION("""COMPUTED_VALUE"""),0.0)</f>
        <v>0</v>
      </c>
      <c r="C73" s="19" t="str">
        <f>IFERROR(__xludf.DUMMYFUNCTION("""COMPUTED_VALUE"""),"Momohara")</f>
        <v>Momohara</v>
      </c>
      <c r="D73" s="18"/>
      <c r="E73" s="18"/>
      <c r="F73" s="18">
        <f>IFERROR(__xludf.DUMMYFUNCTION("""COMPUTED_VALUE"""),2.1)</f>
        <v>2.1</v>
      </c>
      <c r="G73" s="18"/>
      <c r="H73" s="18" t="str">
        <f>IFERROR(__xludf.DUMMYFUNCTION("""COMPUTED_VALUE"""),"All")</f>
        <v>All</v>
      </c>
      <c r="I73" s="18"/>
      <c r="J73" s="18"/>
      <c r="K73" s="18"/>
      <c r="L73" s="20"/>
    </row>
    <row r="74" ht="3.75" customHeight="1">
      <c r="A74" s="17">
        <f>IFERROR(__xludf.DUMMYFUNCTION("""COMPUTED_VALUE"""),13.0)</f>
        <v>13</v>
      </c>
      <c r="B74" s="18">
        <f>IFERROR(__xludf.DUMMYFUNCTION("""COMPUTED_VALUE"""),6.0)</f>
        <v>6</v>
      </c>
      <c r="C74" s="19" t="str">
        <f>IFERROR(__xludf.DUMMYFUNCTION("""COMPUTED_VALUE"""),"Nonokura")</f>
        <v>Nonokura</v>
      </c>
      <c r="D74" s="18"/>
      <c r="E74" s="18"/>
      <c r="F74" s="18"/>
      <c r="G74" s="18"/>
      <c r="H74" s="18" t="str">
        <f>IFERROR(__xludf.DUMMYFUNCTION("""COMPUTED_VALUE"""),"Iron")</f>
        <v>Iron</v>
      </c>
      <c r="I74" s="18"/>
      <c r="J74" s="18"/>
      <c r="K74" s="18"/>
      <c r="L74" s="20" t="str">
        <f>IFERROR(__xludf.DUMMYFUNCTION("""COMPUTED_VALUE"""),"Floor is Friday only.")</f>
        <v>Floor is Friday only.</v>
      </c>
    </row>
    <row r="75" ht="1.5" customHeight="1">
      <c r="A75" s="17">
        <f>IFERROR(__xludf.DUMMYFUNCTION("""COMPUTED_VALUE"""),12.0)</f>
        <v>12</v>
      </c>
      <c r="B75" s="18">
        <f>IFERROR(__xludf.DUMMYFUNCTION("""COMPUTED_VALUE"""),0.0)</f>
        <v>0</v>
      </c>
      <c r="C75" s="19" t="str">
        <f>IFERROR(__xludf.DUMMYFUNCTION("""COMPUTED_VALUE"""),"Ukongaoka")</f>
        <v>Ukongaoka</v>
      </c>
      <c r="D75" s="18" t="str">
        <f>IFERROR(__xludf.DUMMYFUNCTION("""COMPUTED_VALUE"""),"M")</f>
        <v>M</v>
      </c>
      <c r="E75" s="18"/>
      <c r="F75" s="18"/>
      <c r="G75" s="18" t="str">
        <f>IFERROR(__xludf.DUMMYFUNCTION("""COMPUTED_VALUE"""),"●")</f>
        <v>●</v>
      </c>
      <c r="H75" s="18" t="str">
        <f>IFERROR(__xludf.DUMMYFUNCTION("""COMPUTED_VALUE"""),"Fiber")</f>
        <v>Fiber</v>
      </c>
      <c r="I75" s="18"/>
      <c r="J75" s="18"/>
      <c r="K75" s="18"/>
      <c r="L75" s="20"/>
    </row>
    <row r="76" ht="1.5" customHeight="1">
      <c r="A76" s="17">
        <f>IFERROR(__xludf.DUMMYFUNCTION("""COMPUTED_VALUE"""),12.0)</f>
        <v>12</v>
      </c>
      <c r="B76" s="18">
        <f>IFERROR(__xludf.DUMMYFUNCTION("""COMPUTED_VALUE"""),0.0)</f>
        <v>0</v>
      </c>
      <c r="C76" s="19" t="str">
        <f>IFERROR(__xludf.DUMMYFUNCTION("""COMPUTED_VALUE"""),"Seyane")</f>
        <v>Seyane</v>
      </c>
      <c r="D76" s="18"/>
      <c r="E76" s="18"/>
      <c r="F76" s="18"/>
      <c r="G76" s="18"/>
      <c r="H76" s="18" t="str">
        <f>IFERROR(__xludf.DUMMYFUNCTION("""COMPUTED_VALUE"""),"All")</f>
        <v>All</v>
      </c>
      <c r="I76" s="18"/>
      <c r="J76" s="18"/>
      <c r="K76" s="18"/>
      <c r="L76" s="20" t="str">
        <f>IFERROR(__xludf.DUMMYFUNCTION("""COMPUTED_VALUE"""),"Unlock from 14F Yamadai.")</f>
        <v>Unlock from 14F Yamadai.</v>
      </c>
    </row>
    <row r="77" ht="1.5" customHeight="1">
      <c r="A77" s="17">
        <f>IFERROR(__xludf.DUMMYFUNCTION("""COMPUTED_VALUE"""),11.0)</f>
        <v>11</v>
      </c>
      <c r="B77" s="18">
        <f>IFERROR(__xludf.DUMMYFUNCTION("""COMPUTED_VALUE"""),0.0)</f>
        <v>0</v>
      </c>
      <c r="C77" s="19" t="str">
        <f>IFERROR(__xludf.DUMMYFUNCTION("""COMPUTED_VALUE"""),"Maka-Tsutsumi")</f>
        <v>Maka-Tsutsumi</v>
      </c>
      <c r="D77" s="18" t="str">
        <f>IFERROR(__xludf.DUMMYFUNCTION("""COMPUTED_VALUE"""),"M")</f>
        <v>M</v>
      </c>
      <c r="E77" s="18"/>
      <c r="F77" s="18"/>
      <c r="G77" s="18"/>
      <c r="H77" s="18" t="str">
        <f>IFERROR(__xludf.DUMMYFUNCTION("""COMPUTED_VALUE"""),"×")</f>
        <v>×</v>
      </c>
      <c r="I77" s="18"/>
      <c r="J77" s="18" t="str">
        <f>IFERROR(__xludf.DUMMYFUNCTION("""COMPUTED_VALUE"""),"CW Green")</f>
        <v>CW Green</v>
      </c>
      <c r="K77" s="18"/>
      <c r="L77" s="20" t="str">
        <f>IFERROR(__xludf.DUMMYFUNCTION("""COMPUTED_VALUE"""),"BOSS: GOTO-9. Drops Candle Wolf Green Metal.")</f>
        <v>BOSS: GOTO-9. Drops Candle Wolf Green Metal.</v>
      </c>
    </row>
    <row r="78" ht="1.5" customHeight="1">
      <c r="A78" s="17">
        <f>IFERROR(__xludf.DUMMYFUNCTION("""COMPUTED_VALUE"""),11.0)</f>
        <v>11</v>
      </c>
      <c r="B78" s="18">
        <f>IFERROR(__xludf.DUMMYFUNCTION("""COMPUTED_VALUE"""),6.0)</f>
        <v>6</v>
      </c>
      <c r="C78" s="19" t="str">
        <f>IFERROR(__xludf.DUMMYFUNCTION("""COMPUTED_VALUE"""),"Nokejiri")</f>
        <v>Nokejiri</v>
      </c>
      <c r="D78" s="18"/>
      <c r="E78" s="18"/>
      <c r="F78" s="18"/>
      <c r="G78" s="18" t="str">
        <f>IFERROR(__xludf.DUMMYFUNCTION("""COMPUTED_VALUE"""),"●")</f>
        <v>●</v>
      </c>
      <c r="H78" s="18" t="str">
        <f>IFERROR(__xludf.DUMMYFUNCTION("""COMPUTED_VALUE"""),"All")</f>
        <v>All</v>
      </c>
      <c r="I78" s="18"/>
      <c r="J78" s="18"/>
      <c r="K78" s="18" t="str">
        <f>IFERROR(__xludf.DUMMYFUNCTION("""COMPUTED_VALUE"""),"Green")</f>
        <v>Green</v>
      </c>
      <c r="L78" s="20" t="str">
        <f>IFERROR(__xludf.DUMMYFUNCTION("""COMPUTED_VALUE"""),"TRAP: Green or Blue Metals. Not active on Tue/Wed/Sat/Sun. 2 Bone Tubers, 1 Screamer.")</f>
        <v>TRAP: Green or Blue Metals. Not active on Tue/Wed/Sat/Sun. 2 Bone Tubers, 1 Screamer.</v>
      </c>
    </row>
    <row r="79" ht="1.5" customHeight="1">
      <c r="A79" s="17">
        <f>IFERROR(__xludf.DUMMYFUNCTION("""COMPUTED_VALUE"""),10.0)</f>
        <v>10</v>
      </c>
      <c r="B79" s="18">
        <f>IFERROR(__xludf.DUMMYFUNCTION("""COMPUTED_VALUE"""),0.0)</f>
        <v>0</v>
      </c>
      <c r="C79" s="19" t="str">
        <f>IFERROR(__xludf.DUMMYFUNCTION("""COMPUTED_VALUE"""),"Shimo-Omeno")</f>
        <v>Shimo-Omeno</v>
      </c>
      <c r="D79" s="18"/>
      <c r="E79" s="18"/>
      <c r="F79" s="18"/>
      <c r="G79" s="18"/>
      <c r="H79" s="18" t="str">
        <f>IFERROR(__xludf.DUMMYFUNCTION("""COMPUTED_VALUE"""),"Fiber")</f>
        <v>Fiber</v>
      </c>
      <c r="I79" s="18"/>
      <c r="J79" s="18"/>
      <c r="K79" s="18"/>
      <c r="L79" s="20"/>
    </row>
    <row r="80" ht="1.5" customHeight="1">
      <c r="A80" s="17">
        <f>IFERROR(__xludf.DUMMYFUNCTION("""COMPUTED_VALUE"""),10.0)</f>
        <v>10</v>
      </c>
      <c r="B80" s="18">
        <f>IFERROR(__xludf.DUMMYFUNCTION("""COMPUTED_VALUE"""),0.0)</f>
        <v>0</v>
      </c>
      <c r="C80" s="19" t="str">
        <f>IFERROR(__xludf.DUMMYFUNCTION("""COMPUTED_VALUE"""),"Omeno-Soto")</f>
        <v>Omeno-Soto</v>
      </c>
      <c r="D80" s="18" t="str">
        <f>IFERROR(__xludf.DUMMYFUNCTION("""COMPUTED_VALUE"""),"M")</f>
        <v>M</v>
      </c>
      <c r="E80" s="18"/>
      <c r="F80" s="18"/>
      <c r="G80" s="18" t="str">
        <f>IFERROR(__xludf.DUMMYFUNCTION("""COMPUTED_VALUE"""),"●")</f>
        <v>●</v>
      </c>
      <c r="H80" s="18" t="str">
        <f>IFERROR(__xludf.DUMMYFUNCTION("""COMPUTED_VALUE"""),"×")</f>
        <v>×</v>
      </c>
      <c r="I80" s="18"/>
      <c r="J80" s="18" t="str">
        <f>IFERROR(__xludf.DUMMYFUNCTION("""COMPUTED_VALUE"""),"DOD Blue")</f>
        <v>DOD Blue</v>
      </c>
      <c r="K80" s="18"/>
      <c r="L80" s="20" t="str">
        <f>IFERROR(__xludf.DUMMYFUNCTION("""COMPUTED_VALUE"""),"BOSS: Max Sharp.")</f>
        <v>BOSS: Max Sharp.</v>
      </c>
    </row>
    <row r="81" ht="1.5" customHeight="1">
      <c r="A81" s="17">
        <f>IFERROR(__xludf.DUMMYFUNCTION("""COMPUTED_VALUE"""),9.0)</f>
        <v>9</v>
      </c>
      <c r="B81" s="18">
        <f>IFERROR(__xludf.DUMMYFUNCTION("""COMPUTED_VALUE"""),0.0)</f>
        <v>0</v>
      </c>
      <c r="C81" s="19" t="str">
        <f>IFERROR(__xludf.DUMMYFUNCTION("""COMPUTED_VALUE"""),"Nashiyoguchi")</f>
        <v>Nashiyoguchi</v>
      </c>
      <c r="D81" s="18" t="str">
        <f>IFERROR(__xludf.DUMMYFUNCTION("""COMPUTED_VALUE"""),"M")</f>
        <v>M</v>
      </c>
      <c r="E81" s="18"/>
      <c r="F81" s="18"/>
      <c r="G81" s="18" t="str">
        <f>IFERROR(__xludf.DUMMYFUNCTION("""COMPUTED_VALUE"""),"●")</f>
        <v>●</v>
      </c>
      <c r="H81" s="18" t="str">
        <f>IFERROR(__xludf.DUMMYFUNCTION("""COMPUTED_VALUE"""),"Copper")</f>
        <v>Copper</v>
      </c>
      <c r="I81" s="18"/>
      <c r="J81" s="18"/>
      <c r="K81" s="18"/>
      <c r="L81" s="20"/>
    </row>
    <row r="82" ht="1.5" customHeight="1">
      <c r="A82" s="17">
        <f>IFERROR(__xludf.DUMMYFUNCTION("""COMPUTED_VALUE"""),9.0)</f>
        <v>9</v>
      </c>
      <c r="B82" s="18">
        <f>IFERROR(__xludf.DUMMYFUNCTION("""COMPUTED_VALUE"""),0.0)</f>
        <v>0</v>
      </c>
      <c r="C82" s="19" t="str">
        <f>IFERROR(__xludf.DUMMYFUNCTION("""COMPUTED_VALUE"""),"Yoneguchi")</f>
        <v>Yoneguchi</v>
      </c>
      <c r="D82" s="18"/>
      <c r="E82" s="18"/>
      <c r="F82" s="18"/>
      <c r="G82" s="18"/>
      <c r="H82" s="18" t="str">
        <f>IFERROR(__xludf.DUMMYFUNCTION("""COMPUTED_VALUE"""),"All")</f>
        <v>All</v>
      </c>
      <c r="I82" s="18" t="str">
        <f>IFERROR(__xludf.DUMMYFUNCTION("""COMPUTED_VALUE"""),"G")</f>
        <v>G</v>
      </c>
      <c r="J82" s="18"/>
      <c r="K82" s="18"/>
      <c r="L82" s="20" t="str">
        <f>IFERROR(__xludf.DUMMYFUNCTION("""COMPUTED_VALUE"""),"Gyakufunsha can appear.")</f>
        <v>Gyakufunsha can appear.</v>
      </c>
    </row>
    <row r="83" ht="1.5" customHeight="1">
      <c r="A83" s="17">
        <f>IFERROR(__xludf.DUMMYFUNCTION("""COMPUTED_VALUE"""),9.0)</f>
        <v>9</v>
      </c>
      <c r="B83" s="18">
        <f>IFERROR(__xludf.DUMMYFUNCTION("""COMPUTED_VALUE"""),0.0)</f>
        <v>0</v>
      </c>
      <c r="C83" s="19" t="str">
        <f>IFERROR(__xludf.DUMMYFUNCTION("""COMPUTED_VALUE"""),"Yoshiki-Dani")</f>
        <v>Yoshiki-Dani</v>
      </c>
      <c r="D83" s="18"/>
      <c r="E83" s="18"/>
      <c r="F83" s="18">
        <f>IFERROR(__xludf.DUMMYFUNCTION("""COMPUTED_VALUE"""),1.6)</f>
        <v>1.6</v>
      </c>
      <c r="G83" s="18"/>
      <c r="H83" s="18" t="str">
        <f>IFERROR(__xludf.DUMMYFUNCTION("""COMPUTED_VALUE"""),"Fiber")</f>
        <v>Fiber</v>
      </c>
      <c r="I83" s="18"/>
      <c r="J83" s="18"/>
      <c r="K83" s="18"/>
      <c r="L83" s="20" t="str">
        <f>IFERROR(__xludf.DUMMYFUNCTION("""COMPUTED_VALUE"""),"One Mk-1 Reversal Tuber.")</f>
        <v>One Mk-1 Reversal Tuber.</v>
      </c>
    </row>
    <row r="84" ht="1.5" customHeight="1">
      <c r="A84" s="17">
        <f>IFERROR(__xludf.DUMMYFUNCTION("""COMPUTED_VALUE"""),8.0)</f>
        <v>8</v>
      </c>
      <c r="B84" s="18">
        <f>IFERROR(__xludf.DUMMYFUNCTION("""COMPUTED_VALUE"""),0.0)</f>
        <v>0</v>
      </c>
      <c r="C84" s="19" t="str">
        <f>IFERROR(__xludf.DUMMYFUNCTION("""COMPUTED_VALUE"""),"Niko-Senzoku")</f>
        <v>Niko-Senzoku</v>
      </c>
      <c r="D84" s="18" t="str">
        <f>IFERROR(__xludf.DUMMYFUNCTION("""COMPUTED_VALUE"""),"M")</f>
        <v>M</v>
      </c>
      <c r="E84" s="18"/>
      <c r="F84" s="18"/>
      <c r="G84" s="18"/>
      <c r="H84" s="18" t="str">
        <f>IFERROR(__xludf.DUMMYFUNCTION("""COMPUTED_VALUE"""),"Aluminum")</f>
        <v>Aluminum</v>
      </c>
      <c r="I84" s="18"/>
      <c r="J84" s="18"/>
      <c r="K84" s="18"/>
      <c r="L84" s="20" t="str">
        <f>IFERROR(__xludf.DUMMYFUNCTION("""COMPUTED_VALUE"""),"Unlock from 6F Mekaroku-Go. One Mk-1 Bullet Tuber.")</f>
        <v>Unlock from 6F Mekaroku-Go. One Mk-1 Bullet Tuber.</v>
      </c>
    </row>
    <row r="85" ht="1.5" customHeight="1">
      <c r="A85" s="17">
        <f>IFERROR(__xludf.DUMMYFUNCTION("""COMPUTED_VALUE"""),8.0)</f>
        <v>8</v>
      </c>
      <c r="B85" s="18">
        <f>IFERROR(__xludf.DUMMYFUNCTION("""COMPUTED_VALUE"""),0.0)</f>
        <v>0</v>
      </c>
      <c r="C85" s="19" t="str">
        <f>IFERROR(__xludf.DUMMYFUNCTION("""COMPUTED_VALUE"""),"Meta-Koya")</f>
        <v>Meta-Koya</v>
      </c>
      <c r="D85" s="18"/>
      <c r="E85" s="18"/>
      <c r="F85" s="18"/>
      <c r="G85" s="18"/>
      <c r="H85" s="18" t="str">
        <f>IFERROR(__xludf.DUMMYFUNCTION("""COMPUTED_VALUE"""),"Fiber")</f>
        <v>Fiber</v>
      </c>
      <c r="I85" s="18"/>
      <c r="J85" s="18"/>
      <c r="K85" s="18"/>
      <c r="L85" s="20"/>
    </row>
    <row r="86" ht="3.75" customHeight="1">
      <c r="A86" s="17">
        <f>IFERROR(__xludf.DUMMYFUNCTION("""COMPUTED_VALUE"""),8.0)</f>
        <v>8</v>
      </c>
      <c r="B86" s="18">
        <f>IFERROR(__xludf.DUMMYFUNCTION("""COMPUTED_VALUE"""),6.0)</f>
        <v>6</v>
      </c>
      <c r="C86" s="19" t="str">
        <f>IFERROR(__xludf.DUMMYFUNCTION("""COMPUTED_VALUE"""),"Sashi-Magome")</f>
        <v>Sashi-Magome</v>
      </c>
      <c r="D86" s="18"/>
      <c r="E86" s="18"/>
      <c r="F86" s="18"/>
      <c r="G86" s="18"/>
      <c r="H86" s="18" t="str">
        <f>IFERROR(__xludf.DUMMYFUNCTION("""COMPUTED_VALUE"""),"Fiber")</f>
        <v>Fiber</v>
      </c>
      <c r="I86" s="18"/>
      <c r="J86" s="18"/>
      <c r="K86" s="18"/>
      <c r="L86" s="20" t="str">
        <f>IFERROR(__xludf.DUMMYFUNCTION("""COMPUTED_VALUE"""),"Floor is Friday only.")</f>
        <v>Floor is Friday only.</v>
      </c>
    </row>
    <row r="87" ht="3.75" customHeight="1">
      <c r="A87" s="17">
        <f>IFERROR(__xludf.DUMMYFUNCTION("""COMPUTED_VALUE"""),7.0)</f>
        <v>7</v>
      </c>
      <c r="B87" s="18">
        <f>IFERROR(__xludf.DUMMYFUNCTION("""COMPUTED_VALUE"""),0.0)</f>
        <v>0</v>
      </c>
      <c r="C87" s="19" t="str">
        <f>IFERROR(__xludf.DUMMYFUNCTION("""COMPUTED_VALUE"""),"Daneda")</f>
        <v>Daneda</v>
      </c>
      <c r="D87" s="18"/>
      <c r="E87" s="18"/>
      <c r="F87" s="18"/>
      <c r="G87" s="18"/>
      <c r="H87" s="18" t="str">
        <f>IFERROR(__xludf.DUMMYFUNCTION("""COMPUTED_VALUE"""),"Oil")</f>
        <v>Oil</v>
      </c>
      <c r="I87" s="18"/>
      <c r="J87" s="18"/>
      <c r="K87" s="18"/>
      <c r="L87" s="20" t="str">
        <f>IFERROR(__xludf.DUMMYFUNCTION("""COMPUTED_VALUE"""),"Unlock from Niko-Senzoku Lots of Snails.")</f>
        <v>Unlock from Niko-Senzoku Lots of Snails.</v>
      </c>
    </row>
    <row r="88" ht="3.75" customHeight="1">
      <c r="A88" s="17">
        <f>IFERROR(__xludf.DUMMYFUNCTION("""COMPUTED_VALUE"""),7.0)</f>
        <v>7</v>
      </c>
      <c r="B88" s="18">
        <f>IFERROR(__xludf.DUMMYFUNCTION("""COMPUTED_VALUE"""),0.0)</f>
        <v>0</v>
      </c>
      <c r="C88" s="19" t="str">
        <f>IFERROR(__xludf.DUMMYFUNCTION("""COMPUTED_VALUE"""),"Yuki")</f>
        <v>Yuki</v>
      </c>
      <c r="D88" s="18"/>
      <c r="E88" s="18"/>
      <c r="F88" s="18">
        <f>IFERROR(__xludf.DUMMYFUNCTION("""COMPUTED_VALUE"""),1.5)</f>
        <v>1.5</v>
      </c>
      <c r="G88" s="18" t="str">
        <f>IFERROR(__xludf.DUMMYFUNCTION("""COMPUTED_VALUE"""),"●")</f>
        <v>●</v>
      </c>
      <c r="H88" s="18" t="str">
        <f>IFERROR(__xludf.DUMMYFUNCTION("""COMPUTED_VALUE"""),"Fiber")</f>
        <v>Fiber</v>
      </c>
      <c r="I88" s="18"/>
      <c r="J88" s="18"/>
      <c r="K88" s="18"/>
      <c r="L88" s="20" t="str">
        <f>IFERROR(__xludf.DUMMYFUNCTION("""COMPUTED_VALUE"""),"Unlocked from HYAKUDORI (after Jin-Die Kill) Three Mk-1 Bullet Tubers.")</f>
        <v>Unlocked from HYAKUDORI (after Jin-Die Kill) Three Mk-1 Bullet Tubers.</v>
      </c>
    </row>
    <row r="89" ht="3.75" customHeight="1">
      <c r="A89" s="17">
        <f>IFERROR(__xludf.DUMMYFUNCTION("""COMPUTED_VALUE"""),6.0)</f>
        <v>6</v>
      </c>
      <c r="B89" s="18">
        <f>IFERROR(__xludf.DUMMYFUNCTION("""COMPUTED_VALUE"""),6.0)</f>
        <v>6</v>
      </c>
      <c r="C89" s="19" t="str">
        <f>IFERROR(__xludf.DUMMYFUNCTION("""COMPUTED_VALUE"""),"Moka-Magome")</f>
        <v>Moka-Magome</v>
      </c>
      <c r="D89" s="18" t="str">
        <f>IFERROR(__xludf.DUMMYFUNCTION("""COMPUTED_VALUE"""),"M")</f>
        <v>M</v>
      </c>
      <c r="E89" s="18"/>
      <c r="F89" s="18">
        <f>IFERROR(__xludf.DUMMYFUNCTION("""COMPUTED_VALUE"""),1.4)</f>
        <v>1.4</v>
      </c>
      <c r="G89" s="18"/>
      <c r="H89" s="18" t="str">
        <f>IFERROR(__xludf.DUMMYFUNCTION("""COMPUTED_VALUE"""),"Iron")</f>
        <v>Iron</v>
      </c>
      <c r="I89" s="18"/>
      <c r="J89" s="18" t="str">
        <f>IFERROR(__xludf.DUMMYFUNCTION("""COMPUTED_VALUE"""),"WE Blue")</f>
        <v>WE Blue</v>
      </c>
      <c r="K89" s="18" t="str">
        <f>IFERROR(__xludf.DUMMYFUNCTION("""COMPUTED_VALUE"""),"Blue")</f>
        <v>Blue</v>
      </c>
      <c r="L89" s="20" t="str">
        <f>IFERROR(__xludf.DUMMYFUNCTION("""COMPUTED_VALUE"""),"BOSS: JIN-DIE. Drops War Ensemble Blue Metal. TRAP: Blue Metals, 5 Screamers.")</f>
        <v>BOSS: JIN-DIE. Drops War Ensemble Blue Metal. TRAP: Blue Metals, 5 Screamers.</v>
      </c>
    </row>
    <row r="90" ht="3.75" customHeight="1">
      <c r="A90" s="17">
        <f>IFERROR(__xludf.DUMMYFUNCTION("""COMPUTED_VALUE"""),6.0)</f>
        <v>6</v>
      </c>
      <c r="B90" s="18">
        <f>IFERROR(__xludf.DUMMYFUNCTION("""COMPUTED_VALUE"""),0.0)</f>
        <v>0</v>
      </c>
      <c r="C90" s="19" t="str">
        <f>IFERROR(__xludf.DUMMYFUNCTION("""COMPUTED_VALUE"""),"Mekaroku-Go")</f>
        <v>Mekaroku-Go</v>
      </c>
      <c r="D90" s="18"/>
      <c r="E90" s="18"/>
      <c r="F90" s="18"/>
      <c r="G90" s="18"/>
      <c r="H90" s="18" t="str">
        <f>IFERROR(__xludf.DUMMYFUNCTION("""COMPUTED_VALUE"""),"All")</f>
        <v>All</v>
      </c>
      <c r="I90" s="18"/>
      <c r="J90" s="18"/>
      <c r="K90" s="18"/>
      <c r="L90" s="20" t="str">
        <f>IFERROR(__xludf.DUMMYFUNCTION("""COMPUTED_VALUE"""),"Four Mk-1 Bullet Tubers, three of them in one room.")</f>
        <v>Four Mk-1 Bullet Tubers, three of them in one room.</v>
      </c>
    </row>
    <row r="91" ht="3.75" customHeight="1">
      <c r="A91" s="17">
        <f>IFERROR(__xludf.DUMMYFUNCTION("""COMPUTED_VALUE"""),6.0)</f>
        <v>6</v>
      </c>
      <c r="B91" s="18">
        <f>IFERROR(__xludf.DUMMYFUNCTION("""COMPUTED_VALUE"""),6.0)</f>
        <v>6</v>
      </c>
      <c r="C91" s="19" t="str">
        <f>IFERROR(__xludf.DUMMYFUNCTION("""COMPUTED_VALUE"""),"Chudo")</f>
        <v>Chudo</v>
      </c>
      <c r="D91" s="18"/>
      <c r="E91" s="18"/>
      <c r="F91" s="22"/>
      <c r="G91" s="18" t="str">
        <f>IFERROR(__xludf.DUMMYFUNCTION("""COMPUTED_VALUE"""),"●")</f>
        <v>●</v>
      </c>
      <c r="H91" s="18" t="str">
        <f>IFERROR(__xludf.DUMMYFUNCTION("""COMPUTED_VALUE"""),"Fiber")</f>
        <v>Fiber</v>
      </c>
      <c r="I91" s="18"/>
      <c r="J91" s="18"/>
      <c r="K91" s="18"/>
      <c r="L91" s="20" t="str">
        <f>IFERROR(__xludf.DUMMYFUNCTION("""COMPUTED_VALUE"""),"Chance for Golden Frogs and Golden Rats. Floor is Friday only.")</f>
        <v>Chance for Golden Frogs and Golden Rats. Floor is Friday only.</v>
      </c>
    </row>
    <row r="92" ht="3.75" customHeight="1">
      <c r="A92" s="17">
        <f>IFERROR(__xludf.DUMMYFUNCTION("""COMPUTED_VALUE"""),5.0)</f>
        <v>5</v>
      </c>
      <c r="B92" s="18">
        <f>IFERROR(__xludf.DUMMYFUNCTION("""COMPUTED_VALUE"""),0.0)</f>
        <v>0</v>
      </c>
      <c r="C92" s="19" t="str">
        <f>IFERROR(__xludf.DUMMYFUNCTION("""COMPUTED_VALUE"""),"Hyakudori")</f>
        <v>Hyakudori</v>
      </c>
      <c r="D92" s="18" t="str">
        <f>IFERROR(__xludf.DUMMYFUNCTION("""COMPUTED_VALUE"""),"M")</f>
        <v>M</v>
      </c>
      <c r="E92" s="18"/>
      <c r="F92" s="18">
        <f>IFERROR(__xludf.DUMMYFUNCTION("""COMPUTED_VALUE"""),1.3)</f>
        <v>1.3</v>
      </c>
      <c r="G92" s="18" t="str">
        <f>IFERROR(__xludf.DUMMYFUNCTION("""COMPUTED_VALUE"""),"●")</f>
        <v>●</v>
      </c>
      <c r="H92" s="18" t="str">
        <f>IFERROR(__xludf.DUMMYFUNCTION("""COMPUTED_VALUE"""),"Fiber")</f>
        <v>Fiber</v>
      </c>
      <c r="I92" s="18"/>
      <c r="J92" s="18"/>
      <c r="K92" s="18"/>
      <c r="L92" s="20" t="str">
        <f>IFERROR(__xludf.DUMMYFUNCTION("""COMPUTED_VALUE"""),"Unlock from 3F Kami-Ikedoi.")</f>
        <v>Unlock from 3F Kami-Ikedoi.</v>
      </c>
    </row>
    <row r="93" ht="3.75" customHeight="1">
      <c r="A93" s="17">
        <f>IFERROR(__xludf.DUMMYFUNCTION("""COMPUTED_VALUE"""),5.0)</f>
        <v>5</v>
      </c>
      <c r="B93" s="18">
        <f>IFERROR(__xludf.DUMMYFUNCTION("""COMPUTED_VALUE"""),0.0)</f>
        <v>0</v>
      </c>
      <c r="C93" s="19" t="str">
        <f>IFERROR(__xludf.DUMMYFUNCTION("""COMPUTED_VALUE"""),"Joten-Jima")</f>
        <v>Joten-Jima</v>
      </c>
      <c r="D93" s="18"/>
      <c r="E93" s="18"/>
      <c r="F93" s="18"/>
      <c r="G93" s="18"/>
      <c r="H93" s="18" t="str">
        <f>IFERROR(__xludf.DUMMYFUNCTION("""COMPUTED_VALUE"""),"Wood")</f>
        <v>Wood</v>
      </c>
      <c r="I93" s="18"/>
      <c r="J93" s="18"/>
      <c r="K93" s="18"/>
      <c r="L93" s="20"/>
    </row>
    <row r="94" ht="3.75" customHeight="1">
      <c r="A94" s="17">
        <f>IFERROR(__xludf.DUMMYFUNCTION("""COMPUTED_VALUE"""),5.0)</f>
        <v>5</v>
      </c>
      <c r="B94" s="18">
        <f>IFERROR(__xludf.DUMMYFUNCTION("""COMPUTED_VALUE"""),6.0)</f>
        <v>6</v>
      </c>
      <c r="C94" s="19" t="str">
        <f>IFERROR(__xludf.DUMMYFUNCTION("""COMPUTED_VALUE"""),"Somagawa")</f>
        <v>Somagawa</v>
      </c>
      <c r="D94" s="18"/>
      <c r="E94" s="18"/>
      <c r="F94" s="18"/>
      <c r="G94" s="18"/>
      <c r="H94" s="18" t="str">
        <f>IFERROR(__xludf.DUMMYFUNCTION("""COMPUTED_VALUE"""),"Oil")</f>
        <v>Oil</v>
      </c>
      <c r="I94" s="18"/>
      <c r="J94" s="18"/>
      <c r="K94" s="18"/>
      <c r="L94" s="20"/>
    </row>
    <row r="95" ht="3.75" customHeight="1">
      <c r="A95" s="17">
        <f>IFERROR(__xludf.DUMMYFUNCTION("""COMPUTED_VALUE"""),4.0)</f>
        <v>4</v>
      </c>
      <c r="B95" s="18">
        <f>IFERROR(__xludf.DUMMYFUNCTION("""COMPUTED_VALUE"""),0.0)</f>
        <v>0</v>
      </c>
      <c r="C95" s="19" t="str">
        <f>IFERROR(__xludf.DUMMYFUNCTION("""COMPUTED_VALUE"""),"Tagahara")</f>
        <v>Tagahara</v>
      </c>
      <c r="D95" s="18" t="str">
        <f>IFERROR(__xludf.DUMMYFUNCTION("""COMPUTED_VALUE"""),"M")</f>
        <v>M</v>
      </c>
      <c r="E95" s="18"/>
      <c r="F95" s="18"/>
      <c r="G95" s="18" t="str">
        <f>IFERROR(__xludf.DUMMYFUNCTION("""COMPUTED_VALUE"""),"●")</f>
        <v>●</v>
      </c>
      <c r="H95" s="18" t="str">
        <f>IFERROR(__xludf.DUMMYFUNCTION("""COMPUTED_VALUE"""),"Iron")</f>
        <v>Iron</v>
      </c>
      <c r="I95" s="18"/>
      <c r="J95" s="18"/>
      <c r="K95" s="18"/>
      <c r="L95" s="20"/>
    </row>
    <row r="96" ht="3.75" customHeight="1">
      <c r="A96" s="17">
        <f>IFERROR(__xludf.DUMMYFUNCTION("""COMPUTED_VALUE"""),4.0)</f>
        <v>4</v>
      </c>
      <c r="B96" s="18">
        <f>IFERROR(__xludf.DUMMYFUNCTION("""COMPUTED_VALUE"""),6.0)</f>
        <v>6</v>
      </c>
      <c r="C96" s="19" t="str">
        <f>IFERROR(__xludf.DUMMYFUNCTION("""COMPUTED_VALUE"""),"Keiran-Jima")</f>
        <v>Keiran-Jima</v>
      </c>
      <c r="D96" s="18"/>
      <c r="E96" s="18"/>
      <c r="F96" s="18"/>
      <c r="G96" s="18"/>
      <c r="H96" s="18" t="str">
        <f>IFERROR(__xludf.DUMMYFUNCTION("""COMPUTED_VALUE"""),"×")</f>
        <v>×</v>
      </c>
      <c r="I96" s="18"/>
      <c r="J96" s="18"/>
      <c r="K96" s="18"/>
      <c r="L96" s="20" t="str">
        <f>IFERROR(__xludf.DUMMYFUNCTION("""COMPUTED_VALUE"""),"Unlock from 6F Chudo. Very small - just a short hallway with one hater. Floor is Friday only.")</f>
        <v>Unlock from 6F Chudo. Very small - just a short hallway with one hater. Floor is Friday only.</v>
      </c>
    </row>
    <row r="97" ht="3.75" customHeight="1">
      <c r="A97" s="17">
        <f>IFERROR(__xludf.DUMMYFUNCTION("""COMPUTED_VALUE"""),3.0)</f>
        <v>3</v>
      </c>
      <c r="B97" s="18">
        <f>IFERROR(__xludf.DUMMYFUNCTION("""COMPUTED_VALUE"""),0.0)</f>
        <v>0</v>
      </c>
      <c r="C97" s="19" t="str">
        <f>IFERROR(__xludf.DUMMYFUNCTION("""COMPUTED_VALUE"""),"Tamata")</f>
        <v>Tamata</v>
      </c>
      <c r="D97" s="18" t="str">
        <f>IFERROR(__xludf.DUMMYFUNCTION("""COMPUTED_VALUE"""),"M")</f>
        <v>M</v>
      </c>
      <c r="E97" s="18"/>
      <c r="F97" s="18">
        <f>IFERROR(__xludf.DUMMYFUNCTION("""COMPUTED_VALUE"""),1.2)</f>
        <v>1.2</v>
      </c>
      <c r="G97" s="18"/>
      <c r="H97" s="18" t="str">
        <f>IFERROR(__xludf.DUMMYFUNCTION("""COMPUTED_VALUE"""),"Fiber")</f>
        <v>Fiber</v>
      </c>
      <c r="I97" s="18"/>
      <c r="J97" s="18" t="str">
        <f>IFERROR(__xludf.DUMMYFUNCTION("""COMPUTED_VALUE"""),"DOD Blue")</f>
        <v>DOD Blue</v>
      </c>
      <c r="K97" s="18" t="str">
        <f>IFERROR(__xludf.DUMMYFUNCTION("""COMPUTED_VALUE"""),"Blue")</f>
        <v>Blue</v>
      </c>
      <c r="L97" s="20" t="str">
        <f>IFERROR(__xludf.DUMMYFUNCTION("""COMPUTED_VALUE"""),"BOSS: COEN. Drops DOD ARMS Blue Metal. TRAP: Blue Metals, only active Mon / Thu / Fri.")</f>
        <v>BOSS: COEN. Drops DOD ARMS Blue Metal. TRAP: Blue Metals, only active Mon / Thu / Fri.</v>
      </c>
    </row>
    <row r="98" ht="3.75" customHeight="1">
      <c r="A98" s="17">
        <f>IFERROR(__xludf.DUMMYFUNCTION("""COMPUTED_VALUE"""),3.0)</f>
        <v>3</v>
      </c>
      <c r="B98" s="18">
        <f>IFERROR(__xludf.DUMMYFUNCTION("""COMPUTED_VALUE"""),0.0)</f>
        <v>0</v>
      </c>
      <c r="C98" s="19" t="str">
        <f>IFERROR(__xludf.DUMMYFUNCTION("""COMPUTED_VALUE"""),"Kami-Ikedoi")</f>
        <v>Kami-Ikedoi</v>
      </c>
      <c r="D98" s="18"/>
      <c r="E98" s="18"/>
      <c r="F98" s="18"/>
      <c r="G98" s="18" t="str">
        <f>IFERROR(__xludf.DUMMYFUNCTION("""COMPUTED_VALUE"""),"●")</f>
        <v>●</v>
      </c>
      <c r="H98" s="18" t="str">
        <f>IFERROR(__xludf.DUMMYFUNCTION("""COMPUTED_VALUE"""),"All")</f>
        <v>All</v>
      </c>
      <c r="I98" s="18"/>
      <c r="J98" s="18"/>
      <c r="K98" s="18" t="str">
        <f>IFERROR(__xludf.DUMMYFUNCTION("""COMPUTED_VALUE"""),"Blue")</f>
        <v>Blue</v>
      </c>
      <c r="L98" s="20" t="str">
        <f>IFERROR(__xludf.DUMMYFUNCTION("""COMPUTED_VALUE"""),"TRAP: Blue Metals. 3 Screamers. Trap is active every day, but doesn't always spawn.")</f>
        <v>TRAP: Blue Metals. 3 Screamers. Trap is active every day, but doesn't always spawn.</v>
      </c>
    </row>
    <row r="99" ht="3.75" customHeight="1">
      <c r="A99" s="17">
        <f>IFERROR(__xludf.DUMMYFUNCTION("""COMPUTED_VALUE"""),3.0)</f>
        <v>3</v>
      </c>
      <c r="B99" s="18">
        <f>IFERROR(__xludf.DUMMYFUNCTION("""COMPUTED_VALUE"""),6.0)</f>
        <v>6</v>
      </c>
      <c r="C99" s="19" t="str">
        <f>IFERROR(__xludf.DUMMYFUNCTION("""COMPUTED_VALUE"""),"Omoki")</f>
        <v>Omoki</v>
      </c>
      <c r="D99" s="18"/>
      <c r="E99" s="18"/>
      <c r="F99" s="18"/>
      <c r="G99" s="18"/>
      <c r="H99" s="18" t="str">
        <f>IFERROR(__xludf.DUMMYFUNCTION("""COMPUTED_VALUE"""),"Fiber")</f>
        <v>Fiber</v>
      </c>
      <c r="I99" s="18" t="str">
        <f>IFERROR(__xludf.DUMMYFUNCTION("""COMPUTED_VALUE"""),"G★")</f>
        <v>G★</v>
      </c>
      <c r="J99" s="18"/>
      <c r="K99" s="18"/>
      <c r="L99" s="20" t="str">
        <f>IFERROR(__xludf.DUMMYFUNCTION("""COMPUTED_VALUE"""),"Gyakufunsha always appears, sells 1-2★ mats, Scratch/Hovering/Reversal &amp; Blue/Green Metals.")</f>
        <v>Gyakufunsha always appears, sells 1-2★ mats, Scratch/Hovering/Reversal &amp; Blue/Green Metals.</v>
      </c>
    </row>
    <row r="100" ht="3.75" customHeight="1">
      <c r="A100" s="17">
        <f>IFERROR(__xludf.DUMMYFUNCTION("""COMPUTED_VALUE"""),2.0)</f>
        <v>2</v>
      </c>
      <c r="B100" s="18">
        <f>IFERROR(__xludf.DUMMYFUNCTION("""COMPUTED_VALUE"""),0.0)</f>
        <v>0</v>
      </c>
      <c r="C100" s="19" t="str">
        <f>IFERROR(__xludf.DUMMYFUNCTION("""COMPUTED_VALUE"""),"Imokawa-Cho")</f>
        <v>Imokawa-Cho</v>
      </c>
      <c r="D100" s="18"/>
      <c r="E100" s="18"/>
      <c r="F100" s="18">
        <f>IFERROR(__xludf.DUMMYFUNCTION("""COMPUTED_VALUE"""),1.1)</f>
        <v>1.1</v>
      </c>
      <c r="G100" s="18" t="str">
        <f>IFERROR(__xludf.DUMMYFUNCTION("""COMPUTED_VALUE"""),"●")</f>
        <v>●</v>
      </c>
      <c r="H100" s="18" t="str">
        <f>IFERROR(__xludf.DUMMYFUNCTION("""COMPUTED_VALUE"""),"All")</f>
        <v>All</v>
      </c>
      <c r="I100" s="18"/>
      <c r="J100" s="18"/>
      <c r="K100" s="18"/>
      <c r="L100" s="20"/>
    </row>
    <row r="101">
      <c r="A101" s="17">
        <f>IFERROR(__xludf.DUMMYFUNCTION("""COMPUTED_VALUE"""),2.0)</f>
        <v>2</v>
      </c>
      <c r="B101" s="18">
        <f>IFERROR(__xludf.DUMMYFUNCTION("""COMPUTED_VALUE"""),0.0)</f>
        <v>0</v>
      </c>
      <c r="C101" s="19" t="str">
        <f>IFERROR(__xludf.DUMMYFUNCTION("""COMPUTED_VALUE"""),"Wanoki")</f>
        <v>Wanoki</v>
      </c>
      <c r="D101" s="18"/>
      <c r="E101" s="18"/>
      <c r="F101" s="18"/>
      <c r="G101" s="18"/>
      <c r="H101" s="18" t="str">
        <f>IFERROR(__xludf.DUMMYFUNCTION("""COMPUTED_VALUE"""),"Aluminum")</f>
        <v>Aluminum</v>
      </c>
      <c r="I101" s="18"/>
      <c r="J101" s="18"/>
      <c r="K101" s="18"/>
      <c r="L101" s="20" t="str">
        <f>IFERROR(__xludf.DUMMYFUNCTION("""COMPUTED_VALUE"""),"Over 18 Screamers, good for Mastery farming or Screamer quests.")</f>
        <v>Over 18 Screamers, good for Mastery farming or Screamer quests.</v>
      </c>
    </row>
    <row r="102">
      <c r="A102" s="17">
        <f>IFERROR(__xludf.DUMMYFUNCTION("""COMPUTED_VALUE"""),1.0)</f>
        <v>1</v>
      </c>
      <c r="B102" s="18">
        <f>IFERROR(__xludf.DUMMYFUNCTION("""COMPUTED_VALUE"""),0.0)</f>
        <v>0</v>
      </c>
      <c r="C102" s="19" t="str">
        <f>IFERROR(__xludf.DUMMYFUNCTION("""COMPUTED_VALUE"""),"Ikegara")</f>
        <v>Ikegara</v>
      </c>
      <c r="D102" s="18" t="str">
        <f>IFERROR(__xludf.DUMMYFUNCTION("""COMPUTED_VALUE"""),"M")</f>
        <v>M</v>
      </c>
      <c r="E102" s="18"/>
      <c r="F102" s="18"/>
      <c r="G102" s="18" t="str">
        <f>IFERROR(__xludf.DUMMYFUNCTION("""COMPUTED_VALUE"""),"●")</f>
        <v>●</v>
      </c>
      <c r="H102" s="18" t="str">
        <f>IFERROR(__xludf.DUMMYFUNCTION("""COMPUTED_VALUE"""),"×")</f>
        <v>×</v>
      </c>
      <c r="I102" s="18"/>
      <c r="J102" s="18"/>
      <c r="K102" s="18"/>
      <c r="L102" s="20"/>
    </row>
    <row r="103">
      <c r="A103" s="22"/>
      <c r="B103" s="18"/>
      <c r="C103" s="19"/>
      <c r="D103" s="18"/>
      <c r="E103" s="18"/>
      <c r="F103" s="18"/>
      <c r="G103" s="18"/>
      <c r="H103" s="18"/>
      <c r="I103" s="23"/>
      <c r="J103" s="18"/>
      <c r="K103" s="18"/>
      <c r="L103" s="20"/>
    </row>
    <row r="104">
      <c r="A104" s="22"/>
      <c r="B104" s="18"/>
      <c r="C104" s="19"/>
      <c r="D104" s="18"/>
      <c r="E104" s="18"/>
      <c r="F104" s="18"/>
      <c r="G104" s="18"/>
      <c r="H104" s="18"/>
      <c r="I104" s="18"/>
      <c r="J104" s="18"/>
      <c r="K104" s="18"/>
      <c r="L104" s="20"/>
    </row>
    <row r="105">
      <c r="A105" s="22"/>
      <c r="B105" s="18"/>
      <c r="C105" s="19"/>
      <c r="D105" s="18"/>
      <c r="E105" s="18"/>
      <c r="F105" s="18"/>
      <c r="G105" s="18"/>
      <c r="H105" s="18"/>
      <c r="I105" s="18"/>
      <c r="J105" s="18"/>
      <c r="K105" s="18"/>
      <c r="L105" s="20"/>
    </row>
    <row r="106">
      <c r="A106" s="22"/>
      <c r="B106" s="18"/>
      <c r="C106" s="19"/>
      <c r="D106" s="18"/>
      <c r="E106" s="18"/>
      <c r="F106" s="18"/>
      <c r="G106" s="18"/>
      <c r="H106" s="18"/>
      <c r="I106" s="18"/>
      <c r="J106" s="18"/>
      <c r="K106" s="18"/>
      <c r="L106" s="20"/>
    </row>
    <row r="107">
      <c r="A107" s="22"/>
      <c r="B107" s="18"/>
      <c r="C107" s="19"/>
      <c r="D107" s="18"/>
      <c r="E107" s="18"/>
      <c r="F107" s="18"/>
      <c r="G107" s="18"/>
      <c r="H107" s="18"/>
      <c r="I107" s="18"/>
      <c r="J107" s="18"/>
      <c r="K107" s="18"/>
      <c r="L107" s="20"/>
    </row>
    <row r="108">
      <c r="A108" s="22"/>
      <c r="B108" s="18"/>
      <c r="C108" s="19"/>
      <c r="D108" s="18"/>
      <c r="E108" s="18"/>
      <c r="F108" s="18"/>
      <c r="G108" s="18"/>
      <c r="H108" s="18"/>
      <c r="I108" s="18"/>
      <c r="J108" s="18"/>
      <c r="K108" s="18"/>
      <c r="L108" s="20"/>
    </row>
    <row r="109">
      <c r="A109" s="22"/>
      <c r="B109" s="18"/>
      <c r="C109" s="19"/>
      <c r="D109" s="18"/>
      <c r="E109" s="18"/>
      <c r="F109" s="18"/>
      <c r="G109" s="18"/>
      <c r="H109" s="18"/>
      <c r="I109" s="18"/>
      <c r="J109" s="18"/>
      <c r="K109" s="18"/>
      <c r="L109" s="20"/>
    </row>
    <row r="110">
      <c r="A110" s="22"/>
      <c r="B110" s="18"/>
      <c r="C110" s="19"/>
      <c r="D110" s="18"/>
      <c r="E110" s="18"/>
      <c r="F110" s="18"/>
      <c r="G110" s="18"/>
      <c r="H110" s="18"/>
      <c r="I110" s="18"/>
      <c r="J110" s="18"/>
      <c r="K110" s="18"/>
      <c r="L110" s="20"/>
    </row>
    <row r="111">
      <c r="A111" s="22"/>
      <c r="B111" s="18"/>
      <c r="C111" s="19"/>
      <c r="D111" s="18"/>
      <c r="E111" s="18"/>
      <c r="F111" s="18"/>
      <c r="G111" s="18"/>
      <c r="H111" s="18"/>
      <c r="I111" s="18"/>
      <c r="J111" s="18"/>
      <c r="K111" s="18"/>
      <c r="L111" s="20"/>
    </row>
    <row r="112">
      <c r="A112" s="22"/>
      <c r="B112" s="18"/>
      <c r="C112" s="19"/>
      <c r="D112" s="18"/>
      <c r="E112" s="18"/>
      <c r="F112" s="18"/>
      <c r="G112" s="18"/>
      <c r="H112" s="18"/>
      <c r="I112" s="18"/>
      <c r="J112" s="18"/>
      <c r="K112" s="18"/>
      <c r="L112" s="20"/>
    </row>
    <row r="113">
      <c r="A113" s="22"/>
      <c r="B113" s="18"/>
      <c r="C113" s="19"/>
      <c r="D113" s="18"/>
      <c r="E113" s="18"/>
      <c r="F113" s="18"/>
      <c r="G113" s="18"/>
      <c r="H113" s="18"/>
      <c r="I113" s="18"/>
      <c r="J113" s="18"/>
      <c r="K113" s="18"/>
      <c r="L113" s="20"/>
    </row>
    <row r="114">
      <c r="A114" s="22"/>
      <c r="B114" s="18"/>
      <c r="C114" s="19"/>
      <c r="D114" s="18"/>
      <c r="E114" s="18"/>
      <c r="F114" s="18"/>
      <c r="G114" s="18"/>
      <c r="H114" s="18"/>
      <c r="I114" s="18"/>
      <c r="J114" s="18"/>
      <c r="K114" s="18"/>
      <c r="L114" s="20"/>
    </row>
    <row r="115">
      <c r="A115" s="22"/>
      <c r="B115" s="18"/>
      <c r="C115" s="19"/>
      <c r="D115" s="18"/>
      <c r="E115" s="18"/>
      <c r="F115" s="18"/>
      <c r="G115" s="18"/>
      <c r="H115" s="18"/>
      <c r="I115" s="18"/>
      <c r="J115" s="18"/>
      <c r="K115" s="18"/>
      <c r="L115" s="20"/>
    </row>
    <row r="116">
      <c r="A116" s="22"/>
      <c r="B116" s="18"/>
      <c r="C116" s="19"/>
      <c r="D116" s="18"/>
      <c r="E116" s="18"/>
      <c r="F116" s="18"/>
      <c r="G116" s="18"/>
      <c r="H116" s="18"/>
      <c r="I116" s="18"/>
      <c r="J116" s="18"/>
      <c r="K116" s="18"/>
      <c r="L116" s="20"/>
    </row>
    <row r="117">
      <c r="A117" s="22"/>
      <c r="B117" s="18"/>
      <c r="C117" s="19"/>
      <c r="D117" s="18"/>
      <c r="E117" s="18"/>
      <c r="F117" s="18"/>
      <c r="G117" s="18"/>
      <c r="H117" s="18"/>
      <c r="I117" s="18"/>
      <c r="J117" s="18"/>
      <c r="K117" s="18"/>
      <c r="L117" s="20"/>
    </row>
    <row r="118">
      <c r="A118" s="22"/>
      <c r="B118" s="18"/>
      <c r="C118" s="19"/>
      <c r="D118" s="18"/>
      <c r="E118" s="18"/>
      <c r="F118" s="18"/>
      <c r="G118" s="18"/>
      <c r="H118" s="18"/>
      <c r="I118" s="18"/>
      <c r="J118" s="18"/>
      <c r="K118" s="18"/>
      <c r="L118" s="20"/>
    </row>
    <row r="119">
      <c r="A119" s="22"/>
      <c r="B119" s="18"/>
      <c r="C119" s="19"/>
      <c r="D119" s="18"/>
      <c r="E119" s="18"/>
      <c r="F119" s="18"/>
      <c r="G119" s="18"/>
      <c r="H119" s="18"/>
      <c r="I119" s="18"/>
      <c r="J119" s="18"/>
      <c r="K119" s="18"/>
      <c r="L119" s="20"/>
    </row>
    <row r="120">
      <c r="A120" s="22"/>
      <c r="B120" s="18"/>
      <c r="C120" s="19"/>
      <c r="D120" s="18"/>
      <c r="E120" s="18"/>
      <c r="F120" s="18"/>
      <c r="G120" s="18"/>
      <c r="H120" s="18"/>
      <c r="I120" s="18"/>
      <c r="J120" s="18"/>
      <c r="K120" s="18"/>
      <c r="L120" s="20"/>
    </row>
    <row r="121">
      <c r="A121" s="22"/>
      <c r="B121" s="18"/>
      <c r="C121" s="19"/>
      <c r="D121" s="18"/>
      <c r="E121" s="18"/>
      <c r="F121" s="18"/>
      <c r="G121" s="18"/>
      <c r="H121" s="18"/>
      <c r="I121" s="18"/>
      <c r="J121" s="18"/>
      <c r="K121" s="18"/>
      <c r="L121" s="20"/>
    </row>
    <row r="122">
      <c r="A122" s="22"/>
      <c r="B122" s="18"/>
      <c r="C122" s="19"/>
      <c r="D122" s="18"/>
      <c r="E122" s="18"/>
      <c r="F122" s="18"/>
      <c r="G122" s="18"/>
      <c r="H122" s="18"/>
      <c r="I122" s="18"/>
      <c r="J122" s="18"/>
      <c r="K122" s="18"/>
      <c r="L122" s="20"/>
    </row>
    <row r="123">
      <c r="A123" s="22"/>
      <c r="B123" s="18"/>
      <c r="C123" s="19"/>
      <c r="D123" s="18"/>
      <c r="E123" s="18"/>
      <c r="F123" s="18"/>
      <c r="G123" s="18"/>
      <c r="H123" s="18"/>
      <c r="I123" s="18"/>
      <c r="J123" s="18"/>
      <c r="K123" s="18"/>
      <c r="L123" s="20"/>
    </row>
    <row r="124">
      <c r="A124" s="22"/>
      <c r="B124" s="18"/>
      <c r="C124" s="19"/>
      <c r="D124" s="18"/>
      <c r="E124" s="18"/>
      <c r="F124" s="18"/>
      <c r="G124" s="18"/>
      <c r="H124" s="18"/>
      <c r="I124" s="18"/>
      <c r="J124" s="18"/>
      <c r="K124" s="18"/>
      <c r="L124" s="20"/>
    </row>
    <row r="125">
      <c r="A125" s="22"/>
      <c r="B125" s="18"/>
      <c r="C125" s="19"/>
      <c r="D125" s="18"/>
      <c r="E125" s="18"/>
      <c r="F125" s="18"/>
      <c r="G125" s="18"/>
      <c r="H125" s="18"/>
      <c r="I125" s="18"/>
      <c r="J125" s="18"/>
      <c r="K125" s="18"/>
      <c r="L125" s="20"/>
    </row>
    <row r="126">
      <c r="A126" s="22"/>
      <c r="B126" s="18"/>
      <c r="C126" s="19"/>
      <c r="D126" s="18"/>
      <c r="E126" s="18"/>
      <c r="F126" s="18"/>
      <c r="G126" s="18"/>
      <c r="H126" s="18"/>
      <c r="I126" s="18"/>
      <c r="J126" s="18"/>
      <c r="K126" s="18"/>
      <c r="L126" s="20"/>
    </row>
    <row r="127">
      <c r="A127" s="22"/>
      <c r="B127" s="18"/>
      <c r="C127" s="19"/>
      <c r="D127" s="18"/>
      <c r="E127" s="18"/>
      <c r="F127" s="18"/>
      <c r="G127" s="18"/>
      <c r="H127" s="18"/>
      <c r="I127" s="18"/>
      <c r="J127" s="18"/>
      <c r="K127" s="18"/>
      <c r="L127" s="20"/>
    </row>
    <row r="128">
      <c r="A128" s="22"/>
      <c r="B128" s="18"/>
      <c r="C128" s="19"/>
      <c r="D128" s="18"/>
      <c r="E128" s="18"/>
      <c r="F128" s="18"/>
      <c r="G128" s="18"/>
      <c r="H128" s="18"/>
      <c r="I128" s="18"/>
      <c r="J128" s="18"/>
      <c r="K128" s="18"/>
      <c r="L128" s="20"/>
    </row>
    <row r="129">
      <c r="A129" s="22"/>
      <c r="B129" s="18"/>
      <c r="C129" s="19"/>
      <c r="D129" s="18"/>
      <c r="E129" s="18"/>
      <c r="F129" s="18"/>
      <c r="G129" s="18"/>
      <c r="H129" s="18"/>
      <c r="I129" s="18"/>
      <c r="J129" s="18"/>
      <c r="K129" s="18"/>
      <c r="L129" s="20"/>
    </row>
    <row r="130">
      <c r="A130" s="22"/>
      <c r="B130" s="18"/>
      <c r="C130" s="19"/>
      <c r="D130" s="18"/>
      <c r="E130" s="18"/>
      <c r="F130" s="18"/>
      <c r="G130" s="18"/>
      <c r="H130" s="18"/>
      <c r="I130" s="18"/>
      <c r="J130" s="18"/>
      <c r="K130" s="18"/>
      <c r="L130" s="20"/>
    </row>
    <row r="131">
      <c r="A131" s="22"/>
      <c r="B131" s="18"/>
      <c r="C131" s="19"/>
      <c r="D131" s="18"/>
      <c r="E131" s="18"/>
      <c r="F131" s="18"/>
      <c r="G131" s="18"/>
      <c r="H131" s="18"/>
      <c r="I131" s="18"/>
      <c r="J131" s="18"/>
      <c r="K131" s="18"/>
      <c r="L131" s="20"/>
    </row>
    <row r="132">
      <c r="A132" s="22"/>
      <c r="B132" s="18"/>
      <c r="C132" s="19"/>
      <c r="D132" s="18"/>
      <c r="E132" s="18"/>
      <c r="F132" s="18"/>
      <c r="G132" s="18"/>
      <c r="H132" s="18"/>
      <c r="I132" s="18"/>
      <c r="J132" s="18"/>
      <c r="K132" s="18"/>
      <c r="L132" s="20"/>
    </row>
    <row r="133">
      <c r="A133" s="22"/>
      <c r="B133" s="18"/>
      <c r="C133" s="19"/>
      <c r="D133" s="18"/>
      <c r="E133" s="18"/>
      <c r="F133" s="18"/>
      <c r="G133" s="18"/>
      <c r="H133" s="18"/>
      <c r="I133" s="18"/>
      <c r="J133" s="18"/>
      <c r="K133" s="18"/>
      <c r="L133" s="20"/>
    </row>
    <row r="134">
      <c r="A134" s="22"/>
      <c r="B134" s="18"/>
      <c r="C134" s="19"/>
      <c r="D134" s="18"/>
      <c r="E134" s="18"/>
      <c r="F134" s="18"/>
      <c r="G134" s="18"/>
      <c r="H134" s="18"/>
      <c r="I134" s="18"/>
      <c r="J134" s="18"/>
      <c r="K134" s="18"/>
      <c r="L134" s="20"/>
    </row>
    <row r="135">
      <c r="A135" s="22"/>
      <c r="B135" s="18"/>
      <c r="C135" s="19"/>
      <c r="D135" s="18"/>
      <c r="E135" s="18"/>
      <c r="F135" s="18"/>
      <c r="G135" s="18"/>
      <c r="H135" s="18"/>
      <c r="I135" s="18"/>
      <c r="J135" s="18"/>
      <c r="K135" s="18"/>
      <c r="L135" s="20"/>
    </row>
    <row r="136">
      <c r="A136" s="22"/>
      <c r="B136" s="18"/>
      <c r="C136" s="19"/>
      <c r="D136" s="18"/>
      <c r="E136" s="18"/>
      <c r="F136" s="18"/>
      <c r="G136" s="18"/>
      <c r="H136" s="18"/>
      <c r="I136" s="18"/>
      <c r="J136" s="18"/>
      <c r="K136" s="18"/>
      <c r="L136" s="20"/>
    </row>
    <row r="137">
      <c r="A137" s="22"/>
      <c r="B137" s="18"/>
      <c r="C137" s="19"/>
      <c r="D137" s="18"/>
      <c r="E137" s="18"/>
      <c r="F137" s="18"/>
      <c r="G137" s="18"/>
      <c r="H137" s="18"/>
      <c r="I137" s="18"/>
      <c r="J137" s="18"/>
      <c r="K137" s="18"/>
      <c r="L137" s="20"/>
    </row>
    <row r="138">
      <c r="A138" s="22"/>
      <c r="B138" s="18"/>
      <c r="C138" s="19"/>
      <c r="D138" s="18"/>
      <c r="E138" s="18"/>
      <c r="F138" s="18"/>
      <c r="G138" s="18"/>
      <c r="H138" s="18"/>
      <c r="I138" s="18"/>
      <c r="J138" s="18"/>
      <c r="K138" s="18"/>
      <c r="L138" s="20"/>
    </row>
    <row r="139">
      <c r="A139" s="22"/>
      <c r="B139" s="18"/>
      <c r="C139" s="19"/>
      <c r="D139" s="18"/>
      <c r="E139" s="18"/>
      <c r="F139" s="18"/>
      <c r="G139" s="18"/>
      <c r="H139" s="18"/>
      <c r="I139" s="18"/>
      <c r="J139" s="18"/>
      <c r="K139" s="18"/>
      <c r="L139" s="20"/>
    </row>
    <row r="140">
      <c r="A140" s="22"/>
      <c r="B140" s="18"/>
      <c r="C140" s="19"/>
      <c r="D140" s="18"/>
      <c r="E140" s="18"/>
      <c r="F140" s="18"/>
      <c r="G140" s="18"/>
      <c r="H140" s="18"/>
      <c r="I140" s="18"/>
      <c r="J140" s="18"/>
      <c r="K140" s="18"/>
      <c r="L140" s="20"/>
    </row>
    <row r="141">
      <c r="A141" s="22"/>
      <c r="B141" s="18"/>
      <c r="C141" s="19"/>
      <c r="D141" s="18"/>
      <c r="E141" s="18"/>
      <c r="F141" s="18"/>
      <c r="G141" s="18"/>
      <c r="H141" s="18"/>
      <c r="I141" s="18"/>
      <c r="J141" s="18"/>
      <c r="K141" s="18"/>
      <c r="L141" s="20"/>
    </row>
    <row r="142">
      <c r="A142" s="22"/>
      <c r="B142" s="18"/>
      <c r="C142" s="19"/>
      <c r="D142" s="18"/>
      <c r="E142" s="18"/>
      <c r="F142" s="18"/>
      <c r="G142" s="18"/>
      <c r="H142" s="18"/>
      <c r="I142" s="18"/>
      <c r="J142" s="18"/>
      <c r="K142" s="18"/>
      <c r="L142" s="20"/>
    </row>
    <row r="143">
      <c r="A143" s="22"/>
      <c r="B143" s="18"/>
      <c r="C143" s="19"/>
      <c r="D143" s="18"/>
      <c r="E143" s="18"/>
      <c r="F143" s="18"/>
      <c r="G143" s="18"/>
      <c r="H143" s="18"/>
      <c r="I143" s="18"/>
      <c r="J143" s="18"/>
      <c r="K143" s="18"/>
      <c r="L143" s="20"/>
    </row>
    <row r="144">
      <c r="A144" s="22"/>
      <c r="B144" s="18"/>
      <c r="C144" s="19"/>
      <c r="D144" s="18"/>
      <c r="E144" s="18"/>
      <c r="F144" s="18"/>
      <c r="G144" s="18"/>
      <c r="H144" s="18"/>
      <c r="I144" s="18"/>
      <c r="J144" s="18"/>
      <c r="K144" s="18"/>
      <c r="L144" s="20"/>
    </row>
    <row r="145">
      <c r="A145" s="22"/>
      <c r="B145" s="18"/>
      <c r="C145" s="19"/>
      <c r="D145" s="18"/>
      <c r="E145" s="18"/>
      <c r="F145" s="18"/>
      <c r="G145" s="18"/>
      <c r="H145" s="18"/>
      <c r="I145" s="18"/>
      <c r="J145" s="18"/>
      <c r="K145" s="18"/>
      <c r="L145" s="20"/>
    </row>
    <row r="146">
      <c r="A146" s="22"/>
      <c r="B146" s="18"/>
      <c r="C146" s="19"/>
      <c r="D146" s="18"/>
      <c r="E146" s="18"/>
      <c r="F146" s="18"/>
      <c r="G146" s="18"/>
      <c r="H146" s="18"/>
      <c r="I146" s="18"/>
      <c r="J146" s="18"/>
      <c r="K146" s="18"/>
      <c r="L146" s="20"/>
    </row>
    <row r="147">
      <c r="A147" s="22"/>
      <c r="B147" s="18"/>
      <c r="C147" s="19"/>
      <c r="D147" s="18"/>
      <c r="E147" s="18"/>
      <c r="F147" s="18"/>
      <c r="G147" s="18"/>
      <c r="H147" s="18"/>
      <c r="I147" s="18"/>
      <c r="J147" s="18"/>
      <c r="K147" s="18"/>
      <c r="L147" s="20"/>
    </row>
    <row r="148">
      <c r="A148" s="22"/>
      <c r="B148" s="18"/>
      <c r="C148" s="19"/>
      <c r="D148" s="18"/>
      <c r="E148" s="18"/>
      <c r="F148" s="18"/>
      <c r="G148" s="18"/>
      <c r="H148" s="18"/>
      <c r="I148" s="18"/>
      <c r="J148" s="18"/>
      <c r="K148" s="18"/>
      <c r="L148" s="20"/>
    </row>
    <row r="149">
      <c r="A149" s="22"/>
      <c r="B149" s="18"/>
      <c r="C149" s="19"/>
      <c r="D149" s="18"/>
      <c r="E149" s="18"/>
      <c r="F149" s="18"/>
      <c r="G149" s="18"/>
      <c r="H149" s="18"/>
      <c r="I149" s="18"/>
      <c r="J149" s="18"/>
      <c r="K149" s="18"/>
      <c r="L149" s="20"/>
    </row>
    <row r="150">
      <c r="A150" s="22"/>
      <c r="B150" s="18"/>
      <c r="C150" s="19"/>
      <c r="D150" s="18"/>
      <c r="E150" s="18"/>
      <c r="F150" s="18"/>
      <c r="G150" s="18"/>
      <c r="H150" s="18"/>
      <c r="I150" s="18"/>
      <c r="J150" s="18"/>
      <c r="K150" s="18"/>
      <c r="L150" s="20"/>
    </row>
    <row r="151">
      <c r="A151" s="22"/>
      <c r="B151" s="18"/>
      <c r="C151" s="19"/>
      <c r="D151" s="18"/>
      <c r="E151" s="18"/>
      <c r="F151" s="18"/>
      <c r="G151" s="18"/>
      <c r="H151" s="18"/>
      <c r="I151" s="18"/>
      <c r="J151" s="18"/>
      <c r="K151" s="18"/>
      <c r="L151" s="20"/>
    </row>
    <row r="152">
      <c r="A152" s="22"/>
      <c r="B152" s="18"/>
      <c r="C152" s="19"/>
      <c r="D152" s="18"/>
      <c r="E152" s="18"/>
      <c r="F152" s="18"/>
      <c r="G152" s="18"/>
      <c r="H152" s="18"/>
      <c r="I152" s="18"/>
      <c r="J152" s="18"/>
      <c r="K152" s="18"/>
      <c r="L152" s="20"/>
    </row>
    <row r="153">
      <c r="A153" s="22"/>
      <c r="B153" s="18"/>
      <c r="C153" s="19"/>
      <c r="D153" s="18"/>
      <c r="E153" s="18"/>
      <c r="F153" s="18"/>
      <c r="G153" s="18"/>
      <c r="H153" s="18"/>
      <c r="I153" s="18"/>
      <c r="J153" s="18"/>
      <c r="K153" s="18"/>
      <c r="L153" s="20"/>
    </row>
    <row r="154">
      <c r="A154" s="22"/>
      <c r="B154" s="18"/>
      <c r="C154" s="19"/>
      <c r="D154" s="18"/>
      <c r="E154" s="18"/>
      <c r="F154" s="18"/>
      <c r="G154" s="18"/>
      <c r="H154" s="18"/>
      <c r="I154" s="18"/>
      <c r="J154" s="18"/>
      <c r="K154" s="18"/>
      <c r="L154" s="20"/>
    </row>
    <row r="155">
      <c r="A155" s="22"/>
      <c r="B155" s="18"/>
      <c r="C155" s="19"/>
      <c r="D155" s="18"/>
      <c r="E155" s="18"/>
      <c r="F155" s="18"/>
      <c r="G155" s="18"/>
      <c r="H155" s="18"/>
      <c r="I155" s="18"/>
      <c r="J155" s="18"/>
      <c r="K155" s="18"/>
      <c r="L155" s="20"/>
    </row>
    <row r="156">
      <c r="A156" s="22"/>
      <c r="B156" s="18"/>
      <c r="C156" s="19"/>
      <c r="D156" s="18"/>
      <c r="E156" s="18"/>
      <c r="F156" s="18"/>
      <c r="G156" s="18"/>
      <c r="H156" s="18"/>
      <c r="I156" s="18"/>
      <c r="J156" s="18"/>
      <c r="K156" s="18"/>
      <c r="L156" s="20"/>
    </row>
    <row r="157">
      <c r="A157" s="22"/>
      <c r="B157" s="18"/>
      <c r="C157" s="19"/>
      <c r="D157" s="18"/>
      <c r="E157" s="18"/>
      <c r="F157" s="18"/>
      <c r="G157" s="18"/>
      <c r="H157" s="18"/>
      <c r="I157" s="18"/>
      <c r="J157" s="18"/>
      <c r="K157" s="18"/>
      <c r="L157" s="20"/>
    </row>
    <row r="158">
      <c r="A158" s="22"/>
      <c r="B158" s="18"/>
      <c r="C158" s="19"/>
      <c r="D158" s="18"/>
      <c r="E158" s="18"/>
      <c r="F158" s="18"/>
      <c r="G158" s="18"/>
      <c r="H158" s="18"/>
      <c r="I158" s="18"/>
      <c r="J158" s="18"/>
      <c r="K158" s="18"/>
      <c r="L158" s="20"/>
    </row>
    <row r="159">
      <c r="A159" s="22"/>
      <c r="B159" s="18"/>
      <c r="C159" s="19"/>
      <c r="D159" s="18"/>
      <c r="E159" s="18"/>
      <c r="F159" s="18"/>
      <c r="G159" s="18"/>
      <c r="H159" s="18"/>
      <c r="I159" s="18"/>
      <c r="J159" s="18"/>
      <c r="K159" s="18"/>
      <c r="L159" s="20"/>
    </row>
    <row r="160">
      <c r="A160" s="22"/>
      <c r="B160" s="18"/>
      <c r="C160" s="19"/>
      <c r="D160" s="18"/>
      <c r="E160" s="18"/>
      <c r="F160" s="18"/>
      <c r="G160" s="18"/>
      <c r="H160" s="18"/>
      <c r="I160" s="18"/>
      <c r="J160" s="18"/>
      <c r="K160" s="18"/>
      <c r="L160" s="20"/>
    </row>
    <row r="161">
      <c r="A161" s="22"/>
      <c r="B161" s="18"/>
      <c r="C161" s="19"/>
      <c r="D161" s="18"/>
      <c r="E161" s="18"/>
      <c r="F161" s="18"/>
      <c r="G161" s="18"/>
      <c r="H161" s="18"/>
      <c r="I161" s="18"/>
      <c r="J161" s="18"/>
      <c r="K161" s="18"/>
      <c r="L161" s="20"/>
    </row>
    <row r="162">
      <c r="A162" s="22"/>
      <c r="B162" s="18"/>
      <c r="C162" s="19"/>
      <c r="D162" s="18"/>
      <c r="E162" s="18"/>
      <c r="F162" s="18"/>
      <c r="G162" s="18"/>
      <c r="H162" s="18"/>
      <c r="I162" s="18"/>
      <c r="J162" s="18"/>
      <c r="K162" s="18"/>
      <c r="L162" s="20"/>
    </row>
    <row r="163">
      <c r="A163" s="22"/>
      <c r="B163" s="18"/>
      <c r="C163" s="19"/>
      <c r="D163" s="18"/>
      <c r="E163" s="18"/>
      <c r="F163" s="18"/>
      <c r="G163" s="18"/>
      <c r="H163" s="18"/>
      <c r="I163" s="18"/>
      <c r="J163" s="18"/>
      <c r="K163" s="18"/>
      <c r="L163" s="20"/>
    </row>
    <row r="164">
      <c r="A164" s="22"/>
      <c r="B164" s="18"/>
      <c r="C164" s="19"/>
      <c r="D164" s="18"/>
      <c r="E164" s="18"/>
      <c r="F164" s="18"/>
      <c r="G164" s="18"/>
      <c r="H164" s="18"/>
      <c r="I164" s="18"/>
      <c r="J164" s="18"/>
      <c r="K164" s="18"/>
      <c r="L164" s="20"/>
    </row>
    <row r="165">
      <c r="A165" s="22"/>
      <c r="B165" s="18"/>
      <c r="C165" s="19"/>
      <c r="D165" s="18"/>
      <c r="E165" s="18"/>
      <c r="F165" s="18"/>
      <c r="G165" s="18"/>
      <c r="H165" s="18"/>
      <c r="I165" s="18"/>
      <c r="J165" s="18"/>
      <c r="K165" s="18"/>
      <c r="L165" s="20"/>
    </row>
    <row r="166">
      <c r="A166" s="22"/>
      <c r="B166" s="18"/>
      <c r="C166" s="19"/>
      <c r="D166" s="18"/>
      <c r="E166" s="18"/>
      <c r="F166" s="18"/>
      <c r="G166" s="18"/>
      <c r="H166" s="18"/>
      <c r="I166" s="18"/>
      <c r="J166" s="18"/>
      <c r="K166" s="18"/>
      <c r="L166" s="20"/>
    </row>
    <row r="167">
      <c r="A167" s="22"/>
      <c r="B167" s="18"/>
      <c r="C167" s="19"/>
      <c r="D167" s="18"/>
      <c r="E167" s="18"/>
      <c r="F167" s="18"/>
      <c r="G167" s="18"/>
      <c r="H167" s="18"/>
      <c r="I167" s="18"/>
      <c r="J167" s="18"/>
      <c r="K167" s="18"/>
      <c r="L167" s="20"/>
    </row>
  </sheetData>
  <mergeCells count="181">
    <mergeCell ref="L96:P96"/>
    <mergeCell ref="L97:P97"/>
    <mergeCell ref="L98:P98"/>
    <mergeCell ref="L99:P99"/>
    <mergeCell ref="L100:P100"/>
    <mergeCell ref="L101:P101"/>
    <mergeCell ref="L102:P102"/>
    <mergeCell ref="L103:P103"/>
    <mergeCell ref="L104:P104"/>
    <mergeCell ref="L105:P105"/>
    <mergeCell ref="L106:P106"/>
    <mergeCell ref="L107:P107"/>
    <mergeCell ref="L108:P108"/>
    <mergeCell ref="L109:P109"/>
    <mergeCell ref="L110:P110"/>
    <mergeCell ref="L111:P111"/>
    <mergeCell ref="L112:P112"/>
    <mergeCell ref="L113:P113"/>
    <mergeCell ref="L114:P114"/>
    <mergeCell ref="L115:P115"/>
    <mergeCell ref="L116:P116"/>
    <mergeCell ref="L117:P117"/>
    <mergeCell ref="L118:P118"/>
    <mergeCell ref="L119:P119"/>
    <mergeCell ref="L120:P120"/>
    <mergeCell ref="L121:P121"/>
    <mergeCell ref="L122:P122"/>
    <mergeCell ref="L123:P123"/>
    <mergeCell ref="L124:P124"/>
    <mergeCell ref="L125:P125"/>
    <mergeCell ref="L126:P126"/>
    <mergeCell ref="L127:P127"/>
    <mergeCell ref="L128:P128"/>
    <mergeCell ref="L129:P129"/>
    <mergeCell ref="L130:P130"/>
    <mergeCell ref="L131:P131"/>
    <mergeCell ref="L132:P132"/>
    <mergeCell ref="L133:P133"/>
    <mergeCell ref="L134:P134"/>
    <mergeCell ref="L135:P135"/>
    <mergeCell ref="L136:P136"/>
    <mergeCell ref="L137:P137"/>
    <mergeCell ref="L138:P138"/>
    <mergeCell ref="L139:P139"/>
    <mergeCell ref="L140:P140"/>
    <mergeCell ref="L141:P141"/>
    <mergeCell ref="L142:P142"/>
    <mergeCell ref="L143:P143"/>
    <mergeCell ref="L144:P144"/>
    <mergeCell ref="L145:P145"/>
    <mergeCell ref="L146:P146"/>
    <mergeCell ref="L147:P147"/>
    <mergeCell ref="L148:P148"/>
    <mergeCell ref="L149:P149"/>
    <mergeCell ref="L150:P150"/>
    <mergeCell ref="L151:P151"/>
    <mergeCell ref="L3:P4"/>
    <mergeCell ref="L5:P5"/>
    <mergeCell ref="L166:P166"/>
    <mergeCell ref="L167:P167"/>
    <mergeCell ref="D1:D2"/>
    <mergeCell ref="E1:I1"/>
    <mergeCell ref="J1:J2"/>
    <mergeCell ref="K1:P2"/>
    <mergeCell ref="R1:S1"/>
    <mergeCell ref="Q2:Z167"/>
    <mergeCell ref="D3:D4"/>
    <mergeCell ref="L152:P152"/>
    <mergeCell ref="L153:P153"/>
    <mergeCell ref="L154:P154"/>
    <mergeCell ref="L155:P155"/>
    <mergeCell ref="L156:P156"/>
    <mergeCell ref="L157:P157"/>
    <mergeCell ref="L158:P158"/>
    <mergeCell ref="L159:P159"/>
    <mergeCell ref="L160:P160"/>
    <mergeCell ref="L161:P161"/>
    <mergeCell ref="L162:P162"/>
    <mergeCell ref="L163:P163"/>
    <mergeCell ref="L164:P164"/>
    <mergeCell ref="L165:P165"/>
    <mergeCell ref="A1:C2"/>
    <mergeCell ref="A3:A4"/>
    <mergeCell ref="B3:B4"/>
    <mergeCell ref="C3:C4"/>
    <mergeCell ref="E2:I2"/>
    <mergeCell ref="E3:G3"/>
    <mergeCell ref="H3:H4"/>
    <mergeCell ref="I3:I4"/>
    <mergeCell ref="J3:J4"/>
    <mergeCell ref="K3:K4"/>
    <mergeCell ref="L6:P6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18:P18"/>
    <mergeCell ref="L19:P19"/>
    <mergeCell ref="L20:P20"/>
    <mergeCell ref="L21:P21"/>
    <mergeCell ref="L22:P22"/>
    <mergeCell ref="L23:P23"/>
    <mergeCell ref="L24:P24"/>
    <mergeCell ref="L25:P25"/>
    <mergeCell ref="L26:P26"/>
    <mergeCell ref="L27:P27"/>
    <mergeCell ref="L28:P28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0:P40"/>
    <mergeCell ref="L41:P41"/>
    <mergeCell ref="L42:P42"/>
    <mergeCell ref="L43:P43"/>
    <mergeCell ref="L44:P44"/>
    <mergeCell ref="L45:P45"/>
    <mergeCell ref="L46:P46"/>
    <mergeCell ref="L47:P47"/>
    <mergeCell ref="L48:P48"/>
    <mergeCell ref="L49:P49"/>
    <mergeCell ref="L50:P50"/>
    <mergeCell ref="L51:P51"/>
    <mergeCell ref="L52:P52"/>
    <mergeCell ref="L53:P53"/>
    <mergeCell ref="L54:P54"/>
    <mergeCell ref="L55:P55"/>
    <mergeCell ref="L56:P56"/>
    <mergeCell ref="L57:P57"/>
    <mergeCell ref="L58:P58"/>
    <mergeCell ref="L59:P59"/>
    <mergeCell ref="L60:P60"/>
    <mergeCell ref="L61:P61"/>
    <mergeCell ref="L62:P62"/>
    <mergeCell ref="L63:P63"/>
    <mergeCell ref="L64:P64"/>
    <mergeCell ref="L65:P65"/>
    <mergeCell ref="L66:P66"/>
    <mergeCell ref="L67:P67"/>
    <mergeCell ref="L68:P68"/>
    <mergeCell ref="L69:P69"/>
    <mergeCell ref="L70:P70"/>
    <mergeCell ref="L71:P71"/>
    <mergeCell ref="L72:P72"/>
    <mergeCell ref="L73:P73"/>
    <mergeCell ref="L74:P74"/>
    <mergeCell ref="L75:P75"/>
    <mergeCell ref="L76:P76"/>
    <mergeCell ref="L77:P77"/>
    <mergeCell ref="L78:P78"/>
    <mergeCell ref="L79:P79"/>
    <mergeCell ref="L80:P80"/>
    <mergeCell ref="L81:P81"/>
    <mergeCell ref="L82:P82"/>
    <mergeCell ref="L83:P83"/>
    <mergeCell ref="L84:P84"/>
    <mergeCell ref="L85:P85"/>
    <mergeCell ref="L86:P86"/>
    <mergeCell ref="L87:P87"/>
    <mergeCell ref="L88:P88"/>
    <mergeCell ref="L89:P89"/>
    <mergeCell ref="L90:P90"/>
    <mergeCell ref="L91:P91"/>
    <mergeCell ref="L92:P92"/>
    <mergeCell ref="L93:P93"/>
    <mergeCell ref="L94:P94"/>
    <mergeCell ref="L95:P95"/>
  </mergeCells>
  <conditionalFormatting sqref="J5:K167">
    <cfRule type="containsText" dxfId="9" priority="1" operator="containsText" text="Blue">
      <formula>NOT(ISERROR(SEARCH(("Blue"),(J5))))</formula>
    </cfRule>
  </conditionalFormatting>
  <conditionalFormatting sqref="J5:K167">
    <cfRule type="containsText" dxfId="10" priority="2" operator="containsText" text="Green">
      <formula>NOT(ISERROR(SEARCH(("Green"),(J5))))</formula>
    </cfRule>
  </conditionalFormatting>
  <conditionalFormatting sqref="J5:K167">
    <cfRule type="containsText" dxfId="11" priority="3" operator="containsText" text="Black">
      <formula>NOT(ISERROR(SEARCH(("Black"),(J5))))</formula>
    </cfRule>
  </conditionalFormatting>
  <conditionalFormatting sqref="J5:K167">
    <cfRule type="containsText" dxfId="12" priority="4" operator="containsText" text="Red">
      <formula>NOT(ISERROR(SEARCH(("Red"),(J5))))</formula>
    </cfRule>
  </conditionalFormatting>
  <conditionalFormatting sqref="J5:K167">
    <cfRule type="containsText" dxfId="13" priority="5" operator="containsText" text="44CE">
      <formula>NOT(ISERROR(SEARCH(("44CE"),(J5))))</formula>
    </cfRule>
  </conditionalFormatting>
  <conditionalFormatting sqref="H5:H136">
    <cfRule type="containsText" dxfId="0" priority="6" operator="containsText" text="Copper">
      <formula>NOT(ISERROR(SEARCH(("Copper"),(H5))))</formula>
    </cfRule>
  </conditionalFormatting>
  <conditionalFormatting sqref="H5:H136">
    <cfRule type="containsText" dxfId="1" priority="7" operator="containsText" text="Wood">
      <formula>NOT(ISERROR(SEARCH(("Wood"),(H5))))</formula>
    </cfRule>
  </conditionalFormatting>
  <conditionalFormatting sqref="H5:H136">
    <cfRule type="containsText" dxfId="2" priority="8" operator="containsText" text="Fiber">
      <formula>NOT(ISERROR(SEARCH(("Fiber"),(H5))))</formula>
    </cfRule>
  </conditionalFormatting>
  <conditionalFormatting sqref="H5:H136">
    <cfRule type="containsText" dxfId="3" priority="9" operator="containsText" text="Oil">
      <formula>NOT(ISERROR(SEARCH(("Oil"),(H5))))</formula>
    </cfRule>
  </conditionalFormatting>
  <conditionalFormatting sqref="H5:H136">
    <cfRule type="containsText" dxfId="4" priority="10" operator="containsText" text="Aluminum">
      <formula>NOT(ISERROR(SEARCH(("Aluminum"),(H5))))</formula>
    </cfRule>
  </conditionalFormatting>
  <conditionalFormatting sqref="H5:H136">
    <cfRule type="containsText" dxfId="5" priority="11" operator="containsText" text="Iron">
      <formula>NOT(ISERROR(SEARCH(("Iron"),(H5))))</formula>
    </cfRule>
  </conditionalFormatting>
  <conditionalFormatting sqref="H5:H136">
    <cfRule type="containsText" dxfId="6" priority="12" operator="containsText" text="All">
      <formula>NOT(ISERROR(SEARCH(("All"),(H5))))</formula>
    </cfRule>
  </conditionalFormatting>
  <conditionalFormatting sqref="H5:H136">
    <cfRule type="containsText" dxfId="7" priority="13" operator="containsText" text="×">
      <formula>NOT(ISERROR(SEARCH(("×"),(H5))))</formula>
    </cfRule>
  </conditionalFormatting>
  <conditionalFormatting sqref="E5:G167">
    <cfRule type="notContainsBlanks" dxfId="14" priority="14">
      <formula>LEN(TRIM(E5))&gt;0</formula>
    </cfRule>
  </conditionalFormatting>
  <conditionalFormatting sqref="I5:I167">
    <cfRule type="notContainsBlanks" dxfId="13" priority="15">
      <formula>LEN(TRIM(I5))&gt;0</formula>
    </cfRule>
  </conditionalFormatting>
  <conditionalFormatting sqref="A5:P167">
    <cfRule type="expression" dxfId="15" priority="16">
      <formula>$D5="Divider"</formula>
    </cfRule>
  </conditionalFormatting>
  <conditionalFormatting sqref="A5:P167">
    <cfRule type="expression" dxfId="16" priority="17">
      <formula>$D5="44CE"</formula>
    </cfRule>
  </conditionalFormatting>
  <conditionalFormatting sqref="A5:P167">
    <cfRule type="expression" dxfId="18" priority="18">
      <formula>AND($B5=1,isblank($D5))</formula>
    </cfRule>
  </conditionalFormatting>
  <conditionalFormatting sqref="A5:P167">
    <cfRule type="expression" dxfId="19" priority="19">
      <formula>AND($B5=2,isblank($D5))</formula>
    </cfRule>
  </conditionalFormatting>
  <conditionalFormatting sqref="A5:P167">
    <cfRule type="expression" dxfId="20" priority="20">
      <formula>AND($B5=3,isblank($D5))</formula>
    </cfRule>
  </conditionalFormatting>
  <conditionalFormatting sqref="A5:P167">
    <cfRule type="expression" dxfId="18" priority="21">
      <formula>AND($B5=4,isblank($D5))</formula>
    </cfRule>
  </conditionalFormatting>
  <conditionalFormatting sqref="A5:P167">
    <cfRule type="expression" dxfId="21" priority="22">
      <formula>AND($B5=5,isblank($D5))</formula>
    </cfRule>
  </conditionalFormatting>
  <conditionalFormatting sqref="A5:P167">
    <cfRule type="expression" dxfId="18" priority="23">
      <formula>AND($B5=6,isblank($D5))</formula>
    </cfRule>
  </conditionalFormatting>
  <conditionalFormatting sqref="A5:P167">
    <cfRule type="expression" dxfId="20" priority="24">
      <formula>AND($B5=7,isblank($D5))</formula>
    </cfRule>
  </conditionalFormatting>
  <conditionalFormatting sqref="A5:P167">
    <cfRule type="expression" dxfId="8" priority="25">
      <formula>not(isblank($B5))</formula>
    </cfRule>
  </conditionalFormatting>
  <conditionalFormatting sqref="A5:P167">
    <cfRule type="expression" dxfId="17" priority="26">
      <formula>$D5="M"</formula>
    </cfRule>
  </conditionalFormatting>
  <conditionalFormatting sqref="H5:H136">
    <cfRule type="expression" dxfId="8" priority="27">
      <formula>not(isblank($B5))</formula>
    </cfRule>
  </conditionalFormatting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hidden="1" min="2" max="2" width="2.86"/>
    <col customWidth="1" min="3" max="3" width="14.43"/>
    <col customWidth="1" hidden="1" min="4" max="4" width="6.0"/>
    <col customWidth="1" min="5" max="5" width="2.57"/>
    <col customWidth="1" min="6" max="6" width="11.43"/>
    <col customWidth="1" min="7" max="7" width="4.43"/>
    <col customWidth="1" min="8" max="8" width="7.0"/>
    <col customWidth="1" min="14" max="14" width="5.14"/>
  </cols>
  <sheetData>
    <row r="1">
      <c r="A1" s="42" t="s">
        <v>23</v>
      </c>
      <c r="I1" s="5" t="s">
        <v>2</v>
      </c>
      <c r="J1" s="43" t="s">
        <v>24</v>
      </c>
      <c r="O1" s="7" t="s">
        <v>3</v>
      </c>
      <c r="P1" s="44" t="s">
        <v>25</v>
      </c>
    </row>
    <row r="2">
      <c r="A2" s="45" t="s">
        <v>26</v>
      </c>
      <c r="O2" s="9" t="str">
        <f>IMAGE($P$1,4,1100,1200)</f>
        <v/>
      </c>
    </row>
    <row r="3">
      <c r="A3" s="10" t="s">
        <v>4</v>
      </c>
      <c r="B3" s="10" t="s">
        <v>5</v>
      </c>
      <c r="C3" s="10" t="s">
        <v>6</v>
      </c>
      <c r="D3" s="10" t="s">
        <v>7</v>
      </c>
      <c r="E3" s="10" t="s">
        <v>16</v>
      </c>
      <c r="F3" s="10" t="s">
        <v>9</v>
      </c>
      <c r="G3" s="12" t="s">
        <v>10</v>
      </c>
      <c r="H3" s="46" t="s">
        <v>27</v>
      </c>
      <c r="I3" s="15" t="s">
        <v>13</v>
      </c>
    </row>
    <row r="4"/>
    <row r="5">
      <c r="A5" s="47">
        <f>IFERROR(__xludf.DUMMYFUNCTION("QUERY(Floor_data!$A$2:$L$34,""select A,B,C,D,G,H,I,K,L where B=B"")"),51.0)</f>
        <v>51</v>
      </c>
      <c r="B5" t="str">
        <f>IFERROR(__xludf.DUMMYFUNCTION("""COMPUTED_VALUE"""),"B")</f>
        <v>B</v>
      </c>
      <c r="C5" s="47" t="str">
        <f>IFERROR(__xludf.DUMMYFUNCTION("""COMPUTED_VALUE"""),"Tengokumon")</f>
        <v>Tengokumon</v>
      </c>
      <c r="D5" s="48" t="str">
        <f>IFERROR(__xludf.DUMMYFUNCTION("""COMPUTED_VALUE"""),"M")</f>
        <v>M</v>
      </c>
      <c r="E5" s="48"/>
      <c r="F5" s="48" t="str">
        <f>IFERROR(__xludf.DUMMYFUNCTION("""COMPUTED_VALUE"""),"×")</f>
        <v>×</v>
      </c>
      <c r="G5" s="48"/>
      <c r="H5" s="48"/>
      <c r="I5" s="49" t="str">
        <f>IFERROR(__xludf.DUMMYFUNCTION("""COMPUTED_VALUE"""),"Final Elevator. Gate to TENGOKU is locked until your inventory is 5 items or less (7 with Express).")</f>
        <v>Final Elevator. Gate to TENGOKU is locked until your inventory is 5 items or less (7 with Express).</v>
      </c>
    </row>
    <row r="6">
      <c r="A6" s="47">
        <f>IFERROR(__xludf.DUMMYFUNCTION("""COMPUTED_VALUE"""),50.0)</f>
        <v>50</v>
      </c>
      <c r="B6" t="str">
        <f>IFERROR(__xludf.DUMMYFUNCTION("""COMPUTED_VALUE"""),"B")</f>
        <v>B</v>
      </c>
      <c r="C6" s="47" t="str">
        <f>IFERROR(__xludf.DUMMYFUNCTION("""COMPUTED_VALUE"""),"Naka-Wara")</f>
        <v>Naka-Wara</v>
      </c>
      <c r="D6" s="48"/>
      <c r="E6" s="48" t="str">
        <f>IFERROR(__xludf.DUMMYFUNCTION("""COMPUTED_VALUE"""),"●")</f>
        <v>●</v>
      </c>
      <c r="F6" s="48" t="str">
        <f>IFERROR(__xludf.DUMMYFUNCTION("""COMPUTED_VALUE"""),"Copper")</f>
        <v>Copper</v>
      </c>
      <c r="G6" s="48"/>
      <c r="H6" s="48" t="str">
        <f>IFERROR(__xludf.DUMMYFUNCTION("""COMPUTED_VALUE"""),"Purple")</f>
        <v>Purple</v>
      </c>
      <c r="I6" s="50" t="str">
        <f>IFERROR(__xludf.DUMMYFUNCTION("""COMPUTED_VALUE"""),"Treasure Room. Chest has a Purple, Red or Black Metal. Leads to 51F Tengokumon.")</f>
        <v>Treasure Room. Chest has a Purple, Red or Black Metal. Leads to 51F Tengokumon.</v>
      </c>
    </row>
    <row r="7">
      <c r="A7" s="47">
        <f>IFERROR(__xludf.DUMMYFUNCTION("""COMPUTED_VALUE"""),49.0)</f>
        <v>49</v>
      </c>
      <c r="B7" t="str">
        <f>IFERROR(__xludf.DUMMYFUNCTION("""COMPUTED_VALUE"""),"B")</f>
        <v>B</v>
      </c>
      <c r="C7" s="47" t="str">
        <f>IFERROR(__xludf.DUMMYFUNCTION("""COMPUTED_VALUE"""),"Neri")</f>
        <v>Neri</v>
      </c>
      <c r="D7" s="48"/>
      <c r="E7" s="48"/>
      <c r="F7" s="48" t="str">
        <f>IFERROR(__xludf.DUMMYFUNCTION("""COMPUTED_VALUE"""),"Fiber")</f>
        <v>Fiber</v>
      </c>
      <c r="G7" s="48"/>
      <c r="H7" s="48" t="str">
        <f>IFERROR(__xludf.DUMMYFUNCTION("""COMPUTED_VALUE"""),"Purple")</f>
        <v>Purple</v>
      </c>
      <c r="I7" s="50" t="str">
        <f>IFERROR(__xludf.DUMMYFUNCTION("""COMPUTED_VALUE"""),"Treasure Room. Returns you to the Waiting Room. Chest has a Purple, Red or Black Metal.")</f>
        <v>Treasure Room. Returns you to the Waiting Room. Chest has a Purple, Red or Black Metal.</v>
      </c>
    </row>
    <row r="8">
      <c r="A8" s="47">
        <f>IFERROR(__xludf.DUMMYFUNCTION("""COMPUTED_VALUE"""),49.0)</f>
        <v>49</v>
      </c>
      <c r="B8" t="str">
        <f>IFERROR(__xludf.DUMMYFUNCTION("""COMPUTED_VALUE"""),"B")</f>
        <v>B</v>
      </c>
      <c r="C8" s="47" t="str">
        <f>IFERROR(__xludf.DUMMYFUNCTION("""COMPUTED_VALUE"""),"Nerikou")</f>
        <v>Nerikou</v>
      </c>
      <c r="D8" s="48"/>
      <c r="E8" s="48" t="str">
        <f>IFERROR(__xludf.DUMMYFUNCTION("""COMPUTED_VALUE"""),"●")</f>
        <v>●</v>
      </c>
      <c r="F8" s="48" t="str">
        <f>IFERROR(__xludf.DUMMYFUNCTION("""COMPUTED_VALUE"""),"Iron")</f>
        <v>Iron</v>
      </c>
      <c r="G8" s="48"/>
      <c r="H8" s="48"/>
      <c r="I8" s="50"/>
    </row>
    <row r="9">
      <c r="A9" s="47">
        <f>IFERROR(__xludf.DUMMYFUNCTION("""COMPUTED_VALUE"""),49.0)</f>
        <v>49</v>
      </c>
      <c r="B9" t="str">
        <f>IFERROR(__xludf.DUMMYFUNCTION("""COMPUTED_VALUE"""),"B")</f>
        <v>B</v>
      </c>
      <c r="C9" s="47" t="str">
        <f>IFERROR(__xludf.DUMMYFUNCTION("""COMPUTED_VALUE"""),"Fuwa")</f>
        <v>Fuwa</v>
      </c>
      <c r="D9" s="48"/>
      <c r="E9" s="48"/>
      <c r="F9" s="48" t="str">
        <f>IFERROR(__xludf.DUMMYFUNCTION("""COMPUTED_VALUE"""),"Oil")</f>
        <v>Oil</v>
      </c>
      <c r="G9" s="48"/>
      <c r="H9" s="48" t="str">
        <f>IFERROR(__xludf.DUMMYFUNCTION("""COMPUTED_VALUE"""),"Purple")</f>
        <v>Purple</v>
      </c>
      <c r="I9" s="50" t="str">
        <f>IFERROR(__xludf.DUMMYFUNCTION("""COMPUTED_VALUE"""),"Treasure Room. Returns you to the Waiting Room. Chest has a Purple, Red or Black Metal.")</f>
        <v>Treasure Room. Returns you to the Waiting Room. Chest has a Purple, Red or Black Metal.</v>
      </c>
    </row>
    <row r="10">
      <c r="A10" s="47">
        <f>IFERROR(__xludf.DUMMYFUNCTION("""COMPUTED_VALUE"""),48.0)</f>
        <v>48</v>
      </c>
      <c r="B10" t="str">
        <f>IFERROR(__xludf.DUMMYFUNCTION("""COMPUTED_VALUE"""),"B")</f>
        <v>B</v>
      </c>
      <c r="C10" s="47" t="str">
        <f>IFERROR(__xludf.DUMMYFUNCTION("""COMPUTED_VALUE"""),"Jusenju")</f>
        <v>Jusenju</v>
      </c>
      <c r="D10" s="48"/>
      <c r="E10" s="48"/>
      <c r="F10" s="48" t="str">
        <f>IFERROR(__xludf.DUMMYFUNCTION("""COMPUTED_VALUE"""),"Aluminum")</f>
        <v>Aluminum</v>
      </c>
      <c r="G10" s="48"/>
      <c r="H10" s="48" t="str">
        <f>IFERROR(__xludf.DUMMYFUNCTION("""COMPUTED_VALUE"""),"Purple")</f>
        <v>Purple</v>
      </c>
      <c r="I10" s="50" t="str">
        <f>IFERROR(__xludf.DUMMYFUNCTION("""COMPUTED_VALUE"""),"Treasure Room. Returns you to the Waiting Room. Chest has a Purple, Red or Black Metal.")</f>
        <v>Treasure Room. Returns you to the Waiting Room. Chest has a Purple, Red or Black Metal.</v>
      </c>
    </row>
    <row r="11">
      <c r="A11" s="47">
        <f>IFERROR(__xludf.DUMMYFUNCTION("""COMPUTED_VALUE"""),48.0)</f>
        <v>48</v>
      </c>
      <c r="B11" t="str">
        <f>IFERROR(__xludf.DUMMYFUNCTION("""COMPUTED_VALUE"""),"B")</f>
        <v>B</v>
      </c>
      <c r="C11" s="47" t="str">
        <f>IFERROR(__xludf.DUMMYFUNCTION("""COMPUTED_VALUE"""),"Hibaki")</f>
        <v>Hibaki</v>
      </c>
      <c r="D11" s="48"/>
      <c r="E11" s="48" t="str">
        <f>IFERROR(__xludf.DUMMYFUNCTION("""COMPUTED_VALUE"""),"●")</f>
        <v>●</v>
      </c>
      <c r="F11" s="51" t="str">
        <f>IFERROR(__xludf.DUMMYFUNCTION("""COMPUTED_VALUE"""),"All")</f>
        <v>All</v>
      </c>
      <c r="G11" s="48" t="str">
        <f>IFERROR(__xludf.DUMMYFUNCTION("""COMPUTED_VALUE"""),"C")</f>
        <v>C</v>
      </c>
      <c r="H11" s="48"/>
      <c r="I11" s="50" t="str">
        <f>IFERROR(__xludf.DUMMYFUNCTION("""COMPUTED_VALUE"""),"Chokufunsha, or the rare Tree floor, can appear.")</f>
        <v>Chokufunsha, or the rare Tree floor, can appear.</v>
      </c>
    </row>
    <row r="12">
      <c r="A12" s="47">
        <f>IFERROR(__xludf.DUMMYFUNCTION("""COMPUTED_VALUE"""),48.0)</f>
        <v>48</v>
      </c>
      <c r="B12" t="str">
        <f>IFERROR(__xludf.DUMMYFUNCTION("""COMPUTED_VALUE"""),"B")</f>
        <v>B</v>
      </c>
      <c r="C12" s="47" t="str">
        <f>IFERROR(__xludf.DUMMYFUNCTION("""COMPUTED_VALUE"""),"Tatsumanu")</f>
        <v>Tatsumanu</v>
      </c>
      <c r="D12" s="48"/>
      <c r="E12" s="48"/>
      <c r="F12" s="51" t="str">
        <f>IFERROR(__xludf.DUMMYFUNCTION("""COMPUTED_VALUE"""),"All")</f>
        <v>All</v>
      </c>
      <c r="G12" s="51" t="str">
        <f>IFERROR(__xludf.DUMMYFUNCTION("""COMPUTED_VALUE"""),"C")</f>
        <v>C</v>
      </c>
      <c r="H12" s="51"/>
      <c r="I12" s="50" t="str">
        <f>IFERROR(__xludf.DUMMYFUNCTION("""COMPUTED_VALUE"""),"Chokufunsha, or the rare Tree floor, can appear.")</f>
        <v>Chokufunsha, or the rare Tree floor, can appear.</v>
      </c>
    </row>
    <row r="13">
      <c r="A13" s="47">
        <f>IFERROR(__xludf.DUMMYFUNCTION("""COMPUTED_VALUE"""),48.0)</f>
        <v>48</v>
      </c>
      <c r="B13" t="str">
        <f>IFERROR(__xludf.DUMMYFUNCTION("""COMPUTED_VALUE"""),"B")</f>
        <v>B</v>
      </c>
      <c r="C13" s="47" t="str">
        <f>IFERROR(__xludf.DUMMYFUNCTION("""COMPUTED_VALUE"""),"Chiko-Matsu")</f>
        <v>Chiko-Matsu</v>
      </c>
      <c r="D13" s="48"/>
      <c r="E13" s="48"/>
      <c r="F13" s="48" t="str">
        <f>IFERROR(__xludf.DUMMYFUNCTION("""COMPUTED_VALUE"""),"Aluminum")</f>
        <v>Aluminum</v>
      </c>
      <c r="G13" s="48"/>
      <c r="H13" s="48"/>
      <c r="I13" s="50"/>
    </row>
    <row r="14">
      <c r="A14" s="47">
        <f>IFERROR(__xludf.DUMMYFUNCTION("""COMPUTED_VALUE"""),48.0)</f>
        <v>48</v>
      </c>
      <c r="B14" t="str">
        <f>IFERROR(__xludf.DUMMYFUNCTION("""COMPUTED_VALUE"""),"B")</f>
        <v>B</v>
      </c>
      <c r="C14" s="47" t="str">
        <f>IFERROR(__xludf.DUMMYFUNCTION("""COMPUTED_VALUE"""),"Kibarase")</f>
        <v>Kibarase</v>
      </c>
      <c r="D14" s="48"/>
      <c r="E14" s="48"/>
      <c r="F14" s="48" t="str">
        <f>IFERROR(__xludf.DUMMYFUNCTION("""COMPUTED_VALUE"""),"Wood")</f>
        <v>Wood</v>
      </c>
      <c r="G14" s="48"/>
      <c r="H14" s="48" t="str">
        <f>IFERROR(__xludf.DUMMYFUNCTION("""COMPUTED_VALUE"""),"Purple")</f>
        <v>Purple</v>
      </c>
      <c r="I14" s="50" t="str">
        <f>IFERROR(__xludf.DUMMYFUNCTION("""COMPUTED_VALUE"""),"Treasure Room. Returns you to the Waiting Room. Chest has a Purple, Red or Black Metal.")</f>
        <v>Treasure Room. Returns you to the Waiting Room. Chest has a Purple, Red or Black Metal.</v>
      </c>
    </row>
    <row r="15">
      <c r="A15" s="47">
        <f>IFERROR(__xludf.DUMMYFUNCTION("""COMPUTED_VALUE"""),47.0)</f>
        <v>47</v>
      </c>
      <c r="B15" t="str">
        <f>IFERROR(__xludf.DUMMYFUNCTION("""COMPUTED_VALUE"""),"B")</f>
        <v>B</v>
      </c>
      <c r="C15" s="47" t="str">
        <f>IFERROR(__xludf.DUMMYFUNCTION("""COMPUTED_VALUE"""),"Koumin")</f>
        <v>Koumin</v>
      </c>
      <c r="D15" s="48"/>
      <c r="E15" s="48" t="str">
        <f>IFERROR(__xludf.DUMMYFUNCTION("""COMPUTED_VALUE"""),"●")</f>
        <v>●</v>
      </c>
      <c r="F15" s="48" t="str">
        <f>IFERROR(__xludf.DUMMYFUNCTION("""COMPUTED_VALUE"""),"Wood")</f>
        <v>Wood</v>
      </c>
      <c r="G15" s="48" t="str">
        <f>IFERROR(__xludf.DUMMYFUNCTION("""COMPUTED_VALUE"""),"C")</f>
        <v>C</v>
      </c>
      <c r="H15" s="48"/>
      <c r="I15" s="50" t="str">
        <f>IFERROR(__xludf.DUMMYFUNCTION("""COMPUTED_VALUE"""),"Chokufunsha, or the rare Tree floor, can appear.")</f>
        <v>Chokufunsha, or the rare Tree floor, can appear.</v>
      </c>
    </row>
    <row r="16">
      <c r="A16" s="47">
        <f>IFERROR(__xludf.DUMMYFUNCTION("""COMPUTED_VALUE"""),47.0)</f>
        <v>47</v>
      </c>
      <c r="B16" t="str">
        <f>IFERROR(__xludf.DUMMYFUNCTION("""COMPUTED_VALUE"""),"B")</f>
        <v>B</v>
      </c>
      <c r="C16" s="47" t="str">
        <f>IFERROR(__xludf.DUMMYFUNCTION("""COMPUTED_VALUE"""),"Arataden")</f>
        <v>Arataden</v>
      </c>
      <c r="D16" s="48"/>
      <c r="E16" s="48"/>
      <c r="F16" s="48" t="str">
        <f>IFERROR(__xludf.DUMMYFUNCTION("""COMPUTED_VALUE"""),"Copper")</f>
        <v>Copper</v>
      </c>
      <c r="G16" s="48" t="str">
        <f>IFERROR(__xludf.DUMMYFUNCTION("""COMPUTED_VALUE"""),"C")</f>
        <v>C</v>
      </c>
      <c r="H16" s="48"/>
      <c r="I16" s="50" t="str">
        <f>IFERROR(__xludf.DUMMYFUNCTION("""COMPUTED_VALUE"""),"Chokufunsha, or the rare Tree floor, can appear.")</f>
        <v>Chokufunsha, or the rare Tree floor, can appear.</v>
      </c>
    </row>
    <row r="17">
      <c r="A17" s="47">
        <f>IFERROR(__xludf.DUMMYFUNCTION("""COMPUTED_VALUE"""),47.0)</f>
        <v>47</v>
      </c>
      <c r="B17" t="str">
        <f>IFERROR(__xludf.DUMMYFUNCTION("""COMPUTED_VALUE"""),"B")</f>
        <v>B</v>
      </c>
      <c r="C17" s="47" t="str">
        <f>IFERROR(__xludf.DUMMYFUNCTION("""COMPUTED_VALUE"""),"Samino")</f>
        <v>Samino</v>
      </c>
      <c r="D17" s="48"/>
      <c r="E17" s="48"/>
      <c r="F17" s="48" t="str">
        <f>IFERROR(__xludf.DUMMYFUNCTION("""COMPUTED_VALUE"""),"Aluminum")</f>
        <v>Aluminum</v>
      </c>
      <c r="G17" s="51"/>
      <c r="H17" s="51" t="str">
        <f>IFERROR(__xludf.DUMMYFUNCTION("""COMPUTED_VALUE"""),"Purple")</f>
        <v>Purple</v>
      </c>
      <c r="I17" s="50" t="str">
        <f>IFERROR(__xludf.DUMMYFUNCTION("""COMPUTED_VALUE"""),"Treasure Room. Returns you to the Waiting Room. Chest has a Purple, Red or Black Metal.")</f>
        <v>Treasure Room. Returns you to the Waiting Room. Chest has a Purple, Red or Black Metal.</v>
      </c>
    </row>
    <row r="18">
      <c r="A18" s="47">
        <f>IFERROR(__xludf.DUMMYFUNCTION("""COMPUTED_VALUE"""),47.0)</f>
        <v>47</v>
      </c>
      <c r="B18" t="str">
        <f>IFERROR(__xludf.DUMMYFUNCTION("""COMPUTED_VALUE"""),"B")</f>
        <v>B</v>
      </c>
      <c r="C18" s="47" t="str">
        <f>IFERROR(__xludf.DUMMYFUNCTION("""COMPUTED_VALUE"""),"Hama-Nushika")</f>
        <v>Hama-Nushika</v>
      </c>
      <c r="D18" s="48"/>
      <c r="E18" s="48"/>
      <c r="F18" s="48" t="str">
        <f>IFERROR(__xludf.DUMMYFUNCTION("""COMPUTED_VALUE"""),"Copper")</f>
        <v>Copper</v>
      </c>
      <c r="G18" s="51"/>
      <c r="H18" s="51"/>
      <c r="I18" s="50"/>
    </row>
    <row r="19">
      <c r="A19" s="47">
        <f>IFERROR(__xludf.DUMMYFUNCTION("""COMPUTED_VALUE"""),47.0)</f>
        <v>47</v>
      </c>
      <c r="B19" t="str">
        <f>IFERROR(__xludf.DUMMYFUNCTION("""COMPUTED_VALUE"""),"B")</f>
        <v>B</v>
      </c>
      <c r="C19" s="47" t="str">
        <f>IFERROR(__xludf.DUMMYFUNCTION("""COMPUTED_VALUE"""),"Sara-Mannu")</f>
        <v>Sara-Mannu</v>
      </c>
      <c r="D19" s="48"/>
      <c r="E19" s="48"/>
      <c r="F19" s="48" t="str">
        <f>IFERROR(__xludf.DUMMYFUNCTION("""COMPUTED_VALUE"""),"Wood")</f>
        <v>Wood</v>
      </c>
      <c r="G19" s="48"/>
      <c r="H19" s="48"/>
      <c r="I19" s="50"/>
    </row>
    <row r="20">
      <c r="A20" s="47">
        <f>IFERROR(__xludf.DUMMYFUNCTION("""COMPUTED_VALUE"""),46.0)</f>
        <v>46</v>
      </c>
      <c r="B20" t="str">
        <f>IFERROR(__xludf.DUMMYFUNCTION("""COMPUTED_VALUE"""),"B")</f>
        <v>B</v>
      </c>
      <c r="C20" s="47" t="str">
        <f>IFERROR(__xludf.DUMMYFUNCTION("""COMPUTED_VALUE"""),"Furujiya")</f>
        <v>Furujiya</v>
      </c>
      <c r="D20" s="48"/>
      <c r="E20" s="48"/>
      <c r="F20" s="48" t="str">
        <f>IFERROR(__xludf.DUMMYFUNCTION("""COMPUTED_VALUE"""),"Aluminum")</f>
        <v>Aluminum</v>
      </c>
      <c r="G20" s="51" t="str">
        <f>IFERROR(__xludf.DUMMYFUNCTION("""COMPUTED_VALUE"""),"C")</f>
        <v>C</v>
      </c>
      <c r="H20" s="51"/>
      <c r="I20" s="50" t="str">
        <f>IFERROR(__xludf.DUMMYFUNCTION("""COMPUTED_VALUE"""),"Chokufunsha, or the rare Tree floor, can appear.")</f>
        <v>Chokufunsha, or the rare Tree floor, can appear.</v>
      </c>
    </row>
    <row r="21">
      <c r="A21" s="47">
        <f>IFERROR(__xludf.DUMMYFUNCTION("""COMPUTED_VALUE"""),46.0)</f>
        <v>46</v>
      </c>
      <c r="B21" t="str">
        <f>IFERROR(__xludf.DUMMYFUNCTION("""COMPUTED_VALUE"""),"B")</f>
        <v>B</v>
      </c>
      <c r="C21" s="47" t="str">
        <f>IFERROR(__xludf.DUMMYFUNCTION("""COMPUTED_VALUE"""),"Mohokou")</f>
        <v>Mohokou</v>
      </c>
      <c r="D21" s="48"/>
      <c r="E21" s="48"/>
      <c r="F21" s="48" t="str">
        <f>IFERROR(__xludf.DUMMYFUNCTION("""COMPUTED_VALUE"""),"Fiber")</f>
        <v>Fiber</v>
      </c>
      <c r="G21" s="51" t="str">
        <f>IFERROR(__xludf.DUMMYFUNCTION("""COMPUTED_VALUE"""),"C")</f>
        <v>C</v>
      </c>
      <c r="H21" s="51"/>
      <c r="I21" s="50" t="str">
        <f>IFERROR(__xludf.DUMMYFUNCTION("""COMPUTED_VALUE"""),"Chokufunsha, or the rare Tree floor, can appear.")</f>
        <v>Chokufunsha, or the rare Tree floor, can appear.</v>
      </c>
    </row>
    <row r="22">
      <c r="A22" s="47">
        <f>IFERROR(__xludf.DUMMYFUNCTION("""COMPUTED_VALUE"""),46.0)</f>
        <v>46</v>
      </c>
      <c r="B22" t="str">
        <f>IFERROR(__xludf.DUMMYFUNCTION("""COMPUTED_VALUE"""),"B")</f>
        <v>B</v>
      </c>
      <c r="C22" s="47" t="str">
        <f>IFERROR(__xludf.DUMMYFUNCTION("""COMPUTED_VALUE"""),"Koutou")</f>
        <v>Koutou</v>
      </c>
      <c r="D22" s="48"/>
      <c r="E22" s="48"/>
      <c r="F22" s="48" t="str">
        <f>IFERROR(__xludf.DUMMYFUNCTION("""COMPUTED_VALUE"""),"Aluminum")</f>
        <v>Aluminum</v>
      </c>
      <c r="G22" s="48"/>
      <c r="H22" s="48"/>
      <c r="I22" s="50"/>
    </row>
    <row r="23">
      <c r="A23" s="47">
        <f>IFERROR(__xludf.DUMMYFUNCTION("""COMPUTED_VALUE"""),46.0)</f>
        <v>46</v>
      </c>
      <c r="B23" t="str">
        <f>IFERROR(__xludf.DUMMYFUNCTION("""COMPUTED_VALUE"""),"B")</f>
        <v>B</v>
      </c>
      <c r="C23" s="47" t="str">
        <f>IFERROR(__xludf.DUMMYFUNCTION("""COMPUTED_VALUE"""),"Kurihari")</f>
        <v>Kurihari</v>
      </c>
      <c r="D23" s="48"/>
      <c r="E23" s="48"/>
      <c r="F23" s="48" t="str">
        <f>IFERROR(__xludf.DUMMYFUNCTION("""COMPUTED_VALUE"""),"Wood")</f>
        <v>Wood</v>
      </c>
      <c r="G23" s="51" t="str">
        <f>IFERROR(__xludf.DUMMYFUNCTION("""COMPUTED_VALUE"""),"C")</f>
        <v>C</v>
      </c>
      <c r="H23" s="51"/>
      <c r="I23" s="50" t="str">
        <f>IFERROR(__xludf.DUMMYFUNCTION("""COMPUTED_VALUE"""),"Chokufunsha, or the rare Tree floor, can appear.")</f>
        <v>Chokufunsha, or the rare Tree floor, can appear.</v>
      </c>
    </row>
    <row r="24">
      <c r="A24" s="47">
        <f>IFERROR(__xludf.DUMMYFUNCTION("""COMPUTED_VALUE"""),46.0)</f>
        <v>46</v>
      </c>
      <c r="B24" t="str">
        <f>IFERROR(__xludf.DUMMYFUNCTION("""COMPUTED_VALUE"""),"B")</f>
        <v>B</v>
      </c>
      <c r="C24" s="47" t="str">
        <f>IFERROR(__xludf.DUMMYFUNCTION("""COMPUTED_VALUE"""),"Takaihe")</f>
        <v>Takaihe</v>
      </c>
      <c r="D24" s="48"/>
      <c r="E24" s="48" t="str">
        <f>IFERROR(__xludf.DUMMYFUNCTION("""COMPUTED_VALUE"""),"●")</f>
        <v>●</v>
      </c>
      <c r="F24" s="48" t="str">
        <f>IFERROR(__xludf.DUMMYFUNCTION("""COMPUTED_VALUE"""),"Oil")</f>
        <v>Oil</v>
      </c>
      <c r="G24" s="51" t="str">
        <f>IFERROR(__xludf.DUMMYFUNCTION("""COMPUTED_VALUE"""),"C")</f>
        <v>C</v>
      </c>
      <c r="H24" s="51"/>
      <c r="I24" s="50" t="str">
        <f>IFERROR(__xludf.DUMMYFUNCTION("""COMPUTED_VALUE"""),"Chokufunsha, or the rare Tree floor, can appear.")</f>
        <v>Chokufunsha, or the rare Tree floor, can appear.</v>
      </c>
    </row>
    <row r="25">
      <c r="A25" s="47">
        <f>IFERROR(__xludf.DUMMYFUNCTION("""COMPUTED_VALUE"""),46.0)</f>
        <v>46</v>
      </c>
      <c r="B25" t="str">
        <f>IFERROR(__xludf.DUMMYFUNCTION("""COMPUTED_VALUE"""),"B")</f>
        <v>B</v>
      </c>
      <c r="C25" s="47" t="str">
        <f>IFERROR(__xludf.DUMMYFUNCTION("""COMPUTED_VALUE"""),"Tahei")</f>
        <v>Tahei</v>
      </c>
      <c r="D25" s="48"/>
      <c r="E25" s="48"/>
      <c r="F25" s="48" t="str">
        <f>IFERROR(__xludf.DUMMYFUNCTION("""COMPUTED_VALUE"""),"Iron")</f>
        <v>Iron</v>
      </c>
      <c r="G25" s="48"/>
      <c r="H25" s="48" t="str">
        <f>IFERROR(__xludf.DUMMYFUNCTION("""COMPUTED_VALUE"""),"Purple")</f>
        <v>Purple</v>
      </c>
      <c r="I25" s="50" t="str">
        <f>IFERROR(__xludf.DUMMYFUNCTION("""COMPUTED_VALUE"""),"Treasure Room. Returns you to the Waiting Room. Chest has a Purple, Red or Black Metal.")</f>
        <v>Treasure Room. Returns you to the Waiting Room. Chest has a Purple, Red or Black Metal.</v>
      </c>
    </row>
    <row r="26">
      <c r="A26" s="47">
        <f>IFERROR(__xludf.DUMMYFUNCTION("""COMPUTED_VALUE"""),45.0)</f>
        <v>45</v>
      </c>
      <c r="B26" t="str">
        <f>IFERROR(__xludf.DUMMYFUNCTION("""COMPUTED_VALUE"""),"B")</f>
        <v>B</v>
      </c>
      <c r="C26" s="47" t="str">
        <f>IFERROR(__xludf.DUMMYFUNCTION("""COMPUTED_VALUE"""),"Otatai")</f>
        <v>Otatai</v>
      </c>
      <c r="D26" s="48"/>
      <c r="E26" s="48"/>
      <c r="F26" s="51" t="str">
        <f>IFERROR(__xludf.DUMMYFUNCTION("""COMPUTED_VALUE"""),"Fiber")</f>
        <v>Fiber</v>
      </c>
      <c r="G26" s="48"/>
      <c r="H26" s="48"/>
      <c r="I26" s="50"/>
    </row>
    <row r="27">
      <c r="A27" s="47">
        <f>IFERROR(__xludf.DUMMYFUNCTION("""COMPUTED_VALUE"""),45.0)</f>
        <v>45</v>
      </c>
      <c r="B27" t="str">
        <f>IFERROR(__xludf.DUMMYFUNCTION("""COMPUTED_VALUE"""),"B")</f>
        <v>B</v>
      </c>
      <c r="C27" s="47" t="str">
        <f>IFERROR(__xludf.DUMMYFUNCTION("""COMPUTED_VALUE"""),"Giou")</f>
        <v>Giou</v>
      </c>
      <c r="D27" s="48"/>
      <c r="E27" s="48"/>
      <c r="F27" s="48" t="str">
        <f>IFERROR(__xludf.DUMMYFUNCTION("""COMPUTED_VALUE"""),"Iron")</f>
        <v>Iron</v>
      </c>
      <c r="G27" s="48"/>
      <c r="H27" s="48" t="str">
        <f>IFERROR(__xludf.DUMMYFUNCTION("""COMPUTED_VALUE"""),"Purple")</f>
        <v>Purple</v>
      </c>
      <c r="I27" s="50" t="str">
        <f>IFERROR(__xludf.DUMMYFUNCTION("""COMPUTED_VALUE"""),"Treasure Room. Returns you to the Waiting Room. Chest has a Purple, Red or Black Metal.")</f>
        <v>Treasure Room. Returns you to the Waiting Room. Chest has a Purple, Red or Black Metal.</v>
      </c>
    </row>
    <row r="28">
      <c r="A28" s="47">
        <f>IFERROR(__xludf.DUMMYFUNCTION("""COMPUTED_VALUE"""),45.0)</f>
        <v>45</v>
      </c>
      <c r="B28" t="str">
        <f>IFERROR(__xludf.DUMMYFUNCTION("""COMPUTED_VALUE"""),"B")</f>
        <v>B</v>
      </c>
      <c r="C28" s="47" t="str">
        <f>IFERROR(__xludf.DUMMYFUNCTION("""COMPUTED_VALUE"""),"Kino")</f>
        <v>Kino</v>
      </c>
      <c r="D28" s="48"/>
      <c r="E28" s="48" t="str">
        <f>IFERROR(__xludf.DUMMYFUNCTION("""COMPUTED_VALUE"""),"●")</f>
        <v>●</v>
      </c>
      <c r="F28" s="48" t="str">
        <f>IFERROR(__xludf.DUMMYFUNCTION("""COMPUTED_VALUE"""),"Iron")</f>
        <v>Iron</v>
      </c>
      <c r="G28" s="48"/>
      <c r="H28" s="48"/>
      <c r="I28" s="50"/>
    </row>
    <row r="29">
      <c r="A29" s="47">
        <f>IFERROR(__xludf.DUMMYFUNCTION("""COMPUTED_VALUE"""),45.0)</f>
        <v>45</v>
      </c>
      <c r="B29" t="str">
        <f>IFERROR(__xludf.DUMMYFUNCTION("""COMPUTED_VALUE"""),"B")</f>
        <v>B</v>
      </c>
      <c r="C29" s="47" t="str">
        <f>IFERROR(__xludf.DUMMYFUNCTION("""COMPUTED_VALUE"""),"Doame")</f>
        <v>Doame</v>
      </c>
      <c r="D29" s="48"/>
      <c r="E29" s="48"/>
      <c r="F29" s="48" t="str">
        <f>IFERROR(__xludf.DUMMYFUNCTION("""COMPUTED_VALUE"""),"All")</f>
        <v>All</v>
      </c>
      <c r="G29" s="48"/>
      <c r="H29" s="48" t="str">
        <f>IFERROR(__xludf.DUMMYFUNCTION("""COMPUTED_VALUE"""),"Purple")</f>
        <v>Purple</v>
      </c>
      <c r="I29" s="50" t="str">
        <f>IFERROR(__xludf.DUMMYFUNCTION("""COMPUTED_VALUE"""),"Treasure Room. Returns you to the Waiting Room. Chest has a Purple, Red or Black Metal.")</f>
        <v>Treasure Room. Returns you to the Waiting Room. Chest has a Purple, Red or Black Metal.</v>
      </c>
    </row>
    <row r="30">
      <c r="A30" s="47">
        <f>IFERROR(__xludf.DUMMYFUNCTION("""COMPUTED_VALUE"""),45.0)</f>
        <v>45</v>
      </c>
      <c r="B30" t="str">
        <f>IFERROR(__xludf.DUMMYFUNCTION("""COMPUTED_VALUE"""),"B")</f>
        <v>B</v>
      </c>
      <c r="C30" s="47" t="str">
        <f>IFERROR(__xludf.DUMMYFUNCTION("""COMPUTED_VALUE"""),"Otaya")</f>
        <v>Otaya</v>
      </c>
      <c r="D30" s="48"/>
      <c r="E30" s="48"/>
      <c r="F30" s="48" t="str">
        <f>IFERROR(__xludf.DUMMYFUNCTION("""COMPUTED_VALUE"""),"Iron")</f>
        <v>Iron</v>
      </c>
      <c r="G30" s="51"/>
      <c r="H30" s="51"/>
      <c r="I30" s="50"/>
    </row>
    <row r="31">
      <c r="A31" s="47">
        <f>IFERROR(__xludf.DUMMYFUNCTION("""COMPUTED_VALUE"""),44.0)</f>
        <v>44</v>
      </c>
      <c r="B31" t="str">
        <f>IFERROR(__xludf.DUMMYFUNCTION("""COMPUTED_VALUE"""),"B")</f>
        <v>B</v>
      </c>
      <c r="C31" s="47" t="str">
        <f>IFERROR(__xludf.DUMMYFUNCTION("""COMPUTED_VALUE"""),"Shujima")</f>
        <v>Shujima</v>
      </c>
      <c r="D31" s="48"/>
      <c r="E31" s="48" t="str">
        <f>IFERROR(__xludf.DUMMYFUNCTION("""COMPUTED_VALUE"""),"●")</f>
        <v>●</v>
      </c>
      <c r="F31" s="51" t="str">
        <f>IFERROR(__xludf.DUMMYFUNCTION("""COMPUTED_VALUE"""),"Aluminum")</f>
        <v>Aluminum</v>
      </c>
      <c r="G31" s="48"/>
      <c r="H31" s="48"/>
      <c r="I31" s="50"/>
    </row>
    <row r="32">
      <c r="A32" s="47">
        <f>IFERROR(__xludf.DUMMYFUNCTION("""COMPUTED_VALUE"""),44.0)</f>
        <v>44</v>
      </c>
      <c r="B32" t="str">
        <f>IFERROR(__xludf.DUMMYFUNCTION("""COMPUTED_VALUE"""),"B")</f>
        <v>B</v>
      </c>
      <c r="C32" s="47" t="str">
        <f>IFERROR(__xludf.DUMMYFUNCTION("""COMPUTED_VALUE"""),"Mayari")</f>
        <v>Mayari</v>
      </c>
      <c r="D32" s="48"/>
      <c r="E32" s="48"/>
      <c r="F32" s="48" t="str">
        <f>IFERROR(__xludf.DUMMYFUNCTION("""COMPUTED_VALUE"""),"All")</f>
        <v>All</v>
      </c>
      <c r="G32" s="48"/>
      <c r="H32" s="48"/>
      <c r="I32" s="50"/>
    </row>
    <row r="33">
      <c r="A33" s="47">
        <f>IFERROR(__xludf.DUMMYFUNCTION("""COMPUTED_VALUE"""),44.0)</f>
        <v>44</v>
      </c>
      <c r="B33" t="str">
        <f>IFERROR(__xludf.DUMMYFUNCTION("""COMPUTED_VALUE"""),"B")</f>
        <v>B</v>
      </c>
      <c r="C33" s="47" t="str">
        <f>IFERROR(__xludf.DUMMYFUNCTION("""COMPUTED_VALUE"""),"Iroka")</f>
        <v>Iroka</v>
      </c>
      <c r="D33" s="48"/>
      <c r="E33" s="48"/>
      <c r="F33" s="48" t="str">
        <f>IFERROR(__xludf.DUMMYFUNCTION("""COMPUTED_VALUE"""),"Fiber")</f>
        <v>Fiber</v>
      </c>
      <c r="G33" s="51" t="str">
        <f>IFERROR(__xludf.DUMMYFUNCTION("""COMPUTED_VALUE"""),"C")</f>
        <v>C</v>
      </c>
      <c r="H33" s="51"/>
      <c r="I33" s="50" t="str">
        <f>IFERROR(__xludf.DUMMYFUNCTION("""COMPUTED_VALUE"""),"Chokufunsha, or the rare Tree floor, can appear.")</f>
        <v>Chokufunsha, or the rare Tree floor, can appear.</v>
      </c>
    </row>
    <row r="34">
      <c r="A34" s="47">
        <f>IFERROR(__xludf.DUMMYFUNCTION("""COMPUTED_VALUE"""),43.0)</f>
        <v>43</v>
      </c>
      <c r="B34" t="str">
        <f>IFERROR(__xludf.DUMMYFUNCTION("""COMPUTED_VALUE"""),"B")</f>
        <v>B</v>
      </c>
      <c r="C34" s="47" t="str">
        <f>IFERROR(__xludf.DUMMYFUNCTION("""COMPUTED_VALUE"""),"Soku")</f>
        <v>Soku</v>
      </c>
      <c r="D34" s="48"/>
      <c r="E34" s="48"/>
      <c r="F34" s="48" t="str">
        <f>IFERROR(__xludf.DUMMYFUNCTION("""COMPUTED_VALUE"""),"Fiber")</f>
        <v>Fiber</v>
      </c>
      <c r="G34" s="48"/>
      <c r="H34" s="48"/>
      <c r="I34" s="50"/>
    </row>
    <row r="35">
      <c r="A35" s="47">
        <f>IFERROR(__xludf.DUMMYFUNCTION("""COMPUTED_VALUE"""),43.0)</f>
        <v>43</v>
      </c>
      <c r="B35" t="str">
        <f>IFERROR(__xludf.DUMMYFUNCTION("""COMPUTED_VALUE"""),"B")</f>
        <v>B</v>
      </c>
      <c r="C35" s="47" t="str">
        <f>IFERROR(__xludf.DUMMYFUNCTION("""COMPUTED_VALUE"""),"Seya")</f>
        <v>Seya</v>
      </c>
      <c r="D35" s="48"/>
      <c r="E35" s="48" t="str">
        <f>IFERROR(__xludf.DUMMYFUNCTION("""COMPUTED_VALUE"""),"●")</f>
        <v>●</v>
      </c>
      <c r="F35" s="51" t="str">
        <f>IFERROR(__xludf.DUMMYFUNCTION("""COMPUTED_VALUE"""),"Aluminum")</f>
        <v>Aluminum</v>
      </c>
      <c r="G35" s="48" t="str">
        <f>IFERROR(__xludf.DUMMYFUNCTION("""COMPUTED_VALUE"""),"C")</f>
        <v>C</v>
      </c>
      <c r="H35" s="48"/>
      <c r="I35" s="50" t="str">
        <f>IFERROR(__xludf.DUMMYFUNCTION("""COMPUTED_VALUE"""),"Chokufunsha, or the rare Tree floor, can appear.")</f>
        <v>Chokufunsha, or the rare Tree floor, can appear.</v>
      </c>
    </row>
    <row r="36">
      <c r="A36" s="47">
        <f>IFERROR(__xludf.DUMMYFUNCTION("""COMPUTED_VALUE"""),42.0)</f>
        <v>42</v>
      </c>
      <c r="B36" t="str">
        <f>IFERROR(__xludf.DUMMYFUNCTION("""COMPUTED_VALUE"""),"B")</f>
        <v>B</v>
      </c>
      <c r="C36" s="47" t="str">
        <f>IFERROR(__xludf.DUMMYFUNCTION("""COMPUTED_VALUE"""),"Wadachi")</f>
        <v>Wadachi</v>
      </c>
      <c r="D36" s="48"/>
      <c r="E36" s="48" t="str">
        <f>IFERROR(__xludf.DUMMYFUNCTION("""COMPUTED_VALUE"""),"●")</f>
        <v>●</v>
      </c>
      <c r="F36" s="51" t="str">
        <f>IFERROR(__xludf.DUMMYFUNCTION("""COMPUTED_VALUE"""),"All")</f>
        <v>All</v>
      </c>
      <c r="G36" s="48"/>
      <c r="H36" s="48"/>
      <c r="I36" s="50"/>
    </row>
    <row r="37">
      <c r="A37" s="47">
        <f>IFERROR(__xludf.DUMMYFUNCTION("""COMPUTED_VALUE"""),41.0)</f>
        <v>41</v>
      </c>
      <c r="B37" t="str">
        <f>IFERROR(__xludf.DUMMYFUNCTION("""COMPUTED_VALUE"""),"B")</f>
        <v>B</v>
      </c>
      <c r="C37" s="47" t="str">
        <f>IFERROR(__xludf.DUMMYFUNCTION("""COMPUTED_VALUE"""),"Su-Oi")</f>
        <v>Su-Oi</v>
      </c>
      <c r="D37" s="48" t="str">
        <f>IFERROR(__xludf.DUMMYFUNCTION("""COMPUTED_VALUE"""),"M")</f>
        <v>M</v>
      </c>
      <c r="E37" s="48" t="str">
        <f>IFERROR(__xludf.DUMMYFUNCTION("""COMPUTED_VALUE"""),"●")</f>
        <v>●</v>
      </c>
      <c r="F37" s="51" t="str">
        <f>IFERROR(__xludf.DUMMYFUNCTION("""COMPUTED_VALUE"""),"×")</f>
        <v>×</v>
      </c>
      <c r="G37" s="48"/>
      <c r="H37" s="48"/>
      <c r="I37" s="50" t="str">
        <f>IFERROR(__xludf.DUMMYFUNCTION("""COMPUTED_VALUE"""),"Gate is locked until your inventory is 5 items or less (7 with Express).")</f>
        <v>Gate is locked until your inventory is 5 items or less (7 with Express).</v>
      </c>
    </row>
  </sheetData>
  <mergeCells count="48">
    <mergeCell ref="B3:B4"/>
    <mergeCell ref="C3:C4"/>
    <mergeCell ref="D3:D4"/>
    <mergeCell ref="E3:E4"/>
    <mergeCell ref="F3:F4"/>
    <mergeCell ref="G3:G4"/>
    <mergeCell ref="I5:N5"/>
    <mergeCell ref="I6:N6"/>
    <mergeCell ref="I7:N7"/>
    <mergeCell ref="I8:N8"/>
    <mergeCell ref="I9:N9"/>
    <mergeCell ref="I10:N10"/>
    <mergeCell ref="I11:N11"/>
    <mergeCell ref="I12:N12"/>
    <mergeCell ref="H3:H4"/>
    <mergeCell ref="I3:N4"/>
    <mergeCell ref="I27:N27"/>
    <mergeCell ref="I28:N28"/>
    <mergeCell ref="I29:N29"/>
    <mergeCell ref="I30:N30"/>
    <mergeCell ref="I31:N31"/>
    <mergeCell ref="I32:N32"/>
    <mergeCell ref="I33:N33"/>
    <mergeCell ref="I34:N34"/>
    <mergeCell ref="I35:N35"/>
    <mergeCell ref="I36:N36"/>
    <mergeCell ref="A1:H1"/>
    <mergeCell ref="I1:I2"/>
    <mergeCell ref="J1:N2"/>
    <mergeCell ref="P1:Q1"/>
    <mergeCell ref="A2:H2"/>
    <mergeCell ref="O2:Z54"/>
    <mergeCell ref="A3:A4"/>
    <mergeCell ref="I37:N37"/>
    <mergeCell ref="I13:N13"/>
    <mergeCell ref="I14:N14"/>
    <mergeCell ref="I15:N15"/>
    <mergeCell ref="I16:N16"/>
    <mergeCell ref="I17:N17"/>
    <mergeCell ref="I18:N18"/>
    <mergeCell ref="I19:N19"/>
    <mergeCell ref="I20:N20"/>
    <mergeCell ref="I21:N21"/>
    <mergeCell ref="I22:N22"/>
    <mergeCell ref="I23:N23"/>
    <mergeCell ref="I24:N24"/>
    <mergeCell ref="I25:N25"/>
    <mergeCell ref="I26:N26"/>
  </mergeCells>
  <conditionalFormatting sqref="F5:F37">
    <cfRule type="containsText" dxfId="0" priority="1" operator="containsText" text="Copper">
      <formula>NOT(ISERROR(SEARCH(("Copper"),(F5))))</formula>
    </cfRule>
  </conditionalFormatting>
  <conditionalFormatting sqref="F5:F37">
    <cfRule type="containsText" dxfId="1" priority="2" operator="containsText" text="Wood">
      <formula>NOT(ISERROR(SEARCH(("Wood"),(F5))))</formula>
    </cfRule>
  </conditionalFormatting>
  <conditionalFormatting sqref="F5:F37">
    <cfRule type="containsText" dxfId="2" priority="3" operator="containsText" text="Fiber">
      <formula>NOT(ISERROR(SEARCH(("Fiber"),(F5))))</formula>
    </cfRule>
  </conditionalFormatting>
  <conditionalFormatting sqref="F5:F37">
    <cfRule type="containsText" dxfId="3" priority="4" operator="containsText" text="Oil">
      <formula>NOT(ISERROR(SEARCH(("Oil"),(F5))))</formula>
    </cfRule>
  </conditionalFormatting>
  <conditionalFormatting sqref="F5:F37">
    <cfRule type="containsText" dxfId="4" priority="5" operator="containsText" text="Aluminum">
      <formula>NOT(ISERROR(SEARCH(("Aluminum"),(F5))))</formula>
    </cfRule>
  </conditionalFormatting>
  <conditionalFormatting sqref="F5:F37">
    <cfRule type="containsText" dxfId="5" priority="6" operator="containsText" text="Iron">
      <formula>NOT(ISERROR(SEARCH(("Iron"),(F5))))</formula>
    </cfRule>
  </conditionalFormatting>
  <conditionalFormatting sqref="F5:F37">
    <cfRule type="containsText" dxfId="6" priority="7" operator="containsText" text="All">
      <formula>NOT(ISERROR(SEARCH(("All"),(F5))))</formula>
    </cfRule>
  </conditionalFormatting>
  <conditionalFormatting sqref="F5:F37">
    <cfRule type="containsText" dxfId="7" priority="8" operator="containsText" text="×">
      <formula>NOT(ISERROR(SEARCH(("×"),(F5))))</formula>
    </cfRule>
  </conditionalFormatting>
  <conditionalFormatting sqref="E5:E37">
    <cfRule type="notContainsBlanks" dxfId="14" priority="9">
      <formula>LEN(TRIM(E5))&gt;0</formula>
    </cfRule>
  </conditionalFormatting>
  <conditionalFormatting sqref="G5:G37">
    <cfRule type="notContainsBlanks" dxfId="13" priority="10">
      <formula>LEN(TRIM(G5))&gt;0</formula>
    </cfRule>
  </conditionalFormatting>
  <conditionalFormatting sqref="H5:H37">
    <cfRule type="containsText" dxfId="22" priority="11" operator="containsText" text="Purple">
      <formula>NOT(ISERROR(SEARCH(("Purple"),(H5))))</formula>
    </cfRule>
  </conditionalFormatting>
  <conditionalFormatting sqref="A5:N37">
    <cfRule type="expression" dxfId="17" priority="12">
      <formula>$D5="M"</formula>
    </cfRule>
  </conditionalFormatting>
  <conditionalFormatting sqref="A5:N37">
    <cfRule type="expression" dxfId="8" priority="13">
      <formula>not(isblank($B5))</formula>
    </cfRule>
  </conditionalFormatting>
  <conditionalFormatting sqref="O2:Q2 O3:Q4 O5:Q5 O6:Q6 O7:Q7 O8:Q8 O9:Q9 O10:Q10 O11:Q11 O12:Q12 O13:Q13 O14:Q14 O15:Q15 O16:Q16 O17:Q17 O18:Q18 O19:Q19 O20:Q20 O21:Q21 O22:Q22 O23:Q23 O24:Q24 O25:Q25 O26:Q26 O27:Q27 O28:Q28 O29:Q29 O30:Q30 O31:Q31 O32:Q32">
    <cfRule type="expression" dxfId="15" priority="14">
      <formula>$D2="Divider"</formula>
    </cfRule>
  </conditionalFormatting>
  <conditionalFormatting sqref="O2:Q2 O3:Q4 O5:Q5 O6:Q6 O7:Q7 O8:Q8 O9:Q9 O10:Q10 O11:Q11 O12:Q12 O13:Q13 O14:Q14 O15:Q15 O16:Q16 O17:Q17 O18:Q18 O19:Q19 O20:Q20 O21:Q21 O22:Q22 O23:Q23 O24:Q24 O25:Q25 O26:Q26 O27:Q27 O28:Q28 O29:Q29 O30:Q30 O31:Q31 O32:Q32">
    <cfRule type="expression" dxfId="16" priority="15">
      <formula>$D2="Event"</formula>
    </cfRule>
  </conditionalFormatting>
  <conditionalFormatting sqref="O2:Q2 O3:Q4 O5:Q5 O6:Q6 O7:Q7 O8:Q8 O9:Q9 O10:Q10 O11:Q11 O12:Q12 O13:Q13 O14:Q14 O15:Q15 O16:Q16 O17:Q17 O18:Q18 O19:Q19 O20:Q20 O21:Q21 O22:Q22 O23:Q23 O24:Q24 O25:Q25 O26:Q26 O27:Q27 O28:Q28 O29:Q29 O30:Q30 O31:Q31 O32:Q32">
    <cfRule type="expression" dxfId="17" priority="16">
      <formula>$D2="M"</formula>
    </cfRule>
  </conditionalFormatting>
  <conditionalFormatting sqref="O2:Q2 O3:Q4 O5:Q5 O6:Q6 O7:Q7 O8:Q8 O9:Q9 O10:Q10 O11:Q11 O12:Q12 O13:Q13 O14:Q14 O15:Q15 O16:Q16 O17:Q17 O18:Q18 O19:Q19 O20:Q20 O21:Q21 O22:Q22 O23:Q23 O24:Q24 O25:Q25 O26:Q26 O27:Q27 O28:Q28 O29:Q29 O30:Q30 O31:Q31 O32:Q32">
    <cfRule type="expression" dxfId="18" priority="17">
      <formula>AND($B2=4,isblank($D2))</formula>
    </cfRule>
  </conditionalFormatting>
  <conditionalFormatting sqref="O2:Q2 O3:Q4 O5:Q5 O6:Q6 O7:Q7 O8:Q8 O9:Q9 O10:Q10 O11:Q11 O12:Q12 O13:Q13 O14:Q14 O15:Q15 O16:Q16 O17:Q17 O18:Q18 O19:Q19 O20:Q20 O21:Q21 O22:Q22 O23:Q23 O24:Q24 O25:Q25 O26:Q26 O27:Q27 O28:Q28 O29:Q29 O30:Q30 O31:Q31 O32:Q32">
    <cfRule type="expression" dxfId="19" priority="18">
      <formula>AND($B2=3,isblank($D2))</formula>
    </cfRule>
  </conditionalFormatting>
  <conditionalFormatting sqref="O2:Q2 O3:Q4 O5:Q5 O6:Q6 O7:Q7 O8:Q8 O9:Q9 O10:Q10 O11:Q11 O12:Q12 O13:Q13 O14:Q14 O15:Q15 O16:Q16 O17:Q17 O18:Q18 O19:Q19 O20:Q20 O21:Q21 O22:Q22 O23:Q23 O24:Q24 O25:Q25 O26:Q26 O27:Q27 O28:Q28 O29:Q29 O30:Q30 O31:Q31 O32:Q32">
    <cfRule type="expression" dxfId="23" priority="19">
      <formula>AND($B2=2,isblank($D2))</formula>
    </cfRule>
  </conditionalFormatting>
  <conditionalFormatting sqref="O2:Q2 O3:Q4 O5:Q5 O6:Q6 O7:Q7 O8:Q8 O9:Q9 O10:Q10 O11:Q11 O12:Q12 O13:Q13 O14:Q14 O15:Q15 O16:Q16 O17:Q17 O18:Q18 O19:Q19 O20:Q20 O21:Q21 O22:Q22 O23:Q23 O24:Q24 O25:Q25 O26:Q26 O27:Q27 O28:Q28 O29:Q29 O30:Q30 O31:Q31 O32:Q32">
    <cfRule type="expression" dxfId="24" priority="20">
      <formula>AND($B2=1,isblank($D2))</formula>
    </cfRule>
  </conditionalFormatting>
  <conditionalFormatting sqref="O2:Q2 O3:Q4 O5:Q5 O6:Q6 O7:Q7 O8:Q8 O9:Q9 O10:Q10 O11:Q11 O12:Q12 O13:Q13 O14:Q14 O15:Q15 O16:Q16 O17:Q17 O18:Q18 O19:Q19 O20:Q20 O21:Q21 O22:Q22 O23:Q23 O24:Q24 O25:Q25 O26:Q26 O27:Q27 O28:Q28 O29:Q29 O30:Q30 O31:Q31 O32:Q32">
    <cfRule type="expression" dxfId="8" priority="21">
      <formula>not(isblank($B2))</formula>
    </cfRule>
  </conditionalFormatting>
  <hyperlinks>
    <hyperlink r:id="rId2" ref="P1"/>
  </hyperlinks>
  <drawing r:id="rId3"/>
  <legacy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030A0"/>
    <outlinePr summaryBelow="0" summaryRight="0"/>
  </sheetPr>
  <sheetViews>
    <sheetView workbookViewId="0"/>
  </sheetViews>
  <sheetFormatPr customHeight="1" defaultColWidth="14.43" defaultRowHeight="15.75"/>
  <cols>
    <col customWidth="1" min="1" max="1" width="4.57"/>
    <col customWidth="1" hidden="1" min="2" max="2" width="2.86"/>
    <col customWidth="1" min="3" max="3" width="12.0"/>
    <col customWidth="1" min="4" max="4" width="4.43"/>
    <col customWidth="1" min="5" max="5" width="9.57"/>
    <col customWidth="1" min="6" max="6" width="4.29"/>
    <col customWidth="1" min="7" max="7" width="10.43"/>
    <col customWidth="1" min="8" max="9" width="15.71"/>
    <col customWidth="1" min="10" max="10" width="40.86"/>
  </cols>
  <sheetData>
    <row r="1">
      <c r="A1" s="42" t="s">
        <v>28</v>
      </c>
      <c r="H1" s="5" t="s">
        <v>2</v>
      </c>
      <c r="I1" s="52" t="s">
        <v>29</v>
      </c>
      <c r="K1" s="7" t="s">
        <v>3</v>
      </c>
      <c r="L1" s="53" t="s">
        <v>30</v>
      </c>
    </row>
    <row r="2">
      <c r="A2" s="54" t="s">
        <v>26</v>
      </c>
      <c r="K2" s="55" t="str">
        <f>IMAGE($L$1,4,1550,590)</f>
        <v/>
      </c>
    </row>
    <row r="3">
      <c r="A3" s="10" t="s">
        <v>4</v>
      </c>
      <c r="B3" s="10" t="s">
        <v>5</v>
      </c>
      <c r="C3" s="10" t="s">
        <v>9</v>
      </c>
      <c r="D3" s="12" t="s">
        <v>10</v>
      </c>
      <c r="E3" s="56" t="s">
        <v>31</v>
      </c>
      <c r="H3" s="15" t="s">
        <v>32</v>
      </c>
    </row>
    <row r="5">
      <c r="A5" s="57">
        <v>52.0</v>
      </c>
      <c r="B5" s="23" t="s">
        <v>33</v>
      </c>
      <c r="C5" s="58" t="s">
        <v>34</v>
      </c>
      <c r="D5" s="18"/>
      <c r="E5" s="59" t="s">
        <v>35</v>
      </c>
      <c r="H5" s="60" t="s">
        <v>36</v>
      </c>
    </row>
    <row r="6">
      <c r="A6" s="57">
        <v>53.0</v>
      </c>
      <c r="B6" s="23" t="s">
        <v>33</v>
      </c>
      <c r="C6" s="58" t="s">
        <v>37</v>
      </c>
      <c r="D6" s="18"/>
    </row>
    <row r="7">
      <c r="A7" s="57">
        <v>54.0</v>
      </c>
      <c r="B7" s="23" t="s">
        <v>33</v>
      </c>
      <c r="C7" s="58" t="s">
        <v>38</v>
      </c>
      <c r="D7" s="18"/>
    </row>
    <row r="8">
      <c r="A8" s="57">
        <v>55.0</v>
      </c>
      <c r="B8" s="23" t="s">
        <v>39</v>
      </c>
      <c r="C8" s="58" t="s">
        <v>40</v>
      </c>
      <c r="D8" s="23" t="s">
        <v>41</v>
      </c>
      <c r="H8" s="61" t="s">
        <v>42</v>
      </c>
    </row>
    <row r="9">
      <c r="A9" s="57">
        <v>56.0</v>
      </c>
      <c r="B9" s="23" t="s">
        <v>33</v>
      </c>
      <c r="C9" s="58" t="s">
        <v>43</v>
      </c>
      <c r="D9" s="18"/>
      <c r="H9" s="60" t="s">
        <v>44</v>
      </c>
    </row>
    <row r="10">
      <c r="A10" s="57">
        <v>57.0</v>
      </c>
      <c r="B10" s="23" t="s">
        <v>33</v>
      </c>
      <c r="C10" s="58" t="s">
        <v>45</v>
      </c>
      <c r="D10" s="18"/>
    </row>
    <row r="11">
      <c r="A11" s="57">
        <v>58.0</v>
      </c>
      <c r="B11" s="23" t="s">
        <v>33</v>
      </c>
      <c r="C11" s="58" t="s">
        <v>46</v>
      </c>
      <c r="D11" s="18"/>
    </row>
    <row r="12">
      <c r="A12" s="57">
        <v>59.0</v>
      </c>
      <c r="B12" s="23" t="s">
        <v>33</v>
      </c>
      <c r="C12" s="58" t="s">
        <v>34</v>
      </c>
      <c r="D12" s="18"/>
      <c r="H12" s="62" t="s">
        <v>47</v>
      </c>
      <c r="I12" s="63" t="s">
        <v>48</v>
      </c>
    </row>
    <row r="13">
      <c r="A13" s="57">
        <v>60.0</v>
      </c>
      <c r="B13" s="23" t="s">
        <v>39</v>
      </c>
      <c r="C13" s="58" t="s">
        <v>40</v>
      </c>
      <c r="D13" s="23" t="s">
        <v>41</v>
      </c>
      <c r="H13" s="64" t="s">
        <v>49</v>
      </c>
      <c r="I13" s="63" t="s">
        <v>50</v>
      </c>
    </row>
    <row r="14">
      <c r="A14" s="57">
        <v>61.0</v>
      </c>
      <c r="B14" s="23" t="s">
        <v>33</v>
      </c>
      <c r="C14" s="58" t="s">
        <v>37</v>
      </c>
      <c r="D14" s="18"/>
      <c r="H14" s="64" t="s">
        <v>51</v>
      </c>
      <c r="I14" s="63" t="s">
        <v>52</v>
      </c>
    </row>
    <row r="15">
      <c r="A15" s="57">
        <v>62.0</v>
      </c>
      <c r="B15" s="23" t="s">
        <v>33</v>
      </c>
      <c r="C15" s="58" t="s">
        <v>38</v>
      </c>
      <c r="D15" s="18"/>
      <c r="H15" s="64" t="s">
        <v>53</v>
      </c>
      <c r="I15" s="63" t="s">
        <v>54</v>
      </c>
    </row>
    <row r="16">
      <c r="A16" s="57">
        <v>63.0</v>
      </c>
      <c r="B16" s="23" t="s">
        <v>33</v>
      </c>
      <c r="C16" s="58" t="s">
        <v>43</v>
      </c>
      <c r="D16" s="18"/>
      <c r="H16" s="64" t="s">
        <v>55</v>
      </c>
      <c r="I16" s="63" t="s">
        <v>56</v>
      </c>
    </row>
    <row r="17">
      <c r="A17" s="57">
        <v>64.0</v>
      </c>
      <c r="B17" s="23" t="s">
        <v>33</v>
      </c>
      <c r="C17" s="58" t="s">
        <v>45</v>
      </c>
      <c r="D17" s="18"/>
      <c r="H17" s="65"/>
      <c r="I17" s="66"/>
      <c r="J17" s="65"/>
    </row>
    <row r="18">
      <c r="A18" s="57">
        <v>65.0</v>
      </c>
      <c r="B18" s="23" t="s">
        <v>39</v>
      </c>
      <c r="C18" s="58" t="s">
        <v>40</v>
      </c>
      <c r="D18" s="23" t="s">
        <v>41</v>
      </c>
      <c r="H18" s="67" t="s">
        <v>57</v>
      </c>
      <c r="I18" s="68" t="s">
        <v>58</v>
      </c>
    </row>
    <row r="19">
      <c r="A19" s="57">
        <v>66.0</v>
      </c>
      <c r="B19" s="23" t="s">
        <v>33</v>
      </c>
      <c r="C19" s="58" t="s">
        <v>46</v>
      </c>
      <c r="D19" s="18"/>
      <c r="H19" s="64" t="s">
        <v>59</v>
      </c>
      <c r="I19" s="68" t="s">
        <v>60</v>
      </c>
    </row>
    <row r="20">
      <c r="A20" s="57">
        <v>67.0</v>
      </c>
      <c r="B20" s="23" t="s">
        <v>33</v>
      </c>
      <c r="C20" s="58" t="s">
        <v>34</v>
      </c>
      <c r="D20" s="18"/>
      <c r="H20" s="64" t="s">
        <v>61</v>
      </c>
      <c r="I20" s="63" t="s">
        <v>62</v>
      </c>
    </row>
    <row r="21">
      <c r="A21" s="57">
        <v>68.0</v>
      </c>
      <c r="B21" s="23" t="s">
        <v>33</v>
      </c>
      <c r="C21" s="58" t="s">
        <v>37</v>
      </c>
      <c r="D21" s="18"/>
      <c r="H21" s="64" t="s">
        <v>63</v>
      </c>
      <c r="I21" s="68" t="s">
        <v>64</v>
      </c>
    </row>
    <row r="22">
      <c r="A22" s="57">
        <v>69.0</v>
      </c>
      <c r="B22" s="23" t="s">
        <v>33</v>
      </c>
      <c r="C22" s="58" t="s">
        <v>38</v>
      </c>
      <c r="D22" s="18"/>
      <c r="H22" s="64" t="s">
        <v>65</v>
      </c>
      <c r="I22" s="68" t="s">
        <v>64</v>
      </c>
    </row>
    <row r="23">
      <c r="A23" s="57">
        <v>70.0</v>
      </c>
      <c r="B23" s="23" t="s">
        <v>39</v>
      </c>
      <c r="C23" s="58" t="s">
        <v>40</v>
      </c>
      <c r="D23" s="23" t="s">
        <v>41</v>
      </c>
      <c r="E23" s="59" t="s">
        <v>66</v>
      </c>
      <c r="H23" s="64" t="s">
        <v>67</v>
      </c>
      <c r="I23" s="68" t="s">
        <v>68</v>
      </c>
    </row>
    <row r="24">
      <c r="A24" s="57">
        <v>71.0</v>
      </c>
      <c r="B24" s="23" t="s">
        <v>33</v>
      </c>
      <c r="C24" s="58" t="s">
        <v>43</v>
      </c>
      <c r="D24" s="18"/>
      <c r="H24" s="60" t="s">
        <v>69</v>
      </c>
    </row>
    <row r="25">
      <c r="A25" s="57">
        <v>72.0</v>
      </c>
      <c r="B25" s="23" t="s">
        <v>33</v>
      </c>
      <c r="C25" s="58" t="s">
        <v>45</v>
      </c>
      <c r="D25" s="18"/>
    </row>
    <row r="26">
      <c r="A26" s="57">
        <v>73.0</v>
      </c>
      <c r="B26" s="23" t="s">
        <v>33</v>
      </c>
      <c r="C26" s="58" t="s">
        <v>46</v>
      </c>
      <c r="D26" s="18"/>
    </row>
    <row r="27">
      <c r="A27" s="57">
        <v>74.0</v>
      </c>
      <c r="B27" s="23" t="s">
        <v>33</v>
      </c>
      <c r="C27" s="58" t="s">
        <v>34</v>
      </c>
      <c r="D27" s="18"/>
    </row>
    <row r="28">
      <c r="A28" s="57">
        <v>75.0</v>
      </c>
      <c r="B28" s="23" t="s">
        <v>39</v>
      </c>
      <c r="C28" s="58" t="s">
        <v>40</v>
      </c>
      <c r="D28" s="23" t="s">
        <v>41</v>
      </c>
    </row>
    <row r="29">
      <c r="A29" s="57">
        <v>76.0</v>
      </c>
      <c r="B29" s="23" t="s">
        <v>33</v>
      </c>
      <c r="C29" s="58" t="s">
        <v>37</v>
      </c>
      <c r="D29" s="18"/>
      <c r="H29" s="65"/>
      <c r="I29" s="65"/>
      <c r="J29" s="65"/>
    </row>
    <row r="30">
      <c r="A30" s="57">
        <v>77.0</v>
      </c>
      <c r="B30" s="23" t="s">
        <v>33</v>
      </c>
      <c r="C30" s="58" t="s">
        <v>38</v>
      </c>
      <c r="D30" s="18"/>
      <c r="H30" s="65"/>
      <c r="I30" s="65"/>
      <c r="J30" s="65"/>
    </row>
    <row r="31">
      <c r="A31" s="57">
        <v>78.0</v>
      </c>
      <c r="B31" s="23" t="s">
        <v>33</v>
      </c>
      <c r="C31" s="58" t="s">
        <v>43</v>
      </c>
      <c r="D31" s="18"/>
      <c r="H31" s="65"/>
      <c r="I31" s="65"/>
      <c r="J31" s="65"/>
    </row>
    <row r="32">
      <c r="A32" s="57">
        <v>79.0</v>
      </c>
      <c r="B32" s="23" t="s">
        <v>33</v>
      </c>
      <c r="C32" s="58" t="s">
        <v>45</v>
      </c>
      <c r="D32" s="18"/>
      <c r="H32" s="65"/>
      <c r="I32" s="65"/>
      <c r="J32" s="65"/>
    </row>
    <row r="33">
      <c r="A33" s="57">
        <v>80.0</v>
      </c>
      <c r="B33" s="23" t="s">
        <v>39</v>
      </c>
      <c r="C33" s="58" t="s">
        <v>40</v>
      </c>
      <c r="D33" s="23" t="s">
        <v>41</v>
      </c>
      <c r="E33" s="59" t="s">
        <v>70</v>
      </c>
      <c r="H33" s="69" t="s">
        <v>71</v>
      </c>
    </row>
    <row r="34">
      <c r="A34" s="57">
        <v>81.0</v>
      </c>
      <c r="B34" s="23" t="s">
        <v>33</v>
      </c>
      <c r="C34" s="58" t="s">
        <v>46</v>
      </c>
      <c r="D34" s="18"/>
    </row>
    <row r="35">
      <c r="A35" s="57">
        <v>82.0</v>
      </c>
      <c r="B35" s="23" t="s">
        <v>33</v>
      </c>
      <c r="C35" s="58" t="s">
        <v>34</v>
      </c>
      <c r="D35" s="18"/>
      <c r="H35" s="65"/>
      <c r="I35" s="65"/>
      <c r="J35" s="65"/>
    </row>
    <row r="36">
      <c r="A36" s="57">
        <v>83.0</v>
      </c>
      <c r="B36" s="23" t="s">
        <v>33</v>
      </c>
      <c r="C36" s="58" t="s">
        <v>37</v>
      </c>
      <c r="D36" s="18"/>
      <c r="H36" s="70" t="s">
        <v>72</v>
      </c>
    </row>
    <row r="37">
      <c r="A37" s="57">
        <v>84.0</v>
      </c>
      <c r="B37" s="23" t="s">
        <v>33</v>
      </c>
      <c r="C37" s="58" t="s">
        <v>38</v>
      </c>
      <c r="D37" s="18"/>
      <c r="H37" s="71" t="s">
        <v>73</v>
      </c>
      <c r="J37" s="72" t="s">
        <v>74</v>
      </c>
    </row>
    <row r="38">
      <c r="A38" s="57">
        <v>85.0</v>
      </c>
      <c r="B38" s="23" t="s">
        <v>39</v>
      </c>
      <c r="C38" s="58" t="s">
        <v>40</v>
      </c>
      <c r="D38" s="23" t="s">
        <v>41</v>
      </c>
      <c r="E38" s="59" t="s">
        <v>75</v>
      </c>
      <c r="H38" s="73" t="s">
        <v>76</v>
      </c>
      <c r="J38" s="72" t="s">
        <v>77</v>
      </c>
    </row>
    <row r="39">
      <c r="A39" s="57">
        <v>86.0</v>
      </c>
      <c r="B39" s="23" t="s">
        <v>33</v>
      </c>
      <c r="C39" s="58" t="s">
        <v>43</v>
      </c>
      <c r="D39" s="18"/>
      <c r="H39" s="73" t="s">
        <v>78</v>
      </c>
      <c r="J39" s="72" t="s">
        <v>79</v>
      </c>
    </row>
    <row r="40">
      <c r="A40" s="57">
        <v>87.0</v>
      </c>
      <c r="B40" s="23" t="s">
        <v>33</v>
      </c>
      <c r="C40" s="58" t="s">
        <v>45</v>
      </c>
      <c r="D40" s="18"/>
      <c r="H40" s="73" t="s">
        <v>80</v>
      </c>
      <c r="J40" s="68" t="s">
        <v>81</v>
      </c>
    </row>
    <row r="41">
      <c r="A41" s="57">
        <v>88.0</v>
      </c>
      <c r="B41" s="23" t="s">
        <v>33</v>
      </c>
      <c r="C41" s="58" t="s">
        <v>46</v>
      </c>
      <c r="D41" s="18"/>
      <c r="H41" s="65"/>
      <c r="I41" s="65"/>
      <c r="J41" s="68" t="s">
        <v>82</v>
      </c>
    </row>
    <row r="42">
      <c r="A42" s="57">
        <v>89.0</v>
      </c>
      <c r="B42" s="23" t="s">
        <v>33</v>
      </c>
      <c r="C42" s="58" t="s">
        <v>34</v>
      </c>
      <c r="D42" s="18"/>
      <c r="H42" s="65"/>
      <c r="I42" s="65"/>
      <c r="J42" s="65"/>
    </row>
    <row r="43">
      <c r="A43" s="57">
        <v>90.0</v>
      </c>
      <c r="B43" s="23" t="s">
        <v>39</v>
      </c>
      <c r="C43" s="58" t="s">
        <v>40</v>
      </c>
      <c r="D43" s="23" t="s">
        <v>41</v>
      </c>
      <c r="H43" s="65"/>
      <c r="I43" s="73" t="s">
        <v>83</v>
      </c>
      <c r="J43" s="68" t="s">
        <v>84</v>
      </c>
    </row>
    <row r="44">
      <c r="A44" s="57">
        <v>91.0</v>
      </c>
      <c r="B44" s="23" t="s">
        <v>33</v>
      </c>
      <c r="C44" s="58" t="s">
        <v>37</v>
      </c>
      <c r="D44" s="18"/>
      <c r="H44" s="64" t="s">
        <v>85</v>
      </c>
    </row>
    <row r="45">
      <c r="A45" s="57">
        <v>92.0</v>
      </c>
      <c r="B45" s="23" t="s">
        <v>33</v>
      </c>
      <c r="C45" s="58" t="s">
        <v>38</v>
      </c>
      <c r="D45" s="18"/>
      <c r="H45" s="68"/>
      <c r="I45" s="64"/>
      <c r="J45" s="64"/>
    </row>
    <row r="46">
      <c r="A46" s="57">
        <v>93.0</v>
      </c>
      <c r="B46" s="23" t="s">
        <v>33</v>
      </c>
      <c r="C46" s="58" t="s">
        <v>43</v>
      </c>
      <c r="D46" s="18"/>
      <c r="H46" s="65"/>
      <c r="I46" s="65"/>
      <c r="J46" s="65"/>
    </row>
    <row r="47">
      <c r="A47" s="57">
        <v>94.0</v>
      </c>
      <c r="B47" s="23" t="s">
        <v>33</v>
      </c>
      <c r="C47" s="58" t="s">
        <v>45</v>
      </c>
      <c r="D47" s="18"/>
      <c r="H47" s="65"/>
      <c r="I47" s="65"/>
      <c r="J47" s="65"/>
    </row>
    <row r="48">
      <c r="A48" s="57">
        <v>95.0</v>
      </c>
      <c r="B48" s="23" t="s">
        <v>39</v>
      </c>
      <c r="C48" s="58" t="s">
        <v>40</v>
      </c>
      <c r="D48" s="23" t="s">
        <v>41</v>
      </c>
      <c r="H48" s="65"/>
      <c r="I48" s="65"/>
      <c r="J48" s="65"/>
    </row>
    <row r="49">
      <c r="A49" s="57">
        <v>96.0</v>
      </c>
      <c r="B49" s="23" t="s">
        <v>33</v>
      </c>
      <c r="C49" s="58" t="s">
        <v>46</v>
      </c>
      <c r="D49" s="18"/>
      <c r="H49" s="65"/>
      <c r="I49" s="65"/>
      <c r="J49" s="65"/>
    </row>
    <row r="50">
      <c r="A50" s="57">
        <v>97.0</v>
      </c>
      <c r="B50" s="23" t="s">
        <v>33</v>
      </c>
      <c r="C50" s="58" t="s">
        <v>34</v>
      </c>
      <c r="D50" s="18"/>
      <c r="H50" s="65"/>
      <c r="I50" s="65"/>
      <c r="J50" s="65"/>
    </row>
    <row r="51">
      <c r="A51" s="57">
        <v>98.0</v>
      </c>
      <c r="B51" s="23" t="s">
        <v>33</v>
      </c>
      <c r="C51" s="58" t="s">
        <v>37</v>
      </c>
      <c r="D51" s="18"/>
      <c r="H51" s="65"/>
      <c r="I51" s="65"/>
      <c r="J51" s="65"/>
    </row>
    <row r="52">
      <c r="A52" s="57">
        <v>99.0</v>
      </c>
      <c r="B52" s="23" t="s">
        <v>33</v>
      </c>
      <c r="C52" s="58" t="s">
        <v>38</v>
      </c>
      <c r="D52" s="18"/>
      <c r="H52" s="65"/>
      <c r="I52" s="65"/>
      <c r="J52" s="65"/>
    </row>
    <row r="53">
      <c r="A53" s="57">
        <v>100.0</v>
      </c>
      <c r="B53" s="23" t="s">
        <v>39</v>
      </c>
      <c r="C53" s="58" t="s">
        <v>40</v>
      </c>
      <c r="D53" s="23" t="s">
        <v>41</v>
      </c>
      <c r="H53" s="61" t="s">
        <v>86</v>
      </c>
    </row>
    <row r="54">
      <c r="A54" s="57">
        <v>101.0</v>
      </c>
      <c r="B54" s="23" t="s">
        <v>33</v>
      </c>
      <c r="C54" s="58" t="s">
        <v>43</v>
      </c>
      <c r="D54" s="18"/>
      <c r="H54" s="64" t="s">
        <v>87</v>
      </c>
    </row>
    <row r="55">
      <c r="A55" s="57">
        <v>102.0</v>
      </c>
      <c r="B55" s="23" t="s">
        <v>33</v>
      </c>
      <c r="C55" s="58" t="s">
        <v>45</v>
      </c>
      <c r="D55" s="18"/>
      <c r="H55" s="62" t="s">
        <v>88</v>
      </c>
      <c r="I55" s="68" t="s">
        <v>89</v>
      </c>
      <c r="J55" s="65"/>
    </row>
    <row r="56">
      <c r="A56" s="57">
        <v>103.0</v>
      </c>
      <c r="B56" s="23" t="s">
        <v>33</v>
      </c>
      <c r="C56" s="58" t="s">
        <v>46</v>
      </c>
      <c r="D56" s="18"/>
      <c r="H56" s="64" t="s">
        <v>90</v>
      </c>
      <c r="I56" s="68" t="s">
        <v>91</v>
      </c>
    </row>
    <row r="57">
      <c r="A57" s="57">
        <v>104.0</v>
      </c>
      <c r="B57" s="23" t="s">
        <v>33</v>
      </c>
      <c r="C57" s="58" t="s">
        <v>34</v>
      </c>
      <c r="D57" s="18"/>
      <c r="H57" s="64" t="s">
        <v>92</v>
      </c>
      <c r="I57" s="68" t="s">
        <v>93</v>
      </c>
    </row>
    <row r="58">
      <c r="A58" s="57">
        <v>105.0</v>
      </c>
      <c r="B58" s="23" t="s">
        <v>39</v>
      </c>
      <c r="C58" s="58" t="s">
        <v>40</v>
      </c>
      <c r="D58" s="23" t="s">
        <v>41</v>
      </c>
      <c r="E58" s="74" t="s">
        <v>94</v>
      </c>
      <c r="H58" s="64" t="s">
        <v>95</v>
      </c>
      <c r="I58" s="68" t="s">
        <v>96</v>
      </c>
    </row>
    <row r="59">
      <c r="A59" s="57">
        <v>106.0</v>
      </c>
      <c r="B59" s="23" t="s">
        <v>33</v>
      </c>
      <c r="C59" s="58" t="s">
        <v>37</v>
      </c>
      <c r="D59" s="18"/>
      <c r="H59" s="64" t="s">
        <v>97</v>
      </c>
      <c r="I59" s="68" t="s">
        <v>98</v>
      </c>
    </row>
    <row r="60">
      <c r="A60" s="57">
        <v>107.0</v>
      </c>
      <c r="B60" s="23" t="s">
        <v>33</v>
      </c>
      <c r="C60" s="58" t="s">
        <v>38</v>
      </c>
      <c r="D60" s="18"/>
      <c r="H60" s="66"/>
      <c r="I60" s="65"/>
      <c r="J60" s="65"/>
    </row>
    <row r="61">
      <c r="A61" s="57">
        <v>108.0</v>
      </c>
      <c r="B61" s="23" t="s">
        <v>33</v>
      </c>
      <c r="C61" s="58" t="s">
        <v>43</v>
      </c>
      <c r="D61" s="18"/>
      <c r="H61" s="62" t="s">
        <v>47</v>
      </c>
      <c r="I61" s="63" t="s">
        <v>99</v>
      </c>
    </row>
    <row r="62">
      <c r="A62" s="57">
        <v>109.0</v>
      </c>
      <c r="B62" s="23" t="s">
        <v>33</v>
      </c>
      <c r="C62" s="58" t="s">
        <v>45</v>
      </c>
      <c r="D62" s="18"/>
      <c r="H62" s="64" t="s">
        <v>49</v>
      </c>
      <c r="I62" s="63" t="s">
        <v>50</v>
      </c>
    </row>
    <row r="63">
      <c r="A63" s="57">
        <v>110.0</v>
      </c>
      <c r="B63" s="23" t="s">
        <v>39</v>
      </c>
      <c r="C63" s="58" t="s">
        <v>40</v>
      </c>
      <c r="D63" s="23" t="s">
        <v>41</v>
      </c>
      <c r="H63" s="64" t="s">
        <v>51</v>
      </c>
      <c r="I63" s="63" t="s">
        <v>52</v>
      </c>
    </row>
    <row r="64">
      <c r="A64" s="57">
        <v>111.0</v>
      </c>
      <c r="B64" s="23" t="s">
        <v>33</v>
      </c>
      <c r="C64" s="58" t="s">
        <v>46</v>
      </c>
      <c r="D64" s="18"/>
      <c r="H64" s="64" t="s">
        <v>53</v>
      </c>
      <c r="I64" s="63" t="s">
        <v>54</v>
      </c>
    </row>
    <row r="65">
      <c r="A65" s="57">
        <v>112.0</v>
      </c>
      <c r="B65" s="23" t="s">
        <v>33</v>
      </c>
      <c r="C65" s="58" t="s">
        <v>34</v>
      </c>
      <c r="D65" s="18"/>
      <c r="H65" s="64" t="s">
        <v>55</v>
      </c>
      <c r="I65" s="63" t="s">
        <v>56</v>
      </c>
    </row>
    <row r="66">
      <c r="A66" s="57">
        <v>113.0</v>
      </c>
      <c r="B66" s="23" t="s">
        <v>33</v>
      </c>
      <c r="C66" s="58" t="s">
        <v>37</v>
      </c>
      <c r="D66" s="18"/>
      <c r="H66" s="65"/>
      <c r="I66" s="65"/>
      <c r="J66" s="65"/>
    </row>
    <row r="67">
      <c r="A67" s="57">
        <v>114.0</v>
      </c>
      <c r="B67" s="23" t="s">
        <v>33</v>
      </c>
      <c r="C67" s="58" t="s">
        <v>38</v>
      </c>
      <c r="D67" s="18"/>
      <c r="H67" s="67" t="s">
        <v>57</v>
      </c>
      <c r="I67" s="68" t="s">
        <v>100</v>
      </c>
    </row>
    <row r="68">
      <c r="A68" s="57">
        <v>115.0</v>
      </c>
      <c r="B68" s="23" t="s">
        <v>39</v>
      </c>
      <c r="C68" s="58" t="s">
        <v>40</v>
      </c>
      <c r="D68" s="23" t="s">
        <v>41</v>
      </c>
      <c r="H68" s="60" t="s">
        <v>101</v>
      </c>
    </row>
    <row r="69">
      <c r="A69" s="57">
        <v>116.0</v>
      </c>
      <c r="B69" s="23" t="s">
        <v>33</v>
      </c>
      <c r="C69" s="58" t="s">
        <v>43</v>
      </c>
      <c r="D69" s="18"/>
      <c r="H69" s="64" t="s">
        <v>102</v>
      </c>
      <c r="I69" s="68" t="s">
        <v>103</v>
      </c>
    </row>
    <row r="70">
      <c r="A70" s="57">
        <v>117.0</v>
      </c>
      <c r="B70" s="23" t="s">
        <v>33</v>
      </c>
      <c r="C70" s="58" t="s">
        <v>45</v>
      </c>
      <c r="D70" s="18"/>
      <c r="H70" s="64" t="s">
        <v>104</v>
      </c>
      <c r="I70" s="63" t="s">
        <v>62</v>
      </c>
    </row>
    <row r="71">
      <c r="A71" s="57">
        <v>118.0</v>
      </c>
      <c r="B71" s="23" t="s">
        <v>33</v>
      </c>
      <c r="C71" s="58" t="s">
        <v>46</v>
      </c>
      <c r="D71" s="18"/>
      <c r="H71" s="64" t="s">
        <v>105</v>
      </c>
      <c r="I71" s="68" t="s">
        <v>64</v>
      </c>
    </row>
    <row r="72">
      <c r="A72" s="57">
        <v>119.0</v>
      </c>
      <c r="B72" s="23" t="s">
        <v>33</v>
      </c>
      <c r="C72" s="58" t="s">
        <v>34</v>
      </c>
      <c r="D72" s="18"/>
      <c r="H72" s="64" t="s">
        <v>106</v>
      </c>
      <c r="I72" s="68" t="s">
        <v>64</v>
      </c>
    </row>
    <row r="73">
      <c r="A73" s="57">
        <v>120.0</v>
      </c>
      <c r="B73" s="23" t="s">
        <v>39</v>
      </c>
      <c r="C73" s="58" t="s">
        <v>40</v>
      </c>
      <c r="D73" s="23" t="s">
        <v>41</v>
      </c>
      <c r="H73" s="64" t="s">
        <v>107</v>
      </c>
      <c r="I73" s="68" t="s">
        <v>108</v>
      </c>
    </row>
    <row r="74">
      <c r="A74" s="57">
        <v>121.0</v>
      </c>
      <c r="B74" s="23" t="s">
        <v>33</v>
      </c>
      <c r="C74" s="58" t="s">
        <v>37</v>
      </c>
      <c r="D74" s="18"/>
      <c r="H74" s="65"/>
      <c r="I74" s="65"/>
      <c r="J74" s="65"/>
    </row>
    <row r="75">
      <c r="A75" s="57">
        <v>122.0</v>
      </c>
      <c r="B75" s="23" t="s">
        <v>33</v>
      </c>
      <c r="C75" s="58" t="s">
        <v>38</v>
      </c>
      <c r="D75" s="18"/>
      <c r="H75" s="67" t="s">
        <v>109</v>
      </c>
      <c r="I75" s="65"/>
      <c r="J75" s="65"/>
    </row>
    <row r="76">
      <c r="A76" s="57">
        <v>123.0</v>
      </c>
      <c r="B76" s="23" t="s">
        <v>33</v>
      </c>
      <c r="C76" s="58" t="s">
        <v>43</v>
      </c>
      <c r="D76" s="18"/>
      <c r="H76" s="63" t="s">
        <v>110</v>
      </c>
    </row>
    <row r="77">
      <c r="A77" s="57">
        <v>124.0</v>
      </c>
      <c r="B77" s="23" t="s">
        <v>33</v>
      </c>
      <c r="C77" s="58" t="s">
        <v>45</v>
      </c>
      <c r="D77" s="18"/>
      <c r="H77" s="68" t="s">
        <v>111</v>
      </c>
    </row>
    <row r="78">
      <c r="A78" s="57">
        <v>125.0</v>
      </c>
      <c r="B78" s="23" t="s">
        <v>39</v>
      </c>
      <c r="C78" s="58" t="s">
        <v>40</v>
      </c>
      <c r="D78" s="23" t="s">
        <v>41</v>
      </c>
      <c r="H78" s="66"/>
      <c r="I78" s="65"/>
      <c r="J78" s="65"/>
    </row>
    <row r="79">
      <c r="A79" s="57">
        <v>126.0</v>
      </c>
      <c r="B79" s="23" t="s">
        <v>33</v>
      </c>
      <c r="C79" s="58" t="s">
        <v>46</v>
      </c>
      <c r="D79" s="18"/>
      <c r="H79" s="67" t="s">
        <v>112</v>
      </c>
      <c r="I79" s="65"/>
      <c r="J79" s="65"/>
    </row>
    <row r="80">
      <c r="A80" s="57">
        <v>127.0</v>
      </c>
      <c r="B80" s="23" t="s">
        <v>33</v>
      </c>
      <c r="C80" s="58" t="s">
        <v>34</v>
      </c>
      <c r="D80" s="18"/>
      <c r="H80" s="68" t="s">
        <v>113</v>
      </c>
    </row>
    <row r="81">
      <c r="A81" s="57">
        <v>128.0</v>
      </c>
      <c r="B81" s="23" t="s">
        <v>33</v>
      </c>
      <c r="C81" s="58" t="s">
        <v>37</v>
      </c>
      <c r="D81" s="18"/>
      <c r="H81" s="68" t="s">
        <v>114</v>
      </c>
    </row>
    <row r="82">
      <c r="A82" s="57">
        <v>129.0</v>
      </c>
      <c r="B82" s="23" t="s">
        <v>33</v>
      </c>
      <c r="C82" s="58" t="s">
        <v>38</v>
      </c>
      <c r="D82" s="18"/>
      <c r="H82" s="68" t="s">
        <v>115</v>
      </c>
    </row>
    <row r="83">
      <c r="A83" s="57">
        <v>130.0</v>
      </c>
      <c r="B83" s="23" t="s">
        <v>39</v>
      </c>
      <c r="C83" s="58" t="s">
        <v>40</v>
      </c>
      <c r="D83" s="23" t="s">
        <v>41</v>
      </c>
      <c r="H83" s="75" t="s">
        <v>116</v>
      </c>
      <c r="I83" s="75" t="s">
        <v>117</v>
      </c>
      <c r="J83" s="75" t="s">
        <v>118</v>
      </c>
    </row>
    <row r="84">
      <c r="A84" s="57">
        <v>131.0</v>
      </c>
      <c r="B84" s="23" t="s">
        <v>33</v>
      </c>
      <c r="C84" s="58" t="s">
        <v>43</v>
      </c>
      <c r="D84" s="18"/>
      <c r="H84" s="64" t="s">
        <v>119</v>
      </c>
      <c r="I84" s="64" t="s">
        <v>120</v>
      </c>
      <c r="J84" s="64" t="s">
        <v>121</v>
      </c>
    </row>
    <row r="85">
      <c r="A85" s="57">
        <v>132.0</v>
      </c>
      <c r="B85" s="23" t="s">
        <v>33</v>
      </c>
      <c r="C85" s="58" t="s">
        <v>45</v>
      </c>
      <c r="D85" s="18"/>
      <c r="H85" s="64" t="s">
        <v>122</v>
      </c>
      <c r="I85" s="64" t="s">
        <v>120</v>
      </c>
      <c r="J85" s="64" t="s">
        <v>123</v>
      </c>
    </row>
    <row r="86">
      <c r="A86" s="57">
        <v>133.0</v>
      </c>
      <c r="B86" s="23" t="s">
        <v>33</v>
      </c>
      <c r="C86" s="58" t="s">
        <v>46</v>
      </c>
      <c r="D86" s="18"/>
      <c r="H86" s="64" t="s">
        <v>119</v>
      </c>
      <c r="I86" s="64" t="s">
        <v>124</v>
      </c>
      <c r="J86" s="64" t="s">
        <v>125</v>
      </c>
    </row>
    <row r="87">
      <c r="A87" s="57">
        <v>134.0</v>
      </c>
      <c r="B87" s="23" t="s">
        <v>33</v>
      </c>
      <c r="C87" s="58" t="s">
        <v>34</v>
      </c>
      <c r="D87" s="18"/>
      <c r="H87" s="64" t="s">
        <v>126</v>
      </c>
      <c r="I87" s="64" t="s">
        <v>124</v>
      </c>
      <c r="J87" s="64" t="s">
        <v>127</v>
      </c>
    </row>
    <row r="88">
      <c r="A88" s="57">
        <v>135.0</v>
      </c>
      <c r="B88" s="23" t="s">
        <v>39</v>
      </c>
      <c r="C88" s="58" t="s">
        <v>40</v>
      </c>
      <c r="D88" s="23" t="s">
        <v>41</v>
      </c>
      <c r="H88" s="64" t="s">
        <v>128</v>
      </c>
      <c r="I88" s="64" t="s">
        <v>124</v>
      </c>
      <c r="J88" s="64" t="s">
        <v>129</v>
      </c>
    </row>
    <row r="89">
      <c r="A89" s="57">
        <v>136.0</v>
      </c>
      <c r="B89" s="23" t="s">
        <v>33</v>
      </c>
      <c r="C89" s="58" t="s">
        <v>37</v>
      </c>
      <c r="D89" s="18"/>
      <c r="H89" s="76"/>
      <c r="I89" s="76"/>
      <c r="J89" s="76"/>
    </row>
    <row r="90">
      <c r="A90" s="57">
        <v>137.0</v>
      </c>
      <c r="B90" s="23" t="s">
        <v>33</v>
      </c>
      <c r="C90" s="58" t="s">
        <v>38</v>
      </c>
      <c r="D90" s="18"/>
      <c r="H90" s="76"/>
      <c r="I90" s="76"/>
      <c r="J90" s="76"/>
    </row>
    <row r="91">
      <c r="A91" s="57">
        <v>138.0</v>
      </c>
      <c r="B91" s="23" t="s">
        <v>33</v>
      </c>
      <c r="C91" s="58" t="s">
        <v>43</v>
      </c>
      <c r="D91" s="18"/>
      <c r="H91" s="76"/>
      <c r="I91" s="76"/>
      <c r="J91" s="76"/>
    </row>
    <row r="92">
      <c r="A92" s="57">
        <v>139.0</v>
      </c>
      <c r="B92" s="23" t="s">
        <v>33</v>
      </c>
      <c r="C92" s="58" t="s">
        <v>45</v>
      </c>
      <c r="D92" s="18"/>
      <c r="H92" s="76"/>
      <c r="I92" s="76"/>
      <c r="J92" s="76"/>
    </row>
    <row r="93">
      <c r="A93" s="57">
        <v>140.0</v>
      </c>
      <c r="B93" s="23" t="s">
        <v>39</v>
      </c>
      <c r="C93" s="58" t="s">
        <v>40</v>
      </c>
      <c r="D93" s="23" t="s">
        <v>41</v>
      </c>
      <c r="E93" s="74" t="s">
        <v>130</v>
      </c>
      <c r="H93" s="76"/>
      <c r="I93" s="76"/>
      <c r="J93" s="76"/>
    </row>
    <row r="94">
      <c r="A94" s="57">
        <v>141.0</v>
      </c>
      <c r="B94" s="23" t="s">
        <v>33</v>
      </c>
      <c r="C94" s="58" t="s">
        <v>46</v>
      </c>
      <c r="D94" s="18"/>
      <c r="H94" s="76"/>
      <c r="I94" s="76"/>
      <c r="J94" s="76"/>
    </row>
    <row r="95">
      <c r="A95" s="57">
        <v>142.0</v>
      </c>
      <c r="B95" s="23" t="s">
        <v>33</v>
      </c>
      <c r="C95" s="58" t="s">
        <v>34</v>
      </c>
      <c r="D95" s="18"/>
      <c r="H95" s="76"/>
      <c r="I95" s="76"/>
      <c r="J95" s="76"/>
    </row>
    <row r="96">
      <c r="A96" s="57">
        <v>143.0</v>
      </c>
      <c r="B96" s="23" t="s">
        <v>33</v>
      </c>
      <c r="C96" s="58" t="s">
        <v>37</v>
      </c>
      <c r="D96" s="18"/>
      <c r="H96" s="76"/>
      <c r="I96" s="76"/>
      <c r="J96" s="76"/>
    </row>
    <row r="97">
      <c r="A97" s="57">
        <v>144.0</v>
      </c>
      <c r="B97" s="23" t="s">
        <v>33</v>
      </c>
      <c r="C97" s="58" t="s">
        <v>38</v>
      </c>
      <c r="D97" s="18"/>
      <c r="H97" s="76"/>
      <c r="I97" s="76"/>
      <c r="J97" s="76"/>
    </row>
    <row r="98">
      <c r="A98" s="57">
        <v>145.0</v>
      </c>
      <c r="B98" s="23" t="s">
        <v>39</v>
      </c>
      <c r="C98" s="58" t="s">
        <v>40</v>
      </c>
      <c r="D98" s="23" t="s">
        <v>41</v>
      </c>
      <c r="H98" s="76"/>
      <c r="I98" s="76"/>
      <c r="J98" s="76"/>
    </row>
    <row r="99">
      <c r="A99" s="57">
        <v>146.0</v>
      </c>
      <c r="B99" s="23" t="s">
        <v>33</v>
      </c>
      <c r="C99" s="58" t="s">
        <v>43</v>
      </c>
      <c r="D99" s="18"/>
      <c r="H99" s="76"/>
      <c r="I99" s="76"/>
      <c r="J99" s="76"/>
    </row>
    <row r="100">
      <c r="A100" s="57">
        <v>147.0</v>
      </c>
      <c r="B100" s="23" t="s">
        <v>33</v>
      </c>
      <c r="C100" s="58" t="s">
        <v>45</v>
      </c>
      <c r="D100" s="18"/>
      <c r="H100" s="76"/>
      <c r="I100" s="76"/>
      <c r="J100" s="76"/>
    </row>
    <row r="101">
      <c r="A101" s="57">
        <v>148.0</v>
      </c>
      <c r="B101" s="23" t="s">
        <v>33</v>
      </c>
      <c r="C101" s="58" t="s">
        <v>46</v>
      </c>
      <c r="D101" s="18"/>
      <c r="H101" s="76"/>
      <c r="I101" s="76"/>
      <c r="J101" s="76"/>
    </row>
    <row r="102">
      <c r="A102" s="57">
        <v>149.0</v>
      </c>
      <c r="B102" s="23" t="s">
        <v>33</v>
      </c>
      <c r="C102" s="58" t="s">
        <v>34</v>
      </c>
      <c r="D102" s="18"/>
      <c r="H102" s="76"/>
      <c r="I102" s="76"/>
      <c r="J102" s="76"/>
    </row>
    <row r="103">
      <c r="A103" s="57">
        <v>150.0</v>
      </c>
      <c r="B103" s="23" t="s">
        <v>39</v>
      </c>
      <c r="C103" s="58" t="s">
        <v>40</v>
      </c>
      <c r="D103" s="23" t="s">
        <v>41</v>
      </c>
      <c r="H103" s="76"/>
      <c r="I103" s="76"/>
      <c r="J103" s="76"/>
    </row>
    <row r="104">
      <c r="A104" s="57">
        <v>151.0</v>
      </c>
      <c r="B104" s="23" t="s">
        <v>33</v>
      </c>
      <c r="C104" s="58" t="s">
        <v>37</v>
      </c>
      <c r="D104" s="18"/>
      <c r="H104" s="76"/>
      <c r="I104" s="76"/>
      <c r="J104" s="76"/>
    </row>
    <row r="105">
      <c r="A105" s="57">
        <v>152.0</v>
      </c>
      <c r="B105" s="23" t="s">
        <v>33</v>
      </c>
      <c r="C105" s="58" t="s">
        <v>38</v>
      </c>
      <c r="D105" s="18"/>
      <c r="H105" s="76"/>
      <c r="I105" s="76"/>
      <c r="J105" s="76"/>
    </row>
    <row r="106">
      <c r="A106" s="57">
        <v>153.0</v>
      </c>
      <c r="B106" s="23" t="s">
        <v>33</v>
      </c>
      <c r="C106" s="58" t="s">
        <v>43</v>
      </c>
      <c r="D106" s="18"/>
      <c r="H106" s="76"/>
      <c r="I106" s="76"/>
      <c r="J106" s="76"/>
    </row>
    <row r="107">
      <c r="A107" s="57">
        <v>154.0</v>
      </c>
      <c r="B107" s="23" t="s">
        <v>33</v>
      </c>
      <c r="C107" s="58" t="s">
        <v>45</v>
      </c>
      <c r="D107" s="18"/>
      <c r="H107" s="76"/>
      <c r="I107" s="76"/>
      <c r="J107" s="76"/>
    </row>
    <row r="108">
      <c r="A108" s="57">
        <v>155.0</v>
      </c>
      <c r="B108" s="23" t="s">
        <v>39</v>
      </c>
      <c r="C108" s="58" t="s">
        <v>40</v>
      </c>
      <c r="D108" s="23" t="s">
        <v>41</v>
      </c>
      <c r="H108" s="76"/>
      <c r="I108" s="76"/>
      <c r="J108" s="76"/>
    </row>
    <row r="109">
      <c r="A109" s="57">
        <v>156.0</v>
      </c>
      <c r="B109" s="23" t="s">
        <v>33</v>
      </c>
      <c r="C109" s="58" t="s">
        <v>46</v>
      </c>
      <c r="D109" s="18"/>
      <c r="H109" s="76"/>
      <c r="I109" s="76"/>
      <c r="J109" s="76"/>
    </row>
    <row r="110">
      <c r="A110" s="57">
        <v>157.0</v>
      </c>
      <c r="B110" s="23" t="s">
        <v>33</v>
      </c>
      <c r="C110" s="58" t="s">
        <v>34</v>
      </c>
      <c r="D110" s="18"/>
      <c r="H110" s="76"/>
      <c r="I110" s="76"/>
      <c r="J110" s="76"/>
    </row>
    <row r="111">
      <c r="A111" s="57">
        <v>158.0</v>
      </c>
      <c r="B111" s="23" t="s">
        <v>33</v>
      </c>
      <c r="C111" s="58" t="s">
        <v>37</v>
      </c>
      <c r="D111" s="18"/>
      <c r="H111" s="76"/>
      <c r="I111" s="76"/>
      <c r="J111" s="76"/>
    </row>
    <row r="112">
      <c r="A112" s="57">
        <v>159.0</v>
      </c>
      <c r="B112" s="23" t="s">
        <v>33</v>
      </c>
      <c r="C112" s="58" t="s">
        <v>38</v>
      </c>
      <c r="D112" s="18"/>
      <c r="H112" s="76"/>
      <c r="I112" s="76"/>
      <c r="J112" s="76"/>
    </row>
    <row r="113">
      <c r="A113" s="57">
        <v>160.0</v>
      </c>
      <c r="B113" s="23" t="s">
        <v>39</v>
      </c>
      <c r="C113" s="58" t="s">
        <v>40</v>
      </c>
      <c r="D113" s="23" t="s">
        <v>41</v>
      </c>
      <c r="H113" s="76"/>
      <c r="I113" s="76"/>
      <c r="J113" s="76"/>
    </row>
    <row r="114">
      <c r="A114" s="57">
        <v>161.0</v>
      </c>
      <c r="B114" s="23" t="s">
        <v>33</v>
      </c>
      <c r="C114" s="58" t="s">
        <v>43</v>
      </c>
      <c r="D114" s="18"/>
      <c r="H114" s="76"/>
      <c r="I114" s="76"/>
      <c r="J114" s="76"/>
    </row>
    <row r="115">
      <c r="A115" s="57">
        <v>162.0</v>
      </c>
      <c r="B115" s="23" t="s">
        <v>33</v>
      </c>
      <c r="C115" s="58" t="s">
        <v>45</v>
      </c>
      <c r="D115" s="18"/>
      <c r="H115" s="76"/>
      <c r="I115" s="76"/>
      <c r="J115" s="76"/>
    </row>
    <row r="116">
      <c r="A116" s="57">
        <v>163.0</v>
      </c>
      <c r="B116" s="23" t="s">
        <v>33</v>
      </c>
      <c r="C116" s="58" t="s">
        <v>46</v>
      </c>
      <c r="D116" s="18"/>
      <c r="H116" s="76"/>
      <c r="I116" s="76"/>
      <c r="J116" s="76"/>
    </row>
    <row r="117">
      <c r="A117" s="57">
        <v>164.0</v>
      </c>
      <c r="B117" s="23" t="s">
        <v>33</v>
      </c>
      <c r="C117" s="58" t="s">
        <v>34</v>
      </c>
      <c r="D117" s="18"/>
      <c r="H117" s="76"/>
      <c r="I117" s="76"/>
      <c r="J117" s="76"/>
    </row>
    <row r="118">
      <c r="A118" s="57">
        <v>165.0</v>
      </c>
      <c r="B118" s="23" t="s">
        <v>39</v>
      </c>
      <c r="C118" s="58" t="s">
        <v>40</v>
      </c>
      <c r="D118" s="23" t="s">
        <v>41</v>
      </c>
      <c r="H118" s="76"/>
      <c r="I118" s="76"/>
      <c r="J118" s="76"/>
    </row>
    <row r="119">
      <c r="A119" s="57">
        <v>166.0</v>
      </c>
      <c r="B119" s="23" t="s">
        <v>33</v>
      </c>
      <c r="C119" s="58" t="s">
        <v>37</v>
      </c>
      <c r="D119" s="18"/>
      <c r="H119" s="76"/>
      <c r="I119" s="76"/>
      <c r="J119" s="76"/>
    </row>
    <row r="120">
      <c r="A120" s="57">
        <v>167.0</v>
      </c>
      <c r="B120" s="23" t="s">
        <v>33</v>
      </c>
      <c r="C120" s="58" t="s">
        <v>38</v>
      </c>
      <c r="D120" s="18"/>
      <c r="H120" s="76"/>
      <c r="I120" s="76"/>
      <c r="J120" s="76"/>
    </row>
    <row r="121">
      <c r="A121" s="57">
        <v>168.0</v>
      </c>
      <c r="B121" s="23" t="s">
        <v>33</v>
      </c>
      <c r="C121" s="58" t="s">
        <v>43</v>
      </c>
      <c r="D121" s="18"/>
      <c r="H121" s="76"/>
      <c r="I121" s="76"/>
      <c r="J121" s="76"/>
    </row>
    <row r="122">
      <c r="A122" s="57">
        <v>169.0</v>
      </c>
      <c r="B122" s="23" t="s">
        <v>33</v>
      </c>
      <c r="C122" s="58" t="s">
        <v>45</v>
      </c>
      <c r="D122" s="18"/>
      <c r="H122" s="76"/>
      <c r="I122" s="76"/>
      <c r="J122" s="76"/>
    </row>
    <row r="123">
      <c r="A123" s="57">
        <v>170.0</v>
      </c>
      <c r="B123" s="23" t="s">
        <v>39</v>
      </c>
      <c r="C123" s="58" t="s">
        <v>40</v>
      </c>
      <c r="D123" s="23" t="s">
        <v>41</v>
      </c>
      <c r="H123" s="76"/>
      <c r="I123" s="76"/>
      <c r="J123" s="76"/>
    </row>
    <row r="124">
      <c r="A124" s="57">
        <v>171.0</v>
      </c>
      <c r="B124" s="23" t="s">
        <v>33</v>
      </c>
      <c r="C124" s="58" t="s">
        <v>46</v>
      </c>
      <c r="D124" s="18"/>
      <c r="H124" s="76"/>
      <c r="I124" s="76"/>
      <c r="J124" s="76"/>
    </row>
    <row r="125">
      <c r="A125" s="57">
        <v>172.0</v>
      </c>
      <c r="B125" s="23" t="s">
        <v>33</v>
      </c>
      <c r="C125" s="58" t="s">
        <v>34</v>
      </c>
      <c r="D125" s="18"/>
      <c r="H125" s="76"/>
      <c r="I125" s="76"/>
      <c r="J125" s="76"/>
    </row>
    <row r="126">
      <c r="A126" s="57">
        <v>173.0</v>
      </c>
      <c r="B126" s="23" t="s">
        <v>33</v>
      </c>
      <c r="C126" s="58" t="s">
        <v>37</v>
      </c>
      <c r="D126" s="18"/>
      <c r="H126" s="76"/>
      <c r="I126" s="76"/>
      <c r="J126" s="76"/>
    </row>
    <row r="127">
      <c r="A127" s="57">
        <v>174.0</v>
      </c>
      <c r="B127" s="23" t="s">
        <v>33</v>
      </c>
      <c r="C127" s="58" t="s">
        <v>38</v>
      </c>
      <c r="D127" s="18"/>
      <c r="H127" s="76"/>
      <c r="I127" s="76"/>
      <c r="J127" s="76"/>
    </row>
    <row r="128">
      <c r="A128" s="57">
        <v>175.0</v>
      </c>
      <c r="B128" s="23" t="s">
        <v>39</v>
      </c>
      <c r="C128" s="58" t="s">
        <v>40</v>
      </c>
      <c r="D128" s="23" t="s">
        <v>41</v>
      </c>
      <c r="H128" s="76"/>
      <c r="I128" s="76"/>
      <c r="J128" s="76"/>
    </row>
    <row r="129">
      <c r="A129" s="57">
        <v>176.0</v>
      </c>
      <c r="B129" s="23" t="s">
        <v>33</v>
      </c>
      <c r="C129" s="58" t="s">
        <v>43</v>
      </c>
      <c r="D129" s="18"/>
      <c r="H129" s="76"/>
      <c r="I129" s="76"/>
      <c r="J129" s="76"/>
    </row>
    <row r="130">
      <c r="A130" s="57">
        <v>177.0</v>
      </c>
      <c r="B130" s="23" t="s">
        <v>33</v>
      </c>
      <c r="C130" s="58" t="s">
        <v>45</v>
      </c>
      <c r="D130" s="18"/>
      <c r="H130" s="76"/>
      <c r="I130" s="76"/>
      <c r="J130" s="76"/>
    </row>
    <row r="131">
      <c r="A131" s="57">
        <v>178.0</v>
      </c>
      <c r="B131" s="23" t="s">
        <v>33</v>
      </c>
      <c r="C131" s="58" t="s">
        <v>46</v>
      </c>
      <c r="D131" s="18"/>
      <c r="H131" s="76"/>
      <c r="I131" s="76"/>
      <c r="J131" s="76"/>
    </row>
    <row r="132">
      <c r="A132" s="57">
        <v>179.0</v>
      </c>
      <c r="B132" s="23" t="s">
        <v>33</v>
      </c>
      <c r="C132" s="58" t="s">
        <v>34</v>
      </c>
      <c r="D132" s="18"/>
      <c r="H132" s="76"/>
      <c r="I132" s="76"/>
      <c r="J132" s="76"/>
    </row>
    <row r="133">
      <c r="A133" s="57">
        <v>180.0</v>
      </c>
      <c r="B133" s="23" t="s">
        <v>39</v>
      </c>
      <c r="C133" s="58" t="s">
        <v>40</v>
      </c>
      <c r="D133" s="23" t="s">
        <v>41</v>
      </c>
      <c r="H133" s="76"/>
      <c r="I133" s="76"/>
      <c r="J133" s="76"/>
    </row>
    <row r="134">
      <c r="A134" s="57">
        <v>181.0</v>
      </c>
      <c r="B134" s="23" t="s">
        <v>33</v>
      </c>
      <c r="C134" s="58" t="s">
        <v>37</v>
      </c>
      <c r="D134" s="18"/>
      <c r="H134" s="76"/>
      <c r="I134" s="76"/>
      <c r="J134" s="76"/>
    </row>
    <row r="135">
      <c r="A135" s="57">
        <v>182.0</v>
      </c>
      <c r="B135" s="23" t="s">
        <v>33</v>
      </c>
      <c r="C135" s="58" t="s">
        <v>38</v>
      </c>
      <c r="D135" s="18"/>
      <c r="H135" s="76"/>
      <c r="I135" s="76"/>
      <c r="J135" s="76"/>
    </row>
    <row r="136">
      <c r="A136" s="57">
        <v>183.0</v>
      </c>
      <c r="B136" s="23" t="s">
        <v>33</v>
      </c>
      <c r="C136" s="58" t="s">
        <v>43</v>
      </c>
      <c r="D136" s="18"/>
      <c r="H136" s="76"/>
      <c r="I136" s="76"/>
      <c r="J136" s="76"/>
    </row>
    <row r="137">
      <c r="A137" s="57">
        <v>184.0</v>
      </c>
      <c r="B137" s="23" t="s">
        <v>33</v>
      </c>
      <c r="C137" s="58" t="s">
        <v>45</v>
      </c>
      <c r="D137" s="18"/>
      <c r="H137" s="76"/>
      <c r="I137" s="76"/>
      <c r="J137" s="76"/>
    </row>
    <row r="138">
      <c r="A138" s="57">
        <v>185.0</v>
      </c>
      <c r="B138" s="23" t="s">
        <v>39</v>
      </c>
      <c r="C138" s="58" t="s">
        <v>40</v>
      </c>
      <c r="D138" s="23" t="s">
        <v>41</v>
      </c>
      <c r="H138" s="76"/>
      <c r="I138" s="76"/>
      <c r="J138" s="76"/>
    </row>
    <row r="139">
      <c r="A139" s="57">
        <v>186.0</v>
      </c>
      <c r="B139" s="23" t="s">
        <v>33</v>
      </c>
      <c r="C139" s="58" t="s">
        <v>46</v>
      </c>
      <c r="D139" s="18"/>
      <c r="H139" s="76"/>
      <c r="I139" s="76"/>
      <c r="J139" s="76"/>
    </row>
    <row r="140">
      <c r="A140" s="57">
        <v>187.0</v>
      </c>
      <c r="B140" s="23" t="s">
        <v>33</v>
      </c>
      <c r="C140" s="58" t="s">
        <v>34</v>
      </c>
      <c r="D140" s="18"/>
      <c r="H140" s="76"/>
      <c r="I140" s="76"/>
      <c r="J140" s="76"/>
    </row>
    <row r="141">
      <c r="A141" s="57">
        <v>188.0</v>
      </c>
      <c r="B141" s="23" t="s">
        <v>33</v>
      </c>
      <c r="C141" s="58" t="s">
        <v>37</v>
      </c>
      <c r="D141" s="18"/>
      <c r="H141" s="76"/>
      <c r="I141" s="76"/>
      <c r="J141" s="76"/>
    </row>
    <row r="142">
      <c r="A142" s="57">
        <v>189.0</v>
      </c>
      <c r="B142" s="23" t="s">
        <v>33</v>
      </c>
      <c r="C142" s="58" t="s">
        <v>38</v>
      </c>
      <c r="D142" s="18"/>
      <c r="H142" s="76"/>
      <c r="I142" s="76"/>
      <c r="J142" s="76"/>
    </row>
    <row r="143">
      <c r="A143" s="57">
        <v>190.0</v>
      </c>
      <c r="B143" s="23" t="s">
        <v>39</v>
      </c>
      <c r="C143" s="58" t="s">
        <v>40</v>
      </c>
      <c r="D143" s="23" t="s">
        <v>41</v>
      </c>
      <c r="H143" s="76"/>
      <c r="I143" s="76"/>
      <c r="J143" s="76"/>
    </row>
    <row r="144">
      <c r="A144" s="57">
        <v>191.0</v>
      </c>
      <c r="B144" s="23" t="s">
        <v>33</v>
      </c>
      <c r="C144" s="58" t="s">
        <v>43</v>
      </c>
      <c r="D144" s="18"/>
      <c r="H144" s="76"/>
      <c r="I144" s="76"/>
      <c r="J144" s="76"/>
    </row>
    <row r="145">
      <c r="A145" s="57">
        <v>192.0</v>
      </c>
      <c r="B145" s="23" t="s">
        <v>33</v>
      </c>
      <c r="C145" s="58" t="s">
        <v>45</v>
      </c>
      <c r="D145" s="18"/>
      <c r="H145" s="76"/>
      <c r="I145" s="76"/>
      <c r="J145" s="76"/>
    </row>
    <row r="146">
      <c r="A146" s="57">
        <v>193.0</v>
      </c>
      <c r="B146" s="23" t="s">
        <v>33</v>
      </c>
      <c r="C146" s="58" t="s">
        <v>46</v>
      </c>
      <c r="D146" s="18"/>
      <c r="H146" s="76"/>
      <c r="I146" s="76"/>
      <c r="J146" s="76"/>
    </row>
    <row r="147">
      <c r="A147" s="57">
        <v>194.0</v>
      </c>
      <c r="B147" s="23" t="s">
        <v>33</v>
      </c>
      <c r="C147" s="58" t="s">
        <v>34</v>
      </c>
      <c r="D147" s="18"/>
      <c r="H147" s="76"/>
      <c r="I147" s="76"/>
      <c r="J147" s="76"/>
    </row>
    <row r="148">
      <c r="A148" s="57">
        <v>195.0</v>
      </c>
      <c r="B148" s="23" t="s">
        <v>39</v>
      </c>
      <c r="C148" s="58" t="s">
        <v>40</v>
      </c>
      <c r="D148" s="23" t="s">
        <v>41</v>
      </c>
      <c r="H148" s="76"/>
      <c r="I148" s="76"/>
      <c r="J148" s="76"/>
    </row>
    <row r="149">
      <c r="A149" s="57">
        <v>196.0</v>
      </c>
      <c r="B149" s="23" t="s">
        <v>33</v>
      </c>
      <c r="C149" s="58" t="s">
        <v>37</v>
      </c>
      <c r="D149" s="18"/>
      <c r="H149" s="76"/>
      <c r="I149" s="76"/>
      <c r="J149" s="76"/>
    </row>
    <row r="150">
      <c r="A150" s="57">
        <v>197.0</v>
      </c>
      <c r="B150" s="23" t="s">
        <v>33</v>
      </c>
      <c r="C150" s="58" t="s">
        <v>38</v>
      </c>
      <c r="D150" s="18"/>
      <c r="H150" s="76"/>
      <c r="I150" s="76"/>
      <c r="J150" s="76"/>
    </row>
    <row r="151">
      <c r="A151" s="57">
        <v>198.0</v>
      </c>
      <c r="B151" s="23" t="s">
        <v>33</v>
      </c>
      <c r="C151" s="58" t="s">
        <v>43</v>
      </c>
      <c r="D151" s="18"/>
      <c r="H151" s="76"/>
      <c r="I151" s="76"/>
      <c r="J151" s="76"/>
    </row>
    <row r="152">
      <c r="A152" s="57">
        <v>199.0</v>
      </c>
      <c r="B152" s="23" t="s">
        <v>33</v>
      </c>
      <c r="C152" s="58" t="s">
        <v>45</v>
      </c>
      <c r="D152" s="18"/>
      <c r="H152" s="76"/>
      <c r="I152" s="76"/>
      <c r="J152" s="76"/>
    </row>
    <row r="153">
      <c r="A153" s="57">
        <v>200.0</v>
      </c>
      <c r="B153" s="23" t="s">
        <v>39</v>
      </c>
      <c r="C153" s="58" t="s">
        <v>40</v>
      </c>
      <c r="D153" s="23" t="s">
        <v>41</v>
      </c>
      <c r="H153" s="76"/>
      <c r="I153" s="76"/>
      <c r="J153" s="76"/>
    </row>
    <row r="154">
      <c r="A154" s="57">
        <v>201.0</v>
      </c>
      <c r="B154" s="23" t="s">
        <v>33</v>
      </c>
      <c r="C154" s="58" t="s">
        <v>46</v>
      </c>
      <c r="D154" s="18"/>
      <c r="H154" s="77" t="s">
        <v>131</v>
      </c>
    </row>
    <row r="155">
      <c r="A155" s="57">
        <v>202.0</v>
      </c>
      <c r="B155" s="23" t="s">
        <v>33</v>
      </c>
      <c r="C155" s="58" t="s">
        <v>34</v>
      </c>
      <c r="D155" s="18"/>
    </row>
    <row r="156">
      <c r="A156" s="57">
        <v>203.0</v>
      </c>
      <c r="B156" s="23" t="s">
        <v>33</v>
      </c>
      <c r="C156" s="58" t="s">
        <v>37</v>
      </c>
      <c r="D156" s="18"/>
      <c r="H156" s="76"/>
      <c r="I156" s="76"/>
      <c r="J156" s="76"/>
    </row>
    <row r="157">
      <c r="A157" s="57">
        <v>204.0</v>
      </c>
      <c r="B157" s="23" t="s">
        <v>33</v>
      </c>
      <c r="C157" s="58" t="s">
        <v>38</v>
      </c>
      <c r="D157" s="18"/>
      <c r="H157" s="76"/>
      <c r="I157" s="76"/>
      <c r="J157" s="76"/>
    </row>
    <row r="158">
      <c r="A158" s="57">
        <v>205.0</v>
      </c>
      <c r="B158" s="23" t="s">
        <v>39</v>
      </c>
      <c r="C158" s="58" t="s">
        <v>40</v>
      </c>
      <c r="D158" s="23" t="s">
        <v>41</v>
      </c>
      <c r="H158" s="76"/>
      <c r="I158" s="76"/>
      <c r="J158" s="76"/>
    </row>
    <row r="159">
      <c r="A159" s="57">
        <v>206.0</v>
      </c>
      <c r="B159" s="23" t="s">
        <v>33</v>
      </c>
      <c r="C159" s="58" t="s">
        <v>43</v>
      </c>
      <c r="D159" s="18"/>
      <c r="H159" s="76"/>
      <c r="I159" s="76"/>
      <c r="J159" s="76"/>
    </row>
    <row r="160">
      <c r="A160" s="57">
        <v>207.0</v>
      </c>
      <c r="B160" s="23" t="s">
        <v>33</v>
      </c>
      <c r="C160" s="58" t="s">
        <v>45</v>
      </c>
      <c r="D160" s="18"/>
      <c r="H160" s="76"/>
      <c r="I160" s="76"/>
      <c r="J160" s="76"/>
    </row>
    <row r="161">
      <c r="A161" s="57">
        <v>208.0</v>
      </c>
      <c r="B161" s="23" t="s">
        <v>33</v>
      </c>
      <c r="C161" s="58" t="s">
        <v>46</v>
      </c>
      <c r="D161" s="18"/>
      <c r="H161" s="76"/>
      <c r="I161" s="76"/>
      <c r="J161" s="76"/>
    </row>
    <row r="162">
      <c r="A162" s="57">
        <v>209.0</v>
      </c>
      <c r="B162" s="23" t="s">
        <v>33</v>
      </c>
      <c r="C162" s="58" t="s">
        <v>34</v>
      </c>
      <c r="D162" s="18"/>
      <c r="H162" s="76"/>
      <c r="I162" s="76"/>
      <c r="J162" s="76"/>
    </row>
    <row r="163">
      <c r="A163" s="57">
        <v>210.0</v>
      </c>
      <c r="B163" s="23" t="s">
        <v>39</v>
      </c>
      <c r="C163" s="58" t="s">
        <v>40</v>
      </c>
      <c r="D163" s="23" t="s">
        <v>41</v>
      </c>
      <c r="H163" s="76"/>
      <c r="I163" s="76"/>
      <c r="J163" s="76"/>
    </row>
    <row r="164">
      <c r="A164" s="57">
        <v>211.0</v>
      </c>
      <c r="B164" s="23" t="s">
        <v>33</v>
      </c>
      <c r="C164" s="58" t="s">
        <v>37</v>
      </c>
      <c r="D164" s="18"/>
      <c r="H164" s="76"/>
      <c r="I164" s="76"/>
      <c r="J164" s="76"/>
    </row>
    <row r="165">
      <c r="A165" s="57">
        <v>212.0</v>
      </c>
      <c r="B165" s="23" t="s">
        <v>33</v>
      </c>
      <c r="C165" s="58" t="s">
        <v>38</v>
      </c>
      <c r="D165" s="18"/>
      <c r="H165" s="76"/>
      <c r="I165" s="76"/>
      <c r="J165" s="76"/>
    </row>
    <row r="166">
      <c r="A166" s="57">
        <v>213.0</v>
      </c>
      <c r="B166" s="23" t="s">
        <v>33</v>
      </c>
      <c r="C166" s="58" t="s">
        <v>43</v>
      </c>
      <c r="D166" s="18"/>
      <c r="H166" s="76"/>
      <c r="I166" s="76"/>
      <c r="J166" s="76"/>
    </row>
    <row r="167">
      <c r="A167" s="57">
        <v>214.0</v>
      </c>
      <c r="B167" s="23" t="s">
        <v>33</v>
      </c>
      <c r="C167" s="58" t="s">
        <v>45</v>
      </c>
      <c r="D167" s="18"/>
      <c r="H167" s="76"/>
      <c r="I167" s="76"/>
      <c r="J167" s="76"/>
    </row>
    <row r="168">
      <c r="A168" s="57">
        <v>215.0</v>
      </c>
      <c r="B168" s="23" t="s">
        <v>39</v>
      </c>
      <c r="C168" s="58" t="s">
        <v>40</v>
      </c>
      <c r="D168" s="23" t="s">
        <v>41</v>
      </c>
      <c r="H168" s="76"/>
      <c r="I168" s="76"/>
      <c r="J168" s="76"/>
    </row>
    <row r="169">
      <c r="A169" s="57">
        <v>216.0</v>
      </c>
      <c r="B169" s="23" t="s">
        <v>33</v>
      </c>
      <c r="C169" s="58" t="s">
        <v>46</v>
      </c>
      <c r="D169" s="18"/>
      <c r="H169" s="76"/>
      <c r="I169" s="76"/>
      <c r="J169" s="76"/>
    </row>
    <row r="170">
      <c r="A170" s="57">
        <v>217.0</v>
      </c>
      <c r="B170" s="23" t="s">
        <v>33</v>
      </c>
      <c r="C170" s="58" t="s">
        <v>34</v>
      </c>
      <c r="D170" s="18"/>
      <c r="H170" s="76"/>
      <c r="I170" s="76"/>
      <c r="J170" s="76"/>
    </row>
    <row r="171">
      <c r="A171" s="57">
        <v>218.0</v>
      </c>
      <c r="B171" s="23" t="s">
        <v>33</v>
      </c>
      <c r="C171" s="58" t="s">
        <v>37</v>
      </c>
      <c r="D171" s="18"/>
      <c r="H171" s="76"/>
      <c r="I171" s="76"/>
      <c r="J171" s="76"/>
    </row>
    <row r="172">
      <c r="A172" s="57">
        <v>219.0</v>
      </c>
      <c r="B172" s="23" t="s">
        <v>33</v>
      </c>
      <c r="C172" s="58" t="s">
        <v>38</v>
      </c>
      <c r="D172" s="18"/>
      <c r="H172" s="76"/>
      <c r="I172" s="76"/>
      <c r="J172" s="76"/>
    </row>
    <row r="173">
      <c r="A173" s="57">
        <v>220.0</v>
      </c>
      <c r="B173" s="23" t="s">
        <v>39</v>
      </c>
      <c r="C173" s="58" t="s">
        <v>40</v>
      </c>
      <c r="D173" s="23" t="s">
        <v>41</v>
      </c>
      <c r="H173" s="76"/>
      <c r="I173" s="76"/>
      <c r="J173" s="76"/>
    </row>
    <row r="174">
      <c r="A174" s="57">
        <v>221.0</v>
      </c>
      <c r="B174" s="23" t="s">
        <v>33</v>
      </c>
      <c r="C174" s="58" t="s">
        <v>43</v>
      </c>
      <c r="D174" s="18"/>
      <c r="H174" s="76"/>
      <c r="I174" s="76"/>
      <c r="J174" s="76"/>
    </row>
    <row r="175">
      <c r="A175" s="57">
        <v>222.0</v>
      </c>
      <c r="B175" s="23" t="s">
        <v>33</v>
      </c>
      <c r="C175" s="58" t="s">
        <v>45</v>
      </c>
      <c r="D175" s="18"/>
      <c r="H175" s="76"/>
      <c r="I175" s="76"/>
      <c r="J175" s="76"/>
    </row>
    <row r="176">
      <c r="A176" s="57">
        <v>223.0</v>
      </c>
      <c r="B176" s="23" t="s">
        <v>33</v>
      </c>
      <c r="C176" s="58" t="s">
        <v>46</v>
      </c>
      <c r="D176" s="18"/>
      <c r="H176" s="76"/>
      <c r="I176" s="76"/>
      <c r="J176" s="76"/>
    </row>
    <row r="177">
      <c r="A177" s="57">
        <v>224.0</v>
      </c>
      <c r="B177" s="23" t="s">
        <v>33</v>
      </c>
      <c r="C177" s="58" t="s">
        <v>34</v>
      </c>
      <c r="D177" s="18"/>
      <c r="H177" s="76"/>
      <c r="I177" s="76"/>
      <c r="J177" s="76"/>
    </row>
    <row r="178">
      <c r="A178" s="57">
        <v>225.0</v>
      </c>
      <c r="B178" s="23" t="s">
        <v>39</v>
      </c>
      <c r="C178" s="58" t="s">
        <v>40</v>
      </c>
      <c r="D178" s="23" t="s">
        <v>41</v>
      </c>
      <c r="H178" s="76"/>
      <c r="I178" s="76"/>
      <c r="J178" s="76"/>
    </row>
    <row r="179">
      <c r="A179" s="57">
        <v>226.0</v>
      </c>
      <c r="B179" s="23" t="s">
        <v>33</v>
      </c>
      <c r="C179" s="58" t="s">
        <v>37</v>
      </c>
      <c r="D179" s="18"/>
      <c r="H179" s="76"/>
      <c r="I179" s="76"/>
      <c r="J179" s="76"/>
    </row>
    <row r="180">
      <c r="A180" s="57">
        <v>227.0</v>
      </c>
      <c r="B180" s="23" t="s">
        <v>33</v>
      </c>
      <c r="C180" s="58" t="s">
        <v>38</v>
      </c>
      <c r="D180" s="18"/>
      <c r="H180" s="76"/>
      <c r="I180" s="76"/>
      <c r="J180" s="76"/>
    </row>
    <row r="181">
      <c r="A181" s="57">
        <v>228.0</v>
      </c>
      <c r="B181" s="23" t="s">
        <v>33</v>
      </c>
      <c r="C181" s="58" t="s">
        <v>43</v>
      </c>
      <c r="D181" s="18"/>
      <c r="H181" s="76"/>
      <c r="I181" s="76"/>
      <c r="J181" s="76"/>
    </row>
    <row r="182">
      <c r="A182" s="57">
        <v>229.0</v>
      </c>
      <c r="B182" s="23" t="s">
        <v>33</v>
      </c>
      <c r="C182" s="58" t="s">
        <v>45</v>
      </c>
      <c r="D182" s="18"/>
      <c r="H182" s="76"/>
      <c r="I182" s="76"/>
      <c r="J182" s="76"/>
    </row>
    <row r="183">
      <c r="A183" s="57">
        <v>230.0</v>
      </c>
      <c r="B183" s="23" t="s">
        <v>39</v>
      </c>
      <c r="C183" s="58" t="s">
        <v>40</v>
      </c>
      <c r="D183" s="23" t="s">
        <v>41</v>
      </c>
      <c r="H183" s="76"/>
      <c r="I183" s="76"/>
      <c r="J183" s="76"/>
    </row>
    <row r="184">
      <c r="A184" s="57">
        <v>231.0</v>
      </c>
      <c r="B184" s="23" t="s">
        <v>33</v>
      </c>
      <c r="C184" s="58" t="s">
        <v>46</v>
      </c>
      <c r="D184" s="18"/>
      <c r="H184" s="76"/>
      <c r="I184" s="76"/>
      <c r="J184" s="76"/>
    </row>
    <row r="185">
      <c r="A185" s="57">
        <v>232.0</v>
      </c>
      <c r="B185" s="23" t="s">
        <v>33</v>
      </c>
      <c r="C185" s="58" t="s">
        <v>34</v>
      </c>
      <c r="D185" s="18"/>
      <c r="H185" s="76"/>
      <c r="I185" s="76"/>
      <c r="J185" s="76"/>
    </row>
    <row r="186">
      <c r="A186" s="57">
        <v>233.0</v>
      </c>
      <c r="B186" s="23" t="s">
        <v>33</v>
      </c>
      <c r="C186" s="58" t="s">
        <v>37</v>
      </c>
      <c r="D186" s="18"/>
      <c r="H186" s="76"/>
      <c r="I186" s="76"/>
      <c r="J186" s="76"/>
    </row>
    <row r="187">
      <c r="A187" s="57">
        <v>234.0</v>
      </c>
      <c r="B187" s="23" t="s">
        <v>33</v>
      </c>
      <c r="C187" s="58" t="s">
        <v>38</v>
      </c>
      <c r="D187" s="18"/>
      <c r="H187" s="76"/>
      <c r="I187" s="76"/>
      <c r="J187" s="76"/>
    </row>
    <row r="188">
      <c r="A188" s="57">
        <v>235.0</v>
      </c>
      <c r="B188" s="23" t="s">
        <v>39</v>
      </c>
      <c r="C188" s="58" t="s">
        <v>40</v>
      </c>
      <c r="D188" s="23" t="s">
        <v>41</v>
      </c>
      <c r="H188" s="76"/>
      <c r="I188" s="76"/>
      <c r="J188" s="76"/>
    </row>
    <row r="189">
      <c r="A189" s="57">
        <v>236.0</v>
      </c>
      <c r="B189" s="23" t="s">
        <v>33</v>
      </c>
      <c r="C189" s="58" t="s">
        <v>43</v>
      </c>
      <c r="D189" s="18"/>
      <c r="H189" s="76"/>
      <c r="I189" s="76"/>
      <c r="J189" s="76"/>
    </row>
    <row r="190">
      <c r="A190" s="57">
        <v>237.0</v>
      </c>
      <c r="B190" s="23" t="s">
        <v>33</v>
      </c>
      <c r="C190" s="58" t="s">
        <v>45</v>
      </c>
      <c r="D190" s="18"/>
      <c r="H190" s="76"/>
      <c r="I190" s="76"/>
      <c r="J190" s="76"/>
    </row>
    <row r="191">
      <c r="A191" s="57">
        <v>238.0</v>
      </c>
      <c r="B191" s="23" t="s">
        <v>33</v>
      </c>
      <c r="C191" s="58" t="s">
        <v>46</v>
      </c>
      <c r="D191" s="18"/>
      <c r="H191" s="76"/>
      <c r="I191" s="76"/>
      <c r="J191" s="76"/>
    </row>
    <row r="192">
      <c r="A192" s="57">
        <v>239.0</v>
      </c>
      <c r="B192" s="23" t="s">
        <v>33</v>
      </c>
      <c r="C192" s="58" t="s">
        <v>34</v>
      </c>
      <c r="D192" s="18"/>
      <c r="H192" s="76"/>
      <c r="I192" s="76"/>
      <c r="J192" s="76"/>
    </row>
    <row r="193">
      <c r="A193" s="57">
        <v>240.0</v>
      </c>
      <c r="B193" s="23" t="s">
        <v>39</v>
      </c>
      <c r="C193" s="58" t="s">
        <v>40</v>
      </c>
      <c r="D193" s="23" t="s">
        <v>41</v>
      </c>
      <c r="H193" s="76"/>
      <c r="I193" s="76"/>
      <c r="J193" s="76"/>
    </row>
    <row r="194">
      <c r="A194" s="57">
        <v>241.0</v>
      </c>
      <c r="B194" s="23" t="s">
        <v>33</v>
      </c>
      <c r="C194" s="58" t="s">
        <v>37</v>
      </c>
      <c r="D194" s="18"/>
      <c r="H194" s="76"/>
      <c r="I194" s="76"/>
      <c r="J194" s="76"/>
    </row>
    <row r="195">
      <c r="A195" s="57">
        <v>242.0</v>
      </c>
      <c r="B195" s="23" t="s">
        <v>33</v>
      </c>
      <c r="C195" s="58" t="s">
        <v>38</v>
      </c>
      <c r="D195" s="18"/>
      <c r="H195" s="76"/>
      <c r="I195" s="76"/>
      <c r="J195" s="76"/>
    </row>
    <row r="196">
      <c r="A196" s="57">
        <v>243.0</v>
      </c>
      <c r="B196" s="23" t="s">
        <v>33</v>
      </c>
      <c r="C196" s="58" t="s">
        <v>43</v>
      </c>
      <c r="D196" s="18"/>
      <c r="H196" s="76"/>
      <c r="I196" s="76"/>
      <c r="J196" s="76"/>
    </row>
    <row r="197">
      <c r="A197" s="57">
        <v>244.0</v>
      </c>
      <c r="B197" s="23" t="s">
        <v>33</v>
      </c>
      <c r="C197" s="58" t="s">
        <v>45</v>
      </c>
      <c r="D197" s="18"/>
      <c r="H197" s="76"/>
      <c r="I197" s="76"/>
      <c r="J197" s="76"/>
    </row>
    <row r="198">
      <c r="A198" s="57">
        <v>245.0</v>
      </c>
      <c r="B198" s="23" t="s">
        <v>39</v>
      </c>
      <c r="C198" s="58" t="s">
        <v>40</v>
      </c>
      <c r="D198" s="23" t="s">
        <v>41</v>
      </c>
      <c r="H198" s="76"/>
      <c r="I198" s="76"/>
      <c r="J198" s="76"/>
    </row>
    <row r="199">
      <c r="A199" s="57">
        <v>246.0</v>
      </c>
      <c r="B199" s="23" t="s">
        <v>33</v>
      </c>
      <c r="C199" s="58" t="s">
        <v>46</v>
      </c>
      <c r="D199" s="18"/>
      <c r="H199" s="76"/>
      <c r="I199" s="76"/>
      <c r="J199" s="76"/>
    </row>
    <row r="200">
      <c r="A200" s="57">
        <v>247.0</v>
      </c>
      <c r="B200" s="23" t="s">
        <v>33</v>
      </c>
      <c r="C200" s="58" t="s">
        <v>34</v>
      </c>
      <c r="D200" s="18"/>
      <c r="H200" s="76"/>
      <c r="I200" s="76"/>
      <c r="J200" s="76"/>
    </row>
    <row r="201">
      <c r="A201" s="57">
        <v>248.0</v>
      </c>
      <c r="B201" s="23" t="s">
        <v>33</v>
      </c>
      <c r="C201" s="58" t="s">
        <v>37</v>
      </c>
      <c r="D201" s="18"/>
      <c r="H201" s="76"/>
      <c r="I201" s="76"/>
      <c r="J201" s="76"/>
    </row>
    <row r="202">
      <c r="A202" s="57">
        <v>249.0</v>
      </c>
      <c r="B202" s="23" t="s">
        <v>33</v>
      </c>
      <c r="C202" s="58" t="s">
        <v>38</v>
      </c>
      <c r="D202" s="18"/>
      <c r="H202" s="76"/>
      <c r="I202" s="76"/>
      <c r="J202" s="76"/>
    </row>
    <row r="203">
      <c r="A203" s="57">
        <v>250.0</v>
      </c>
      <c r="B203" s="23" t="s">
        <v>39</v>
      </c>
      <c r="C203" s="58" t="s">
        <v>40</v>
      </c>
      <c r="D203" s="23" t="s">
        <v>41</v>
      </c>
      <c r="H203" s="76"/>
      <c r="I203" s="76"/>
      <c r="J203" s="76"/>
    </row>
    <row r="204">
      <c r="A204" s="57">
        <v>251.0</v>
      </c>
      <c r="B204" s="23" t="s">
        <v>33</v>
      </c>
      <c r="C204" s="58" t="s">
        <v>43</v>
      </c>
      <c r="D204" s="18"/>
      <c r="H204" s="77" t="s">
        <v>132</v>
      </c>
    </row>
    <row r="205">
      <c r="A205" s="57">
        <v>252.0</v>
      </c>
      <c r="B205" s="23" t="s">
        <v>33</v>
      </c>
      <c r="C205" s="58" t="s">
        <v>45</v>
      </c>
      <c r="D205" s="18"/>
    </row>
    <row r="206">
      <c r="A206" s="57">
        <v>253.0</v>
      </c>
      <c r="B206" s="23" t="s">
        <v>33</v>
      </c>
      <c r="C206" s="58" t="s">
        <v>46</v>
      </c>
      <c r="D206" s="18"/>
      <c r="H206" s="76"/>
      <c r="I206" s="76"/>
      <c r="J206" s="76"/>
    </row>
    <row r="207">
      <c r="A207" s="57">
        <v>254.0</v>
      </c>
      <c r="B207" s="23" t="s">
        <v>33</v>
      </c>
      <c r="C207" s="58" t="s">
        <v>34</v>
      </c>
      <c r="D207" s="18"/>
      <c r="H207" s="76"/>
      <c r="I207" s="76"/>
      <c r="J207" s="76"/>
    </row>
    <row r="208">
      <c r="A208" s="57">
        <v>255.0</v>
      </c>
      <c r="B208" s="23" t="s">
        <v>39</v>
      </c>
      <c r="C208" s="58" t="s">
        <v>40</v>
      </c>
      <c r="D208" s="23" t="s">
        <v>41</v>
      </c>
      <c r="H208" s="76"/>
      <c r="I208" s="76"/>
      <c r="J208" s="76"/>
    </row>
    <row r="209">
      <c r="A209" s="57">
        <v>256.0</v>
      </c>
      <c r="B209" s="23" t="s">
        <v>33</v>
      </c>
      <c r="C209" s="58" t="s">
        <v>37</v>
      </c>
      <c r="D209" s="18"/>
      <c r="H209" s="76"/>
      <c r="I209" s="76"/>
      <c r="J209" s="76"/>
    </row>
    <row r="210">
      <c r="A210" s="57">
        <v>257.0</v>
      </c>
      <c r="B210" s="23" t="s">
        <v>33</v>
      </c>
      <c r="C210" s="58" t="s">
        <v>38</v>
      </c>
      <c r="D210" s="18"/>
      <c r="H210" s="76"/>
      <c r="I210" s="76"/>
      <c r="J210" s="76"/>
    </row>
    <row r="211">
      <c r="A211" s="57">
        <v>258.0</v>
      </c>
      <c r="B211" s="23" t="s">
        <v>33</v>
      </c>
      <c r="C211" s="58" t="s">
        <v>43</v>
      </c>
      <c r="D211" s="18"/>
      <c r="H211" s="76"/>
      <c r="I211" s="76"/>
      <c r="J211" s="76"/>
    </row>
    <row r="212">
      <c r="A212" s="57">
        <v>259.0</v>
      </c>
      <c r="B212" s="23" t="s">
        <v>33</v>
      </c>
      <c r="C212" s="58" t="s">
        <v>45</v>
      </c>
      <c r="D212" s="18"/>
      <c r="H212" s="76"/>
      <c r="I212" s="76"/>
      <c r="J212" s="76"/>
    </row>
    <row r="213">
      <c r="A213" s="57">
        <v>260.0</v>
      </c>
      <c r="B213" s="23" t="s">
        <v>39</v>
      </c>
      <c r="C213" s="58" t="s">
        <v>40</v>
      </c>
      <c r="D213" s="23" t="s">
        <v>41</v>
      </c>
      <c r="H213" s="76"/>
      <c r="I213" s="76"/>
      <c r="J213" s="76"/>
    </row>
    <row r="214">
      <c r="A214" s="57">
        <v>261.0</v>
      </c>
      <c r="B214" s="23" t="s">
        <v>33</v>
      </c>
      <c r="C214" s="58" t="s">
        <v>46</v>
      </c>
      <c r="D214" s="18"/>
      <c r="H214" s="76"/>
      <c r="I214" s="76"/>
      <c r="J214" s="76"/>
    </row>
    <row r="215">
      <c r="A215" s="57">
        <v>262.0</v>
      </c>
      <c r="B215" s="23" t="s">
        <v>33</v>
      </c>
      <c r="C215" s="58" t="s">
        <v>34</v>
      </c>
      <c r="D215" s="18"/>
      <c r="H215" s="76"/>
      <c r="I215" s="76"/>
      <c r="J215" s="76"/>
    </row>
    <row r="216">
      <c r="A216" s="57">
        <v>263.0</v>
      </c>
      <c r="B216" s="23" t="s">
        <v>33</v>
      </c>
      <c r="C216" s="58" t="s">
        <v>37</v>
      </c>
      <c r="D216" s="18"/>
      <c r="H216" s="76"/>
      <c r="I216" s="76"/>
      <c r="J216" s="76"/>
    </row>
    <row r="217">
      <c r="A217" s="57">
        <v>264.0</v>
      </c>
      <c r="B217" s="23" t="s">
        <v>33</v>
      </c>
      <c r="C217" s="58" t="s">
        <v>38</v>
      </c>
      <c r="D217" s="18"/>
      <c r="H217" s="76"/>
      <c r="I217" s="76"/>
      <c r="J217" s="76"/>
    </row>
    <row r="218">
      <c r="A218" s="57">
        <v>265.0</v>
      </c>
      <c r="B218" s="23" t="s">
        <v>39</v>
      </c>
      <c r="C218" s="58" t="s">
        <v>40</v>
      </c>
      <c r="D218" s="23" t="s">
        <v>41</v>
      </c>
      <c r="H218" s="76"/>
      <c r="I218" s="76"/>
      <c r="J218" s="76"/>
    </row>
    <row r="219">
      <c r="A219" s="57">
        <v>266.0</v>
      </c>
      <c r="B219" s="23" t="s">
        <v>33</v>
      </c>
      <c r="C219" s="58" t="s">
        <v>43</v>
      </c>
      <c r="D219" s="18"/>
      <c r="H219" s="76"/>
      <c r="I219" s="76"/>
      <c r="J219" s="76"/>
    </row>
    <row r="220">
      <c r="A220" s="57">
        <v>267.0</v>
      </c>
      <c r="B220" s="23" t="s">
        <v>33</v>
      </c>
      <c r="C220" s="58" t="s">
        <v>45</v>
      </c>
      <c r="D220" s="18"/>
      <c r="H220" s="76"/>
      <c r="I220" s="76"/>
      <c r="J220" s="76"/>
    </row>
    <row r="221">
      <c r="A221" s="57">
        <v>268.0</v>
      </c>
      <c r="B221" s="23" t="s">
        <v>33</v>
      </c>
      <c r="C221" s="58" t="s">
        <v>46</v>
      </c>
      <c r="D221" s="18"/>
      <c r="H221" s="76"/>
      <c r="I221" s="76"/>
      <c r="J221" s="76"/>
    </row>
    <row r="222">
      <c r="A222" s="57">
        <v>269.0</v>
      </c>
      <c r="B222" s="23" t="s">
        <v>33</v>
      </c>
      <c r="C222" s="58" t="s">
        <v>34</v>
      </c>
      <c r="D222" s="18"/>
      <c r="H222" s="76"/>
      <c r="I222" s="76"/>
      <c r="J222" s="76"/>
    </row>
    <row r="223">
      <c r="A223" s="57">
        <v>270.0</v>
      </c>
      <c r="B223" s="23" t="s">
        <v>39</v>
      </c>
      <c r="C223" s="58" t="s">
        <v>40</v>
      </c>
      <c r="D223" s="23" t="s">
        <v>41</v>
      </c>
      <c r="H223" s="76"/>
      <c r="I223" s="76"/>
      <c r="J223" s="76"/>
    </row>
    <row r="224">
      <c r="A224" s="57">
        <v>271.0</v>
      </c>
      <c r="B224" s="23" t="s">
        <v>33</v>
      </c>
      <c r="C224" s="58" t="s">
        <v>37</v>
      </c>
      <c r="D224" s="18"/>
      <c r="H224" s="76"/>
      <c r="I224" s="76"/>
      <c r="J224" s="76"/>
    </row>
    <row r="225">
      <c r="A225" s="57">
        <v>272.0</v>
      </c>
      <c r="B225" s="23" t="s">
        <v>33</v>
      </c>
      <c r="C225" s="58" t="s">
        <v>38</v>
      </c>
      <c r="D225" s="18"/>
      <c r="H225" s="76"/>
      <c r="I225" s="76"/>
      <c r="J225" s="76"/>
    </row>
    <row r="226">
      <c r="A226" s="57">
        <v>273.0</v>
      </c>
      <c r="B226" s="23" t="s">
        <v>33</v>
      </c>
      <c r="C226" s="58" t="s">
        <v>43</v>
      </c>
      <c r="D226" s="18"/>
      <c r="H226" s="76"/>
      <c r="I226" s="76"/>
      <c r="J226" s="76"/>
    </row>
    <row r="227">
      <c r="A227" s="57">
        <v>274.0</v>
      </c>
      <c r="B227" s="23" t="s">
        <v>33</v>
      </c>
      <c r="C227" s="58" t="s">
        <v>45</v>
      </c>
      <c r="D227" s="18"/>
      <c r="H227" s="76"/>
      <c r="I227" s="76"/>
      <c r="J227" s="76"/>
    </row>
    <row r="228">
      <c r="A228" s="57">
        <v>275.0</v>
      </c>
      <c r="B228" s="23" t="s">
        <v>39</v>
      </c>
      <c r="C228" s="58" t="s">
        <v>40</v>
      </c>
      <c r="D228" s="23" t="s">
        <v>41</v>
      </c>
      <c r="H228" s="76"/>
      <c r="I228" s="76"/>
      <c r="J228" s="76"/>
    </row>
    <row r="229">
      <c r="A229" s="57">
        <v>276.0</v>
      </c>
      <c r="B229" s="23" t="s">
        <v>33</v>
      </c>
      <c r="C229" s="58" t="s">
        <v>46</v>
      </c>
      <c r="D229" s="18"/>
      <c r="H229" s="76"/>
      <c r="I229" s="76"/>
      <c r="J229" s="76"/>
    </row>
    <row r="230">
      <c r="A230" s="57">
        <v>277.0</v>
      </c>
      <c r="B230" s="23" t="s">
        <v>33</v>
      </c>
      <c r="C230" s="58" t="s">
        <v>34</v>
      </c>
      <c r="D230" s="18"/>
      <c r="H230" s="76"/>
      <c r="I230" s="76"/>
      <c r="J230" s="76"/>
    </row>
    <row r="231">
      <c r="A231" s="57">
        <v>278.0</v>
      </c>
      <c r="B231" s="23" t="s">
        <v>33</v>
      </c>
      <c r="C231" s="58" t="s">
        <v>37</v>
      </c>
      <c r="D231" s="18"/>
      <c r="H231" s="76"/>
      <c r="I231" s="76"/>
      <c r="J231" s="76"/>
    </row>
    <row r="232">
      <c r="A232" s="57">
        <v>279.0</v>
      </c>
      <c r="B232" s="23" t="s">
        <v>33</v>
      </c>
      <c r="C232" s="58" t="s">
        <v>38</v>
      </c>
      <c r="D232" s="18"/>
      <c r="H232" s="76"/>
      <c r="I232" s="76"/>
      <c r="J232" s="76"/>
    </row>
    <row r="233">
      <c r="A233" s="57">
        <v>280.0</v>
      </c>
      <c r="B233" s="23" t="s">
        <v>39</v>
      </c>
      <c r="C233" s="58" t="s">
        <v>40</v>
      </c>
      <c r="D233" s="23" t="s">
        <v>41</v>
      </c>
      <c r="H233" s="76"/>
      <c r="I233" s="76"/>
      <c r="J233" s="76"/>
    </row>
    <row r="234">
      <c r="A234" s="57">
        <v>281.0</v>
      </c>
      <c r="B234" s="23" t="s">
        <v>33</v>
      </c>
      <c r="C234" s="58" t="s">
        <v>43</v>
      </c>
      <c r="D234" s="18"/>
      <c r="H234" s="76"/>
      <c r="I234" s="76"/>
      <c r="J234" s="76"/>
    </row>
    <row r="235">
      <c r="A235" s="57">
        <v>282.0</v>
      </c>
      <c r="B235" s="23" t="s">
        <v>33</v>
      </c>
      <c r="C235" s="58" t="s">
        <v>45</v>
      </c>
      <c r="D235" s="18"/>
      <c r="H235" s="76"/>
      <c r="I235" s="76"/>
      <c r="J235" s="76"/>
    </row>
    <row r="236">
      <c r="A236" s="57">
        <v>283.0</v>
      </c>
      <c r="B236" s="23" t="s">
        <v>33</v>
      </c>
      <c r="C236" s="58" t="s">
        <v>46</v>
      </c>
      <c r="D236" s="18"/>
      <c r="H236" s="76"/>
      <c r="I236" s="76"/>
      <c r="J236" s="76"/>
    </row>
    <row r="237">
      <c r="A237" s="57">
        <v>284.0</v>
      </c>
      <c r="B237" s="23" t="s">
        <v>33</v>
      </c>
      <c r="C237" s="58" t="s">
        <v>34</v>
      </c>
      <c r="D237" s="18"/>
      <c r="H237" s="76"/>
      <c r="I237" s="76"/>
      <c r="J237" s="76"/>
    </row>
    <row r="238">
      <c r="A238" s="57">
        <v>285.0</v>
      </c>
      <c r="B238" s="23" t="s">
        <v>39</v>
      </c>
      <c r="C238" s="58" t="s">
        <v>40</v>
      </c>
      <c r="D238" s="23" t="s">
        <v>41</v>
      </c>
      <c r="H238" s="76"/>
      <c r="I238" s="76"/>
      <c r="J238" s="76"/>
    </row>
    <row r="239">
      <c r="A239" s="57">
        <v>286.0</v>
      </c>
      <c r="B239" s="23" t="s">
        <v>33</v>
      </c>
      <c r="C239" s="58" t="s">
        <v>37</v>
      </c>
      <c r="D239" s="18"/>
      <c r="H239" s="76"/>
      <c r="I239" s="76"/>
      <c r="J239" s="76"/>
    </row>
    <row r="240">
      <c r="A240" s="57">
        <v>287.0</v>
      </c>
      <c r="B240" s="23" t="s">
        <v>33</v>
      </c>
      <c r="C240" s="58" t="s">
        <v>38</v>
      </c>
      <c r="D240" s="18"/>
      <c r="H240" s="76"/>
      <c r="I240" s="76"/>
      <c r="J240" s="76"/>
    </row>
    <row r="241">
      <c r="A241" s="57">
        <v>288.0</v>
      </c>
      <c r="B241" s="23" t="s">
        <v>33</v>
      </c>
      <c r="C241" s="58" t="s">
        <v>43</v>
      </c>
      <c r="D241" s="18"/>
      <c r="H241" s="76"/>
      <c r="I241" s="76"/>
      <c r="J241" s="76"/>
    </row>
    <row r="242">
      <c r="A242" s="57">
        <v>289.0</v>
      </c>
      <c r="B242" s="23" t="s">
        <v>33</v>
      </c>
      <c r="C242" s="58" t="s">
        <v>45</v>
      </c>
      <c r="D242" s="18"/>
      <c r="H242" s="76"/>
      <c r="I242" s="76"/>
      <c r="J242" s="76"/>
    </row>
    <row r="243">
      <c r="A243" s="57">
        <v>290.0</v>
      </c>
      <c r="B243" s="23" t="s">
        <v>39</v>
      </c>
      <c r="C243" s="58" t="s">
        <v>40</v>
      </c>
      <c r="D243" s="23" t="s">
        <v>41</v>
      </c>
      <c r="H243" s="76"/>
      <c r="I243" s="76"/>
      <c r="J243" s="76"/>
    </row>
    <row r="244">
      <c r="A244" s="57">
        <v>291.0</v>
      </c>
      <c r="B244" s="23" t="s">
        <v>33</v>
      </c>
      <c r="C244" s="58" t="s">
        <v>46</v>
      </c>
      <c r="D244" s="18"/>
      <c r="H244" s="76"/>
      <c r="I244" s="76"/>
      <c r="J244" s="76"/>
    </row>
    <row r="245">
      <c r="A245" s="57">
        <v>292.0</v>
      </c>
      <c r="B245" s="23" t="s">
        <v>33</v>
      </c>
      <c r="C245" s="58" t="s">
        <v>34</v>
      </c>
      <c r="D245" s="18"/>
      <c r="H245" s="76"/>
      <c r="I245" s="76"/>
      <c r="J245" s="76"/>
    </row>
    <row r="246">
      <c r="A246" s="57">
        <v>293.0</v>
      </c>
      <c r="B246" s="23" t="s">
        <v>33</v>
      </c>
      <c r="C246" s="58" t="s">
        <v>37</v>
      </c>
      <c r="D246" s="18"/>
      <c r="H246" s="76"/>
      <c r="I246" s="76"/>
      <c r="J246" s="76"/>
    </row>
    <row r="247">
      <c r="A247" s="57">
        <v>294.0</v>
      </c>
      <c r="B247" s="23" t="s">
        <v>33</v>
      </c>
      <c r="C247" s="58" t="s">
        <v>38</v>
      </c>
      <c r="D247" s="18"/>
      <c r="H247" s="76"/>
      <c r="I247" s="76"/>
      <c r="J247" s="76"/>
    </row>
    <row r="248">
      <c r="A248" s="57">
        <v>295.0</v>
      </c>
      <c r="B248" s="23" t="s">
        <v>39</v>
      </c>
      <c r="C248" s="58" t="s">
        <v>40</v>
      </c>
      <c r="D248" s="23" t="s">
        <v>41</v>
      </c>
      <c r="H248" s="76"/>
      <c r="I248" s="76"/>
      <c r="J248" s="76"/>
    </row>
    <row r="249">
      <c r="A249" s="57">
        <v>296.0</v>
      </c>
      <c r="B249" s="23" t="s">
        <v>33</v>
      </c>
      <c r="C249" s="58" t="s">
        <v>43</v>
      </c>
      <c r="D249" s="18"/>
      <c r="H249" s="76"/>
      <c r="I249" s="76"/>
      <c r="J249" s="76"/>
    </row>
    <row r="250">
      <c r="A250" s="57">
        <v>297.0</v>
      </c>
      <c r="B250" s="23" t="s">
        <v>33</v>
      </c>
      <c r="C250" s="58" t="s">
        <v>45</v>
      </c>
      <c r="D250" s="18"/>
      <c r="H250" s="76"/>
      <c r="I250" s="76"/>
      <c r="J250" s="76"/>
    </row>
    <row r="251">
      <c r="A251" s="57">
        <v>298.0</v>
      </c>
      <c r="B251" s="23" t="s">
        <v>33</v>
      </c>
      <c r="C251" s="58" t="s">
        <v>46</v>
      </c>
      <c r="D251" s="18"/>
      <c r="H251" s="76"/>
      <c r="I251" s="76"/>
      <c r="J251" s="76"/>
    </row>
    <row r="252">
      <c r="A252" s="57">
        <v>299.0</v>
      </c>
      <c r="B252" s="23" t="s">
        <v>33</v>
      </c>
      <c r="C252" s="58" t="s">
        <v>34</v>
      </c>
      <c r="D252" s="18"/>
      <c r="H252" s="76"/>
      <c r="I252" s="76"/>
      <c r="J252" s="76"/>
    </row>
    <row r="253">
      <c r="A253" s="57">
        <v>300.0</v>
      </c>
      <c r="B253" s="23" t="s">
        <v>39</v>
      </c>
      <c r="C253" s="58" t="s">
        <v>40</v>
      </c>
      <c r="D253" s="23" t="s">
        <v>41</v>
      </c>
      <c r="H253" s="76"/>
      <c r="I253" s="76"/>
      <c r="J253" s="76"/>
    </row>
    <row r="254">
      <c r="A254" s="57">
        <v>301.0</v>
      </c>
      <c r="B254" s="23" t="s">
        <v>33</v>
      </c>
      <c r="C254" s="58" t="s">
        <v>37</v>
      </c>
      <c r="D254" s="18"/>
      <c r="H254" s="77" t="s">
        <v>133</v>
      </c>
    </row>
    <row r="255">
      <c r="A255" s="57">
        <v>302.0</v>
      </c>
      <c r="B255" s="23" t="s">
        <v>33</v>
      </c>
      <c r="C255" s="58" t="s">
        <v>38</v>
      </c>
      <c r="D255" s="18"/>
    </row>
    <row r="256">
      <c r="A256" s="57">
        <v>303.0</v>
      </c>
      <c r="B256" s="23" t="s">
        <v>33</v>
      </c>
      <c r="C256" s="58" t="s">
        <v>43</v>
      </c>
      <c r="D256" s="18"/>
      <c r="H256" s="76"/>
      <c r="I256" s="76"/>
      <c r="J256" s="76"/>
    </row>
    <row r="257">
      <c r="A257" s="57">
        <v>304.0</v>
      </c>
      <c r="B257" s="23" t="s">
        <v>33</v>
      </c>
      <c r="C257" s="58" t="s">
        <v>45</v>
      </c>
      <c r="D257" s="18"/>
      <c r="H257" s="76"/>
      <c r="I257" s="76"/>
      <c r="J257" s="76"/>
    </row>
    <row r="258">
      <c r="A258" s="57">
        <v>305.0</v>
      </c>
      <c r="B258" s="23" t="s">
        <v>39</v>
      </c>
      <c r="C258" s="58" t="s">
        <v>40</v>
      </c>
      <c r="D258" s="23" t="s">
        <v>41</v>
      </c>
      <c r="H258" s="76"/>
      <c r="I258" s="76"/>
      <c r="J258" s="76"/>
    </row>
    <row r="259">
      <c r="A259" s="57">
        <v>306.0</v>
      </c>
      <c r="B259" s="23" t="s">
        <v>33</v>
      </c>
      <c r="C259" s="58" t="s">
        <v>46</v>
      </c>
      <c r="D259" s="18"/>
      <c r="H259" s="76"/>
      <c r="I259" s="76"/>
      <c r="J259" s="76"/>
    </row>
    <row r="260">
      <c r="A260" s="78">
        <v>307.0</v>
      </c>
      <c r="B260" s="23" t="s">
        <v>33</v>
      </c>
      <c r="C260" s="58" t="s">
        <v>34</v>
      </c>
      <c r="D260" s="18"/>
      <c r="H260" s="76"/>
      <c r="I260" s="76"/>
      <c r="J260" s="76"/>
    </row>
    <row r="261">
      <c r="A261" s="78">
        <v>308.0</v>
      </c>
      <c r="B261" s="23" t="s">
        <v>33</v>
      </c>
      <c r="C261" s="58" t="s">
        <v>37</v>
      </c>
      <c r="D261" s="18"/>
      <c r="H261" s="76"/>
      <c r="I261" s="76"/>
      <c r="J261" s="76"/>
    </row>
    <row r="262">
      <c r="A262" s="78">
        <v>309.0</v>
      </c>
      <c r="B262" s="23" t="s">
        <v>33</v>
      </c>
      <c r="C262" s="58" t="s">
        <v>38</v>
      </c>
      <c r="D262" s="18"/>
      <c r="H262" s="76"/>
      <c r="I262" s="76"/>
      <c r="J262" s="76"/>
    </row>
    <row r="263">
      <c r="A263" s="57">
        <v>310.0</v>
      </c>
      <c r="B263" s="23" t="s">
        <v>39</v>
      </c>
      <c r="C263" s="58" t="s">
        <v>40</v>
      </c>
      <c r="D263" s="23" t="s">
        <v>41</v>
      </c>
      <c r="H263" s="76"/>
      <c r="I263" s="76"/>
      <c r="J263" s="76"/>
    </row>
    <row r="264">
      <c r="A264" s="57">
        <v>311.0</v>
      </c>
      <c r="B264" s="23" t="s">
        <v>33</v>
      </c>
      <c r="C264" s="58" t="s">
        <v>43</v>
      </c>
      <c r="D264" s="18"/>
      <c r="H264" s="76"/>
      <c r="I264" s="76"/>
      <c r="J264" s="76"/>
    </row>
    <row r="265">
      <c r="A265" s="57">
        <v>312.0</v>
      </c>
      <c r="B265" s="23" t="s">
        <v>33</v>
      </c>
      <c r="C265" s="58" t="s">
        <v>45</v>
      </c>
      <c r="D265" s="18"/>
      <c r="H265" s="76"/>
      <c r="I265" s="76"/>
      <c r="J265" s="76"/>
    </row>
    <row r="266">
      <c r="A266" s="57">
        <v>313.0</v>
      </c>
      <c r="B266" s="23" t="s">
        <v>33</v>
      </c>
      <c r="C266" s="58" t="s">
        <v>46</v>
      </c>
      <c r="D266" s="18"/>
      <c r="H266" s="76"/>
      <c r="I266" s="76"/>
      <c r="J266" s="76"/>
    </row>
    <row r="267">
      <c r="A267" s="57">
        <v>314.0</v>
      </c>
      <c r="B267" s="23" t="s">
        <v>33</v>
      </c>
      <c r="C267" s="58" t="s">
        <v>34</v>
      </c>
      <c r="D267" s="18"/>
      <c r="H267" s="76"/>
      <c r="I267" s="76"/>
      <c r="J267" s="76"/>
    </row>
    <row r="268">
      <c r="A268" s="78">
        <v>315.0</v>
      </c>
      <c r="B268" s="23" t="s">
        <v>39</v>
      </c>
      <c r="C268" s="58" t="s">
        <v>40</v>
      </c>
      <c r="D268" s="23" t="s">
        <v>41</v>
      </c>
      <c r="H268" s="76"/>
      <c r="I268" s="76"/>
      <c r="J268" s="76"/>
    </row>
    <row r="269">
      <c r="A269" s="78">
        <v>316.0</v>
      </c>
      <c r="B269" s="23" t="s">
        <v>33</v>
      </c>
      <c r="C269" s="58" t="s">
        <v>37</v>
      </c>
      <c r="D269" s="18"/>
      <c r="H269" s="76"/>
      <c r="I269" s="76"/>
      <c r="J269" s="76"/>
    </row>
    <row r="270">
      <c r="A270" s="78">
        <v>317.0</v>
      </c>
      <c r="B270" s="23" t="s">
        <v>33</v>
      </c>
      <c r="C270" s="58" t="s">
        <v>38</v>
      </c>
      <c r="D270" s="18"/>
      <c r="H270" s="76"/>
      <c r="I270" s="76"/>
      <c r="J270" s="76"/>
    </row>
    <row r="271">
      <c r="A271" s="57">
        <v>318.0</v>
      </c>
      <c r="B271" s="23" t="s">
        <v>33</v>
      </c>
      <c r="C271" s="58" t="s">
        <v>43</v>
      </c>
      <c r="D271" s="18"/>
      <c r="H271" s="76"/>
      <c r="I271" s="76"/>
      <c r="J271" s="76"/>
    </row>
    <row r="272">
      <c r="A272" s="57">
        <v>319.0</v>
      </c>
      <c r="B272" s="23" t="s">
        <v>33</v>
      </c>
      <c r="C272" s="58" t="s">
        <v>45</v>
      </c>
      <c r="D272" s="18"/>
      <c r="H272" s="76"/>
      <c r="I272" s="76"/>
      <c r="J272" s="76"/>
    </row>
    <row r="273">
      <c r="A273" s="57">
        <v>320.0</v>
      </c>
      <c r="B273" s="23" t="s">
        <v>39</v>
      </c>
      <c r="C273" s="58" t="s">
        <v>40</v>
      </c>
      <c r="D273" s="23" t="s">
        <v>41</v>
      </c>
      <c r="H273" s="76"/>
      <c r="I273" s="76"/>
      <c r="J273" s="76"/>
    </row>
    <row r="274">
      <c r="A274" s="57">
        <v>321.0</v>
      </c>
      <c r="B274" s="23" t="s">
        <v>33</v>
      </c>
      <c r="C274" s="58" t="s">
        <v>46</v>
      </c>
      <c r="D274" s="18"/>
      <c r="H274" s="76"/>
      <c r="I274" s="76"/>
      <c r="J274" s="76"/>
    </row>
    <row r="275">
      <c r="A275" s="57">
        <v>322.0</v>
      </c>
      <c r="B275" s="23" t="s">
        <v>33</v>
      </c>
      <c r="C275" s="58" t="s">
        <v>34</v>
      </c>
      <c r="D275" s="18"/>
      <c r="H275" s="76"/>
      <c r="I275" s="76"/>
      <c r="J275" s="76"/>
    </row>
    <row r="276">
      <c r="A276" s="78">
        <v>323.0</v>
      </c>
      <c r="B276" s="23" t="s">
        <v>33</v>
      </c>
      <c r="C276" s="58" t="s">
        <v>37</v>
      </c>
      <c r="D276" s="18"/>
      <c r="H276" s="76"/>
      <c r="I276" s="76"/>
      <c r="J276" s="76"/>
    </row>
    <row r="277">
      <c r="A277" s="78">
        <v>324.0</v>
      </c>
      <c r="B277" s="23" t="s">
        <v>33</v>
      </c>
      <c r="C277" s="58" t="s">
        <v>38</v>
      </c>
      <c r="D277" s="18"/>
      <c r="H277" s="76"/>
      <c r="I277" s="76"/>
      <c r="J277" s="76"/>
    </row>
    <row r="278">
      <c r="A278" s="78">
        <v>325.0</v>
      </c>
      <c r="B278" s="23" t="s">
        <v>39</v>
      </c>
      <c r="C278" s="58" t="s">
        <v>40</v>
      </c>
      <c r="D278" s="23" t="s">
        <v>41</v>
      </c>
      <c r="H278" s="76"/>
      <c r="I278" s="76"/>
      <c r="J278" s="76"/>
    </row>
    <row r="279">
      <c r="A279" s="57">
        <v>326.0</v>
      </c>
      <c r="B279" s="23" t="s">
        <v>33</v>
      </c>
      <c r="C279" s="58" t="s">
        <v>43</v>
      </c>
      <c r="D279" s="18"/>
      <c r="H279" s="76"/>
      <c r="I279" s="76"/>
      <c r="J279" s="76"/>
    </row>
    <row r="280">
      <c r="A280" s="57">
        <v>327.0</v>
      </c>
      <c r="B280" s="23" t="s">
        <v>33</v>
      </c>
      <c r="C280" s="58" t="s">
        <v>45</v>
      </c>
      <c r="D280" s="18"/>
      <c r="H280" s="76"/>
      <c r="I280" s="76"/>
      <c r="J280" s="76"/>
    </row>
    <row r="281">
      <c r="A281" s="57">
        <v>328.0</v>
      </c>
      <c r="B281" s="23" t="s">
        <v>33</v>
      </c>
      <c r="C281" s="58" t="s">
        <v>46</v>
      </c>
      <c r="D281" s="18"/>
      <c r="H281" s="76"/>
      <c r="I281" s="76"/>
      <c r="J281" s="76"/>
    </row>
    <row r="282">
      <c r="A282" s="57">
        <v>329.0</v>
      </c>
      <c r="B282" s="23" t="s">
        <v>33</v>
      </c>
      <c r="C282" s="58" t="s">
        <v>34</v>
      </c>
      <c r="D282" s="18"/>
      <c r="H282" s="76"/>
      <c r="I282" s="76"/>
      <c r="J282" s="76"/>
    </row>
    <row r="283">
      <c r="A283" s="57">
        <v>330.0</v>
      </c>
      <c r="B283" s="23" t="s">
        <v>39</v>
      </c>
      <c r="C283" s="58" t="s">
        <v>40</v>
      </c>
      <c r="D283" s="23" t="s">
        <v>41</v>
      </c>
      <c r="H283" s="76"/>
      <c r="I283" s="76"/>
      <c r="J283" s="76"/>
    </row>
    <row r="284">
      <c r="A284" s="78">
        <v>331.0</v>
      </c>
      <c r="B284" s="23" t="s">
        <v>33</v>
      </c>
      <c r="C284" s="58" t="s">
        <v>37</v>
      </c>
      <c r="D284" s="18"/>
      <c r="H284" s="76"/>
      <c r="I284" s="76"/>
      <c r="J284" s="76"/>
    </row>
    <row r="285">
      <c r="A285" s="78">
        <v>332.0</v>
      </c>
      <c r="B285" s="23" t="s">
        <v>33</v>
      </c>
      <c r="C285" s="58" t="s">
        <v>38</v>
      </c>
      <c r="D285" s="18"/>
      <c r="H285" s="76"/>
      <c r="I285" s="76"/>
      <c r="J285" s="76"/>
    </row>
    <row r="286">
      <c r="A286" s="78">
        <v>333.0</v>
      </c>
      <c r="B286" s="23" t="s">
        <v>33</v>
      </c>
      <c r="C286" s="58" t="s">
        <v>43</v>
      </c>
      <c r="D286" s="18"/>
      <c r="H286" s="76"/>
      <c r="I286" s="76"/>
      <c r="J286" s="76"/>
    </row>
    <row r="287">
      <c r="A287" s="57">
        <v>334.0</v>
      </c>
      <c r="B287" s="23" t="s">
        <v>33</v>
      </c>
      <c r="C287" s="58" t="s">
        <v>45</v>
      </c>
      <c r="D287" s="18"/>
      <c r="H287" s="76"/>
      <c r="I287" s="76"/>
      <c r="J287" s="76"/>
    </row>
    <row r="288">
      <c r="A288" s="57">
        <v>335.0</v>
      </c>
      <c r="B288" s="23" t="s">
        <v>39</v>
      </c>
      <c r="C288" s="58" t="s">
        <v>40</v>
      </c>
      <c r="D288" s="23" t="s">
        <v>41</v>
      </c>
      <c r="H288" s="76"/>
      <c r="I288" s="76"/>
      <c r="J288" s="76"/>
    </row>
    <row r="289">
      <c r="A289" s="57">
        <v>336.0</v>
      </c>
      <c r="B289" s="23" t="s">
        <v>33</v>
      </c>
      <c r="C289" s="58" t="s">
        <v>46</v>
      </c>
      <c r="D289" s="18"/>
      <c r="H289" s="76"/>
      <c r="I289" s="76"/>
      <c r="J289" s="76"/>
    </row>
    <row r="290">
      <c r="A290" s="57">
        <v>337.0</v>
      </c>
      <c r="B290" s="23" t="s">
        <v>33</v>
      </c>
      <c r="C290" s="58" t="s">
        <v>34</v>
      </c>
      <c r="D290" s="18"/>
      <c r="H290" s="76"/>
      <c r="I290" s="76"/>
      <c r="J290" s="76"/>
    </row>
    <row r="291">
      <c r="A291" s="57">
        <v>338.0</v>
      </c>
      <c r="B291" s="23" t="s">
        <v>33</v>
      </c>
      <c r="C291" s="58" t="s">
        <v>37</v>
      </c>
      <c r="D291" s="18"/>
      <c r="H291" s="76"/>
      <c r="I291" s="76"/>
      <c r="J291" s="76"/>
    </row>
    <row r="292">
      <c r="A292" s="78">
        <v>339.0</v>
      </c>
      <c r="B292" s="23" t="s">
        <v>33</v>
      </c>
      <c r="C292" s="58" t="s">
        <v>38</v>
      </c>
      <c r="D292" s="18"/>
      <c r="H292" s="76"/>
      <c r="I292" s="76"/>
      <c r="J292" s="76"/>
    </row>
    <row r="293">
      <c r="A293" s="78">
        <v>340.0</v>
      </c>
      <c r="B293" s="23" t="s">
        <v>39</v>
      </c>
      <c r="C293" s="58" t="s">
        <v>40</v>
      </c>
      <c r="D293" s="23" t="s">
        <v>41</v>
      </c>
      <c r="H293" s="76"/>
      <c r="I293" s="76"/>
      <c r="J293" s="76"/>
    </row>
    <row r="294">
      <c r="A294" s="78">
        <v>341.0</v>
      </c>
      <c r="B294" s="23" t="s">
        <v>33</v>
      </c>
      <c r="C294" s="58" t="s">
        <v>43</v>
      </c>
      <c r="D294" s="18"/>
      <c r="H294" s="76"/>
      <c r="I294" s="76"/>
      <c r="J294" s="76"/>
    </row>
    <row r="295">
      <c r="A295" s="57">
        <v>342.0</v>
      </c>
      <c r="B295" s="23" t="s">
        <v>33</v>
      </c>
      <c r="C295" s="58" t="s">
        <v>45</v>
      </c>
      <c r="D295" s="18"/>
      <c r="H295" s="76"/>
      <c r="I295" s="76"/>
      <c r="J295" s="76"/>
    </row>
    <row r="296">
      <c r="A296" s="57">
        <v>343.0</v>
      </c>
      <c r="B296" s="23" t="s">
        <v>33</v>
      </c>
      <c r="C296" s="58" t="s">
        <v>46</v>
      </c>
      <c r="D296" s="18"/>
      <c r="H296" s="76"/>
      <c r="I296" s="76"/>
      <c r="J296" s="76"/>
    </row>
    <row r="297">
      <c r="A297" s="57">
        <v>344.0</v>
      </c>
      <c r="B297" s="23" t="s">
        <v>33</v>
      </c>
      <c r="C297" s="58" t="s">
        <v>34</v>
      </c>
      <c r="D297" s="18"/>
      <c r="H297" s="76"/>
      <c r="I297" s="76"/>
      <c r="J297" s="76"/>
    </row>
    <row r="298">
      <c r="A298" s="57">
        <v>345.0</v>
      </c>
      <c r="B298" s="23" t="s">
        <v>39</v>
      </c>
      <c r="C298" s="58" t="s">
        <v>40</v>
      </c>
      <c r="D298" s="23" t="s">
        <v>41</v>
      </c>
      <c r="H298" s="76"/>
      <c r="I298" s="76"/>
      <c r="J298" s="76"/>
    </row>
    <row r="299">
      <c r="A299" s="57">
        <v>346.0</v>
      </c>
      <c r="B299" s="23" t="s">
        <v>33</v>
      </c>
      <c r="C299" s="58" t="s">
        <v>37</v>
      </c>
      <c r="D299" s="18"/>
      <c r="H299" s="76"/>
      <c r="I299" s="76"/>
      <c r="J299" s="76"/>
    </row>
    <row r="300">
      <c r="A300" s="78">
        <v>347.0</v>
      </c>
      <c r="B300" s="23" t="s">
        <v>33</v>
      </c>
      <c r="C300" s="58" t="s">
        <v>38</v>
      </c>
      <c r="D300" s="18"/>
      <c r="H300" s="76"/>
      <c r="I300" s="76"/>
      <c r="J300" s="76"/>
    </row>
    <row r="301">
      <c r="A301" s="78">
        <v>348.0</v>
      </c>
      <c r="B301" s="23" t="s">
        <v>33</v>
      </c>
      <c r="C301" s="58" t="s">
        <v>43</v>
      </c>
      <c r="D301" s="18"/>
      <c r="H301" s="76"/>
      <c r="I301" s="76"/>
      <c r="J301" s="76"/>
    </row>
    <row r="302">
      <c r="A302" s="78">
        <v>349.0</v>
      </c>
      <c r="B302" s="23" t="s">
        <v>33</v>
      </c>
      <c r="C302" s="58" t="s">
        <v>45</v>
      </c>
      <c r="D302" s="18"/>
      <c r="H302" s="76"/>
      <c r="I302" s="76"/>
      <c r="J302" s="76"/>
    </row>
    <row r="303">
      <c r="A303" s="57">
        <v>350.0</v>
      </c>
      <c r="B303" s="23" t="s">
        <v>39</v>
      </c>
      <c r="C303" s="58" t="s">
        <v>40</v>
      </c>
      <c r="D303" s="23" t="s">
        <v>41</v>
      </c>
      <c r="H303" s="76"/>
      <c r="I303" s="76"/>
      <c r="J303" s="76"/>
    </row>
    <row r="304">
      <c r="A304" s="57">
        <v>351.0</v>
      </c>
      <c r="B304" s="23" t="s">
        <v>33</v>
      </c>
      <c r="C304" s="58" t="s">
        <v>46</v>
      </c>
      <c r="D304" s="18"/>
      <c r="H304" s="77" t="s">
        <v>134</v>
      </c>
      <c r="I304" s="77"/>
      <c r="J304" s="77"/>
    </row>
    <row r="305">
      <c r="A305" s="79"/>
    </row>
    <row r="306">
      <c r="A306" s="79"/>
    </row>
    <row r="307">
      <c r="A307" s="79"/>
    </row>
    <row r="308">
      <c r="A308" s="79"/>
    </row>
    <row r="309">
      <c r="A309" s="79"/>
    </row>
    <row r="310">
      <c r="A310" s="79"/>
    </row>
    <row r="311">
      <c r="A311" s="79"/>
    </row>
    <row r="312">
      <c r="A312" s="79"/>
    </row>
    <row r="313">
      <c r="A313" s="79"/>
    </row>
    <row r="314">
      <c r="A314" s="79"/>
    </row>
    <row r="315">
      <c r="A315" s="79"/>
    </row>
    <row r="316">
      <c r="A316" s="79"/>
    </row>
    <row r="317">
      <c r="A317" s="79"/>
    </row>
    <row r="318">
      <c r="A318" s="79"/>
    </row>
    <row r="319">
      <c r="A319" s="79"/>
    </row>
    <row r="320">
      <c r="A320" s="79"/>
    </row>
    <row r="321">
      <c r="A321" s="79"/>
    </row>
    <row r="322">
      <c r="A322" s="79"/>
    </row>
    <row r="323">
      <c r="A323" s="79"/>
    </row>
    <row r="324">
      <c r="A324" s="79"/>
    </row>
    <row r="325">
      <c r="A325" s="79"/>
    </row>
    <row r="326">
      <c r="A326" s="79"/>
    </row>
    <row r="327">
      <c r="A327" s="79"/>
    </row>
    <row r="328">
      <c r="A328" s="79"/>
    </row>
    <row r="329">
      <c r="A329" s="79"/>
    </row>
    <row r="330">
      <c r="A330" s="79"/>
    </row>
    <row r="331">
      <c r="A331" s="79"/>
    </row>
    <row r="332">
      <c r="A332" s="79"/>
    </row>
    <row r="333">
      <c r="A333" s="79"/>
    </row>
    <row r="334">
      <c r="A334" s="79"/>
    </row>
    <row r="335">
      <c r="A335" s="79"/>
    </row>
    <row r="336">
      <c r="A336" s="79"/>
    </row>
    <row r="337">
      <c r="A337" s="79"/>
    </row>
    <row r="338">
      <c r="A338" s="79"/>
    </row>
    <row r="339">
      <c r="A339" s="79"/>
    </row>
    <row r="340">
      <c r="A340" s="79"/>
    </row>
    <row r="341">
      <c r="A341" s="79"/>
    </row>
    <row r="342">
      <c r="A342" s="79"/>
    </row>
    <row r="343">
      <c r="A343" s="79"/>
    </row>
    <row r="344">
      <c r="A344" s="79"/>
    </row>
    <row r="345">
      <c r="A345" s="79"/>
    </row>
    <row r="346">
      <c r="A346" s="79"/>
    </row>
    <row r="347">
      <c r="A347" s="79"/>
    </row>
    <row r="348">
      <c r="A348" s="79"/>
    </row>
    <row r="349">
      <c r="A349" s="79"/>
    </row>
    <row r="350">
      <c r="A350" s="79"/>
    </row>
    <row r="351">
      <c r="A351" s="79"/>
    </row>
    <row r="352">
      <c r="A352" s="79"/>
    </row>
    <row r="353">
      <c r="A353" s="79"/>
    </row>
    <row r="354">
      <c r="A354" s="79"/>
    </row>
    <row r="355">
      <c r="A355" s="80"/>
    </row>
  </sheetData>
  <mergeCells count="66">
    <mergeCell ref="B3:B4"/>
    <mergeCell ref="C3:C4"/>
    <mergeCell ref="D3:D4"/>
    <mergeCell ref="E3:G4"/>
    <mergeCell ref="H5:J7"/>
    <mergeCell ref="H8:J8"/>
    <mergeCell ref="H9:J11"/>
    <mergeCell ref="I12:J12"/>
    <mergeCell ref="I13:J13"/>
    <mergeCell ref="I14:J14"/>
    <mergeCell ref="I15:J15"/>
    <mergeCell ref="I16:J16"/>
    <mergeCell ref="I18:J18"/>
    <mergeCell ref="I19:J19"/>
    <mergeCell ref="H1:H2"/>
    <mergeCell ref="E5:G22"/>
    <mergeCell ref="I59:J59"/>
    <mergeCell ref="I61:J61"/>
    <mergeCell ref="I62:J62"/>
    <mergeCell ref="I63:J63"/>
    <mergeCell ref="I64:J64"/>
    <mergeCell ref="I65:J65"/>
    <mergeCell ref="I67:J67"/>
    <mergeCell ref="H68:J68"/>
    <mergeCell ref="I69:J69"/>
    <mergeCell ref="I70:J70"/>
    <mergeCell ref="A1:G1"/>
    <mergeCell ref="I1:J2"/>
    <mergeCell ref="L1:N1"/>
    <mergeCell ref="A2:G2"/>
    <mergeCell ref="K2:P70"/>
    <mergeCell ref="A3:A4"/>
    <mergeCell ref="H3:J4"/>
    <mergeCell ref="I20:J20"/>
    <mergeCell ref="I21:J21"/>
    <mergeCell ref="I22:J22"/>
    <mergeCell ref="E23:G32"/>
    <mergeCell ref="I23:J23"/>
    <mergeCell ref="H24:J28"/>
    <mergeCell ref="E33:G37"/>
    <mergeCell ref="H33:J34"/>
    <mergeCell ref="H36:J36"/>
    <mergeCell ref="H37:I37"/>
    <mergeCell ref="E38:G57"/>
    <mergeCell ref="H38:I38"/>
    <mergeCell ref="H39:I39"/>
    <mergeCell ref="H40:I40"/>
    <mergeCell ref="E58:G92"/>
    <mergeCell ref="E93:G304"/>
    <mergeCell ref="H44:J44"/>
    <mergeCell ref="H53:J53"/>
    <mergeCell ref="H54:J54"/>
    <mergeCell ref="I56:J56"/>
    <mergeCell ref="H80:J80"/>
    <mergeCell ref="H81:J81"/>
    <mergeCell ref="H82:J82"/>
    <mergeCell ref="H154:J155"/>
    <mergeCell ref="H204:J205"/>
    <mergeCell ref="H254:J255"/>
    <mergeCell ref="I57:J57"/>
    <mergeCell ref="I58:J58"/>
    <mergeCell ref="I71:J71"/>
    <mergeCell ref="I72:J72"/>
    <mergeCell ref="I73:J73"/>
    <mergeCell ref="H76:J76"/>
    <mergeCell ref="H77:J77"/>
  </mergeCells>
  <conditionalFormatting sqref="D5:D355">
    <cfRule type="notContainsBlanks" dxfId="13" priority="1">
      <formula>LEN(TRIM(D5))&gt;0</formula>
    </cfRule>
  </conditionalFormatting>
  <conditionalFormatting sqref="C5:C334">
    <cfRule type="containsText" dxfId="0" priority="2" operator="containsText" text="Copper">
      <formula>NOT(ISERROR(SEARCH(("Copper"),(C5))))</formula>
    </cfRule>
  </conditionalFormatting>
  <conditionalFormatting sqref="C5:C334">
    <cfRule type="containsText" dxfId="1" priority="3" operator="containsText" text="Wood">
      <formula>NOT(ISERROR(SEARCH(("Wood"),(C5))))</formula>
    </cfRule>
  </conditionalFormatting>
  <conditionalFormatting sqref="C5:C334">
    <cfRule type="containsText" dxfId="2" priority="4" operator="containsText" text="Fiber">
      <formula>NOT(ISERROR(SEARCH(("Fiber"),(C5))))</formula>
    </cfRule>
  </conditionalFormatting>
  <conditionalFormatting sqref="C5:C334">
    <cfRule type="containsText" dxfId="3" priority="5" operator="containsText" text="Oil">
      <formula>NOT(ISERROR(SEARCH(("Oil"),(C5))))</formula>
    </cfRule>
  </conditionalFormatting>
  <conditionalFormatting sqref="C5:C334">
    <cfRule type="containsText" dxfId="4" priority="6" operator="containsText" text="Aluminum">
      <formula>NOT(ISERROR(SEARCH(("Aluminum"),(C5))))</formula>
    </cfRule>
  </conditionalFormatting>
  <conditionalFormatting sqref="C5:C334">
    <cfRule type="containsText" dxfId="5" priority="7" operator="containsText" text="Iron">
      <formula>NOT(ISERROR(SEARCH(("Iron"),(C5))))</formula>
    </cfRule>
  </conditionalFormatting>
  <conditionalFormatting sqref="C5:C334">
    <cfRule type="containsText" dxfId="6" priority="8" operator="containsText" text="All">
      <formula>NOT(ISERROR(SEARCH(("All"),(C5))))</formula>
    </cfRule>
  </conditionalFormatting>
  <conditionalFormatting sqref="C5:C334">
    <cfRule type="containsText" dxfId="7" priority="9" operator="containsText" text="BOSS">
      <formula>NOT(ISERROR(SEARCH(("BOSS"),(C5))))</formula>
    </cfRule>
  </conditionalFormatting>
  <conditionalFormatting sqref="C5:D355">
    <cfRule type="expression" dxfId="17" priority="10">
      <formula>$D5="M"</formula>
    </cfRule>
  </conditionalFormatting>
  <conditionalFormatting sqref="A5:D355">
    <cfRule type="expression" dxfId="25" priority="11">
      <formula>not(isblank($B5))</formula>
    </cfRule>
  </conditionalFormatting>
  <hyperlinks>
    <hyperlink r:id="rId2" ref="L1"/>
  </hyperlinks>
  <drawing r:id="rId3"/>
  <legacy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FBFB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71"/>
    <col customWidth="1" min="2" max="3" width="5.86"/>
    <col customWidth="1" min="5" max="5" width="8.71"/>
    <col customWidth="1" min="6" max="6" width="12.0"/>
  </cols>
  <sheetData>
    <row r="1">
      <c r="A1" s="81" t="s">
        <v>135</v>
      </c>
      <c r="B1" s="81" t="s">
        <v>136</v>
      </c>
      <c r="C1" s="81" t="s">
        <v>137</v>
      </c>
      <c r="D1" s="82"/>
      <c r="E1" s="82"/>
      <c r="F1" s="82"/>
      <c r="G1" s="83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</row>
    <row r="2">
      <c r="A2" s="84" t="s">
        <v>138</v>
      </c>
      <c r="B2" s="85">
        <v>0.9</v>
      </c>
      <c r="C2" s="85">
        <v>0.1</v>
      </c>
      <c r="E2" s="86" t="s">
        <v>139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>
      <c r="A3" s="84" t="s">
        <v>140</v>
      </c>
      <c r="B3" s="85">
        <v>0.9</v>
      </c>
      <c r="C3" s="85">
        <v>0.1</v>
      </c>
      <c r="D3" s="82"/>
      <c r="E3" s="87" t="s">
        <v>141</v>
      </c>
      <c r="G3" s="83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</row>
    <row r="4">
      <c r="A4" s="84" t="s">
        <v>142</v>
      </c>
      <c r="B4" s="85">
        <v>0.8</v>
      </c>
      <c r="C4" s="85">
        <v>0.2</v>
      </c>
      <c r="D4" s="82"/>
      <c r="E4" s="7">
        <v>10.0</v>
      </c>
      <c r="F4" s="88">
        <f t="shared" ref="F4:F22" si="1">0.172*ln(E4)-0.328</f>
        <v>0.06804463599</v>
      </c>
      <c r="G4" s="83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</row>
    <row r="5">
      <c r="A5" s="84" t="s">
        <v>143</v>
      </c>
      <c r="B5" s="85">
        <v>1.0</v>
      </c>
      <c r="C5" s="85">
        <v>0.0</v>
      </c>
      <c r="D5" s="82"/>
      <c r="E5" s="89">
        <v>15.0</v>
      </c>
      <c r="F5" s="88">
        <f t="shared" si="1"/>
        <v>0.1377846346</v>
      </c>
      <c r="G5" s="83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</row>
    <row r="6">
      <c r="A6" s="84" t="s">
        <v>144</v>
      </c>
      <c r="B6" s="85">
        <v>1.0</v>
      </c>
      <c r="C6" s="85">
        <v>0.0</v>
      </c>
      <c r="D6" s="82"/>
      <c r="E6" s="89">
        <v>20.0</v>
      </c>
      <c r="F6" s="88">
        <f t="shared" si="1"/>
        <v>0.1872659511</v>
      </c>
      <c r="G6" s="83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</row>
    <row r="7">
      <c r="A7" s="84" t="s">
        <v>145</v>
      </c>
      <c r="B7" s="85">
        <v>0.0</v>
      </c>
      <c r="C7" s="85">
        <v>1.0</v>
      </c>
      <c r="D7" s="82"/>
      <c r="E7" s="89">
        <v>26.0</v>
      </c>
      <c r="F7" s="88">
        <f t="shared" si="1"/>
        <v>0.2323926045</v>
      </c>
      <c r="G7" s="83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</row>
    <row r="8">
      <c r="A8" s="84" t="s">
        <v>146</v>
      </c>
      <c r="B8" s="85">
        <v>0.1</v>
      </c>
      <c r="C8" s="85">
        <v>0.9</v>
      </c>
      <c r="D8" s="82"/>
      <c r="E8" s="89">
        <v>32.0</v>
      </c>
      <c r="F8" s="88">
        <f t="shared" si="1"/>
        <v>0.2681065753</v>
      </c>
      <c r="G8" s="83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>
      <c r="A9" s="84" t="s">
        <v>147</v>
      </c>
      <c r="B9" s="85">
        <v>1.0</v>
      </c>
      <c r="C9" s="85">
        <v>0.0</v>
      </c>
      <c r="D9" s="82"/>
      <c r="E9" s="89">
        <v>38.0</v>
      </c>
      <c r="F9" s="88">
        <f t="shared" si="1"/>
        <v>0.2976648195</v>
      </c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</row>
    <row r="10">
      <c r="A10" s="84" t="s">
        <v>38</v>
      </c>
      <c r="B10" s="85">
        <v>1.0</v>
      </c>
      <c r="C10" s="85">
        <v>0.0</v>
      </c>
      <c r="D10" s="82"/>
      <c r="E10" s="89">
        <v>43.0</v>
      </c>
      <c r="F10" s="88">
        <f t="shared" si="1"/>
        <v>0.3189264199</v>
      </c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>
      <c r="A11" s="84" t="s">
        <v>148</v>
      </c>
      <c r="B11" s="85">
        <v>0.9</v>
      </c>
      <c r="C11" s="85">
        <v>0.1</v>
      </c>
      <c r="D11" s="82"/>
      <c r="E11" s="89">
        <v>48.0</v>
      </c>
      <c r="F11" s="88">
        <f t="shared" si="1"/>
        <v>0.3378465739</v>
      </c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</row>
    <row r="12">
      <c r="A12" s="84" t="s">
        <v>149</v>
      </c>
      <c r="B12" s="85">
        <v>0.0</v>
      </c>
      <c r="C12" s="85">
        <v>1.0</v>
      </c>
      <c r="D12" s="82"/>
      <c r="E12" s="89">
        <v>53.0</v>
      </c>
      <c r="F12" s="88">
        <f t="shared" si="1"/>
        <v>0.3548902091</v>
      </c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</row>
    <row r="13">
      <c r="A13" s="84" t="s">
        <v>150</v>
      </c>
      <c r="B13" s="85">
        <v>1.0</v>
      </c>
      <c r="C13" s="85">
        <v>0.0</v>
      </c>
      <c r="D13" s="82"/>
      <c r="E13" s="89">
        <v>58.0</v>
      </c>
      <c r="F13" s="88">
        <f t="shared" si="1"/>
        <v>0.3703961978</v>
      </c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</row>
    <row r="14">
      <c r="A14" s="84" t="s">
        <v>151</v>
      </c>
      <c r="B14" s="85">
        <v>1.0</v>
      </c>
      <c r="C14" s="85">
        <v>0.0</v>
      </c>
      <c r="D14" s="82"/>
      <c r="E14" s="89">
        <v>63.0</v>
      </c>
      <c r="F14" s="88">
        <f t="shared" si="1"/>
        <v>0.3846191729</v>
      </c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</row>
    <row r="15">
      <c r="A15" s="84" t="s">
        <v>152</v>
      </c>
      <c r="B15" s="85">
        <v>0.4</v>
      </c>
      <c r="C15" s="85">
        <v>0.6</v>
      </c>
      <c r="D15" s="82"/>
      <c r="E15" s="89">
        <v>68.0</v>
      </c>
      <c r="F15" s="88">
        <f t="shared" si="1"/>
        <v>0.3977553253</v>
      </c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</row>
    <row r="16">
      <c r="A16" s="90" t="s">
        <v>153</v>
      </c>
      <c r="B16" s="85">
        <v>1.0</v>
      </c>
      <c r="C16" s="85">
        <v>0.0</v>
      </c>
      <c r="D16" s="82"/>
      <c r="E16" s="89">
        <v>78.0</v>
      </c>
      <c r="F16" s="88">
        <f t="shared" si="1"/>
        <v>0.4213539182</v>
      </c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</row>
    <row r="17">
      <c r="A17" s="84" t="s">
        <v>154</v>
      </c>
      <c r="B17" s="85">
        <v>0.9</v>
      </c>
      <c r="C17" s="85">
        <v>0.1</v>
      </c>
      <c r="D17" s="82"/>
      <c r="E17" s="89">
        <v>88.0</v>
      </c>
      <c r="F17" s="88">
        <f t="shared" si="1"/>
        <v>0.4421019321</v>
      </c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</row>
    <row r="18">
      <c r="A18" s="84" t="s">
        <v>155</v>
      </c>
      <c r="B18" s="85">
        <v>0.9</v>
      </c>
      <c r="C18" s="85">
        <v>0.1</v>
      </c>
      <c r="D18" s="82"/>
      <c r="E18" s="89">
        <v>90.0</v>
      </c>
      <c r="F18" s="88">
        <f t="shared" si="1"/>
        <v>0.4459672633</v>
      </c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>
      <c r="A19" s="84" t="s">
        <v>156</v>
      </c>
      <c r="B19" s="85">
        <v>0.0</v>
      </c>
      <c r="C19" s="85">
        <v>1.0</v>
      </c>
      <c r="D19" s="82"/>
      <c r="E19" s="89">
        <v>100.0</v>
      </c>
      <c r="F19" s="88">
        <f t="shared" si="1"/>
        <v>0.464089272</v>
      </c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</row>
    <row r="20">
      <c r="A20" s="84" t="s">
        <v>157</v>
      </c>
      <c r="B20" s="85">
        <v>0.3</v>
      </c>
      <c r="C20" s="85">
        <v>0.7</v>
      </c>
      <c r="D20" s="82"/>
      <c r="E20" s="89">
        <v>110.0</v>
      </c>
      <c r="F20" s="88">
        <f t="shared" si="1"/>
        <v>0.4804826229</v>
      </c>
      <c r="G20" s="82"/>
      <c r="H20" s="82"/>
      <c r="I20" s="83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</row>
    <row r="21">
      <c r="A21" s="84" t="s">
        <v>158</v>
      </c>
      <c r="B21" s="85">
        <v>0.3</v>
      </c>
      <c r="C21" s="85">
        <v>0.7</v>
      </c>
      <c r="D21" s="82"/>
      <c r="E21" s="89">
        <v>120.0</v>
      </c>
      <c r="F21" s="88">
        <f t="shared" si="1"/>
        <v>0.4954485798</v>
      </c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>
      <c r="A22" s="84" t="s">
        <v>159</v>
      </c>
      <c r="B22" s="85">
        <v>0.2</v>
      </c>
      <c r="C22" s="85">
        <v>0.8</v>
      </c>
      <c r="D22" s="82"/>
      <c r="E22" s="89">
        <v>130.0</v>
      </c>
      <c r="F22" s="88">
        <f t="shared" si="1"/>
        <v>0.5092159255</v>
      </c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>
      <c r="A23" s="84" t="s">
        <v>160</v>
      </c>
      <c r="B23" s="85">
        <v>0.2</v>
      </c>
      <c r="C23" s="85">
        <v>0.8</v>
      </c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>
      <c r="A24" s="84" t="s">
        <v>161</v>
      </c>
      <c r="B24" s="85">
        <v>0.2</v>
      </c>
      <c r="C24" s="85">
        <v>0.8</v>
      </c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>
      <c r="A25" s="84" t="s">
        <v>162</v>
      </c>
      <c r="B25" s="85">
        <v>0.2</v>
      </c>
      <c r="C25" s="85">
        <v>0.8</v>
      </c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>
      <c r="A26" s="84" t="s">
        <v>163</v>
      </c>
      <c r="B26" s="85">
        <v>0.0</v>
      </c>
      <c r="C26" s="85">
        <v>1.0</v>
      </c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</row>
    <row r="27">
      <c r="A27" s="84" t="s">
        <v>164</v>
      </c>
      <c r="B27" s="85">
        <v>0.0</v>
      </c>
      <c r="C27" s="85">
        <v>1.0</v>
      </c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</row>
    <row r="28">
      <c r="A28" s="84" t="s">
        <v>165</v>
      </c>
      <c r="B28" s="85">
        <v>0.0</v>
      </c>
      <c r="C28" s="85">
        <v>1.0</v>
      </c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</row>
    <row r="29">
      <c r="A29" s="84" t="s">
        <v>166</v>
      </c>
      <c r="B29" s="85">
        <v>1.0</v>
      </c>
      <c r="C29" s="85">
        <v>0.0</v>
      </c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>
      <c r="A30" s="84" t="s">
        <v>167</v>
      </c>
      <c r="B30" s="85">
        <v>0.0</v>
      </c>
      <c r="C30" s="85">
        <v>1.0</v>
      </c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>
      <c r="A31" s="84" t="s">
        <v>168</v>
      </c>
      <c r="B31" s="85">
        <v>0.7</v>
      </c>
      <c r="C31" s="85">
        <v>0.3</v>
      </c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</row>
    <row r="32">
      <c r="A32" s="84" t="s">
        <v>169</v>
      </c>
      <c r="B32" s="85">
        <v>0.0</v>
      </c>
      <c r="C32" s="85">
        <v>1.0</v>
      </c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  <row r="33">
      <c r="A33" s="84" t="s">
        <v>170</v>
      </c>
      <c r="B33" s="85">
        <v>1.0</v>
      </c>
      <c r="C33" s="85">
        <v>0.0</v>
      </c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>
      <c r="A34" s="84" t="s">
        <v>171</v>
      </c>
      <c r="B34" s="85">
        <v>0.0</v>
      </c>
      <c r="C34" s="85">
        <v>1.0</v>
      </c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</row>
    <row r="35">
      <c r="A35" s="84" t="s">
        <v>172</v>
      </c>
      <c r="B35" s="85">
        <v>1.0</v>
      </c>
      <c r="C35" s="85">
        <v>0.0</v>
      </c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</row>
    <row r="36">
      <c r="A36" s="84" t="s">
        <v>173</v>
      </c>
      <c r="B36" s="85">
        <v>0.6</v>
      </c>
      <c r="C36" s="85">
        <v>0.4</v>
      </c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>
      <c r="A37" s="84" t="s">
        <v>174</v>
      </c>
      <c r="B37" s="85">
        <v>0.9</v>
      </c>
      <c r="C37" s="85">
        <v>0.1</v>
      </c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</row>
    <row r="38">
      <c r="A38" s="84" t="s">
        <v>175</v>
      </c>
      <c r="B38" s="85">
        <v>0.9</v>
      </c>
      <c r="C38" s="85">
        <v>0.1</v>
      </c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</row>
    <row r="39">
      <c r="A39" s="84" t="s">
        <v>176</v>
      </c>
      <c r="B39" s="85">
        <v>1.0</v>
      </c>
      <c r="C39" s="85">
        <v>0.0</v>
      </c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</row>
    <row r="40">
      <c r="A40" s="84" t="s">
        <v>177</v>
      </c>
      <c r="B40" s="85">
        <v>0.8</v>
      </c>
      <c r="C40" s="85">
        <v>0.2</v>
      </c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</row>
    <row r="41">
      <c r="A41" s="84" t="s">
        <v>178</v>
      </c>
      <c r="B41" s="85">
        <v>0.1</v>
      </c>
      <c r="C41" s="85">
        <v>0.9</v>
      </c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</row>
    <row r="42">
      <c r="A42" s="84" t="s">
        <v>179</v>
      </c>
      <c r="B42" s="85">
        <v>0.1</v>
      </c>
      <c r="C42" s="85">
        <v>0.9</v>
      </c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</row>
    <row r="43">
      <c r="A43" s="84" t="s">
        <v>180</v>
      </c>
      <c r="B43" s="85">
        <v>0.8</v>
      </c>
      <c r="C43" s="85">
        <v>0.2</v>
      </c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</row>
    <row r="44">
      <c r="A44" s="84" t="s">
        <v>181</v>
      </c>
      <c r="B44" s="85">
        <v>0.8</v>
      </c>
      <c r="C44" s="85">
        <v>0.2</v>
      </c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</row>
    <row r="45">
      <c r="A45" s="84" t="s">
        <v>182</v>
      </c>
      <c r="B45" s="85">
        <v>0.1</v>
      </c>
      <c r="C45" s="85">
        <v>0.9</v>
      </c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</row>
    <row r="46">
      <c r="A46" s="84" t="s">
        <v>183</v>
      </c>
      <c r="B46" s="85">
        <v>0.5</v>
      </c>
      <c r="C46" s="85">
        <v>0.5</v>
      </c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</row>
    <row r="47">
      <c r="A47" s="84" t="s">
        <v>184</v>
      </c>
      <c r="B47" s="85">
        <v>1.0</v>
      </c>
      <c r="C47" s="85">
        <v>0.0</v>
      </c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</row>
    <row r="48">
      <c r="A48" s="84" t="s">
        <v>185</v>
      </c>
      <c r="B48" s="85">
        <v>0.2</v>
      </c>
      <c r="C48" s="85">
        <v>0.8</v>
      </c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</row>
    <row r="49">
      <c r="A49" s="84" t="s">
        <v>186</v>
      </c>
      <c r="B49" s="85">
        <v>1.0</v>
      </c>
      <c r="C49" s="85">
        <v>0.0</v>
      </c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</row>
    <row r="50">
      <c r="A50" s="84" t="s">
        <v>187</v>
      </c>
      <c r="B50" s="85">
        <v>0.7</v>
      </c>
      <c r="C50" s="85">
        <v>0.3</v>
      </c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</row>
    <row r="51">
      <c r="A51" s="84" t="s">
        <v>188</v>
      </c>
      <c r="B51" s="85">
        <v>0.2</v>
      </c>
      <c r="C51" s="85">
        <v>0.8</v>
      </c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</row>
    <row r="52">
      <c r="A52" s="84" t="s">
        <v>189</v>
      </c>
      <c r="B52" s="85">
        <v>0.8</v>
      </c>
      <c r="C52" s="85">
        <v>0.2</v>
      </c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</row>
    <row r="53">
      <c r="A53" s="84" t="s">
        <v>190</v>
      </c>
      <c r="B53" s="85">
        <v>0.7</v>
      </c>
      <c r="C53" s="85">
        <v>0.3</v>
      </c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</row>
    <row r="54">
      <c r="A54" s="84" t="s">
        <v>191</v>
      </c>
      <c r="B54" s="85">
        <v>1.0</v>
      </c>
      <c r="C54" s="85">
        <v>0.0</v>
      </c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</row>
    <row r="55">
      <c r="A55" s="84" t="s">
        <v>192</v>
      </c>
      <c r="B55" s="85">
        <v>0.6</v>
      </c>
      <c r="C55" s="85">
        <v>0.4</v>
      </c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</row>
    <row r="56">
      <c r="A56" s="84" t="s">
        <v>193</v>
      </c>
      <c r="B56" s="85">
        <v>1.0</v>
      </c>
      <c r="C56" s="85">
        <v>0.0</v>
      </c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</row>
    <row r="57">
      <c r="A57" s="84" t="s">
        <v>194</v>
      </c>
      <c r="B57" s="85">
        <v>1.0</v>
      </c>
      <c r="C57" s="85">
        <v>0.0</v>
      </c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</row>
    <row r="58">
      <c r="A58" s="84" t="s">
        <v>195</v>
      </c>
      <c r="B58" s="85">
        <v>0.9</v>
      </c>
      <c r="C58" s="85">
        <v>0.1</v>
      </c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</row>
    <row r="59">
      <c r="A59" s="84" t="s">
        <v>196</v>
      </c>
      <c r="B59" s="85">
        <v>0.4</v>
      </c>
      <c r="C59" s="85">
        <v>0.6</v>
      </c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</row>
    <row r="60">
      <c r="A60" s="84" t="s">
        <v>197</v>
      </c>
      <c r="B60" s="85">
        <v>0.65</v>
      </c>
      <c r="C60" s="85">
        <v>0.35</v>
      </c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</row>
    <row r="61">
      <c r="A61" s="84" t="s">
        <v>198</v>
      </c>
      <c r="B61" s="85">
        <v>0.9</v>
      </c>
      <c r="C61" s="85">
        <v>0.1</v>
      </c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</row>
    <row r="62">
      <c r="A62" s="84" t="s">
        <v>199</v>
      </c>
      <c r="B62" s="85">
        <v>0.9</v>
      </c>
      <c r="C62" s="85">
        <v>0.1</v>
      </c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</row>
    <row r="63">
      <c r="A63" s="84" t="s">
        <v>200</v>
      </c>
      <c r="B63" s="85">
        <v>0.0</v>
      </c>
      <c r="C63" s="85">
        <v>1.0</v>
      </c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</row>
    <row r="64">
      <c r="A64" s="84" t="s">
        <v>201</v>
      </c>
      <c r="B64" s="85">
        <v>0.0</v>
      </c>
      <c r="C64" s="85">
        <v>1.0</v>
      </c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</row>
    <row r="65">
      <c r="A65" s="84" t="s">
        <v>202</v>
      </c>
      <c r="B65" s="85">
        <v>0.7</v>
      </c>
      <c r="C65" s="85">
        <v>0.3</v>
      </c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</row>
    <row r="66">
      <c r="A66" s="84" t="s">
        <v>203</v>
      </c>
      <c r="B66" s="85">
        <v>0.7</v>
      </c>
      <c r="C66" s="85">
        <v>0.3</v>
      </c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</row>
    <row r="67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</row>
    <row r="68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</row>
    <row r="69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</row>
    <row r="70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</row>
    <row r="7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</row>
    <row r="72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</row>
    <row r="73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</row>
    <row r="74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</row>
    <row r="75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</row>
    <row r="76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</row>
    <row r="77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</row>
    <row r="78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</row>
    <row r="79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</row>
    <row r="80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</row>
  </sheetData>
  <mergeCells count="2">
    <mergeCell ref="E2:F2"/>
    <mergeCell ref="E3:F3"/>
  </mergeCells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</hyperlinks>
  <drawing r:id="rId66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/>
  </sheetViews>
  <sheetFormatPr customHeight="1" defaultColWidth="14.43" defaultRowHeight="15.75"/>
  <cols>
    <col customWidth="1" min="1" max="2" width="14.43"/>
    <col customWidth="1" min="3" max="5" width="12.0"/>
    <col customWidth="1" min="6" max="7" width="14.43"/>
    <col customWidth="1" min="8" max="8" width="22.43"/>
    <col customWidth="1" min="10" max="10" width="15.86"/>
    <col customWidth="1" min="13" max="13" width="15.86"/>
  </cols>
  <sheetData>
    <row r="1">
      <c r="A1" s="91" t="s">
        <v>204</v>
      </c>
      <c r="G1" s="92"/>
      <c r="H1" s="93" t="s">
        <v>205</v>
      </c>
    </row>
    <row r="2">
      <c r="A2" s="91" t="s">
        <v>206</v>
      </c>
      <c r="G2" s="92"/>
      <c r="H2" s="94"/>
    </row>
    <row r="3">
      <c r="A3" s="95" t="s">
        <v>207</v>
      </c>
      <c r="B3" s="96"/>
      <c r="C3" s="97" t="s">
        <v>208</v>
      </c>
      <c r="D3" s="98"/>
      <c r="E3" s="96"/>
      <c r="F3" s="99" t="s">
        <v>209</v>
      </c>
      <c r="G3" s="96"/>
      <c r="H3" s="100" t="s">
        <v>210</v>
      </c>
    </row>
    <row r="4">
      <c r="A4" s="101"/>
      <c r="B4" s="92"/>
      <c r="E4" s="92"/>
      <c r="F4" s="102" t="str">
        <f>""&amp;int(left(text(time(6,0,0)-now(),"HH:MM"),2))&amp;" hours and "&amp;int(right(text(time(6,0,0)-now(),"HH:MM"),2))&amp;" minutes"</f>
        <v>20 hours and 44 minutes</v>
      </c>
      <c r="G4" s="92"/>
      <c r="H4" s="103"/>
    </row>
    <row r="5">
      <c r="A5" s="104" t="str">
        <f>text(Floor_data!$O$4-1,"ddddddddd")</f>
        <v>Sunday</v>
      </c>
      <c r="B5" s="105"/>
      <c r="C5" s="106" t="str">
        <f>text(Floor_data!$O$4,"ddddddddd")</f>
        <v>Monday</v>
      </c>
      <c r="D5" s="107"/>
      <c r="E5" s="105"/>
      <c r="F5" s="108" t="str">
        <f>text(Floor_data!$O$4+1,"ddddddddd")</f>
        <v>Tuesday</v>
      </c>
      <c r="G5" s="105"/>
      <c r="H5" s="103"/>
    </row>
    <row r="6">
      <c r="A6" s="109" t="str">
        <f>IMAGE(VLOOKUP(Floor_data!$N$37,Floor_data!$N$29:$S$34,4,FALSE))</f>
        <v/>
      </c>
      <c r="B6" s="92"/>
      <c r="C6" s="110" t="str">
        <f>IMAGE(VLOOKUP(Floor_data!$N$35,Floor_data!$N$29:$S$34,4,FALSE))</f>
        <v/>
      </c>
      <c r="E6" s="92"/>
      <c r="F6" s="110" t="str">
        <f>IMAGE(VLOOKUP(Floor_data!$N$36,Floor_data!$N$29:$S$34,4,FALSE))</f>
        <v/>
      </c>
      <c r="G6" s="92"/>
      <c r="H6" s="103"/>
      <c r="I6" s="111"/>
    </row>
    <row r="7">
      <c r="A7" s="101"/>
      <c r="B7" s="92"/>
      <c r="E7" s="92"/>
      <c r="G7" s="92"/>
      <c r="H7" s="103"/>
    </row>
    <row r="8">
      <c r="A8" s="101"/>
      <c r="B8" s="92"/>
      <c r="E8" s="92"/>
      <c r="G8" s="92"/>
      <c r="H8" s="103"/>
    </row>
    <row r="9">
      <c r="A9" s="101"/>
      <c r="B9" s="92"/>
      <c r="E9" s="92"/>
      <c r="G9" s="92"/>
      <c r="H9" s="103"/>
    </row>
    <row r="10">
      <c r="A10" s="101"/>
      <c r="B10" s="92"/>
      <c r="E10" s="92"/>
      <c r="G10" s="92"/>
      <c r="H10" s="103"/>
    </row>
    <row r="11">
      <c r="A11" s="101"/>
      <c r="B11" s="92"/>
      <c r="E11" s="92"/>
      <c r="G11" s="92"/>
      <c r="H11" s="103"/>
    </row>
    <row r="12">
      <c r="A12" s="101"/>
      <c r="B12" s="92"/>
      <c r="E12" s="92"/>
      <c r="G12" s="92"/>
      <c r="H12" s="103"/>
    </row>
    <row r="13">
      <c r="A13" s="101"/>
      <c r="B13" s="92"/>
      <c r="E13" s="92"/>
      <c r="G13" s="92"/>
      <c r="H13" s="103"/>
    </row>
    <row r="14">
      <c r="A14" s="101"/>
      <c r="B14" s="92"/>
      <c r="E14" s="92"/>
      <c r="G14" s="92"/>
      <c r="H14" s="103"/>
    </row>
    <row r="15">
      <c r="A15" s="101"/>
      <c r="B15" s="92"/>
      <c r="E15" s="92"/>
      <c r="G15" s="92"/>
      <c r="H15" s="103"/>
    </row>
    <row r="16">
      <c r="A16" s="112" t="str">
        <f>VLOOKUP(Floor_data!$N$37,Floor_data!$N$29:$S$34,2,FALSE)</f>
        <v>Vitamin XXX</v>
      </c>
      <c r="B16" s="92"/>
      <c r="C16" s="113" t="str">
        <f>VLOOKUP(Floor_data!$N$35,Floor_data!$N$29:$S$34,2,FALSE)</f>
        <v>Super Long Tail</v>
      </c>
      <c r="E16" s="92"/>
      <c r="F16" s="113" t="str">
        <f>VLOOKUP(Floor_data!$N$36,Floor_data!$N$29:$S$34,2,FALSE)</f>
        <v>Golden Lucky Cat</v>
      </c>
      <c r="G16" s="92"/>
      <c r="H16" s="103"/>
    </row>
    <row r="17">
      <c r="A17" s="114" t="str">
        <f>VLOOKUP(Floor_data!$N$37,Floor_data!$N$29:$S$34,3,FALSE)</f>
        <v>Increases HP Recovery by 20%.</v>
      </c>
      <c r="B17" s="105"/>
      <c r="C17" s="115" t="str">
        <f>VLOOKUP(Floor_data!N35,Floor_data!N29:S34,3,FALSE)</f>
        <v>Reduces the durability loss of equipment
and weapons by 20%.</v>
      </c>
      <c r="D17" s="107"/>
      <c r="E17" s="105"/>
      <c r="F17" s="115" t="str">
        <f>VLOOKUP(Floor_data!$N$36,Floor_data!$N$29:$S$34,3,FALSE)</f>
        <v>Increase Kill Coins gained from enemies
and treasure by 20%.</v>
      </c>
      <c r="G17" s="105"/>
      <c r="H17" s="103"/>
      <c r="P17" s="116"/>
    </row>
    <row r="18">
      <c r="A18" s="109" t="str">
        <f>IMAGE(VLOOKUP(Floor_data!$N$37,Floor_data!$N$29:$S$34,6,FALSE))</f>
        <v/>
      </c>
      <c r="B18" s="92"/>
      <c r="C18" s="110" t="str">
        <f>IMAGE(VLOOKUP(Floor_data!$N$35,Floor_data!$N$29:$S$34,6,FALSE))</f>
        <v/>
      </c>
      <c r="E18" s="92"/>
      <c r="F18" s="110" t="str">
        <f>IMAGE(VLOOKUP(Floor_data!$N$36,Floor_data!$N$29:$S$34,6,FALSE))</f>
        <v/>
      </c>
      <c r="G18" s="92"/>
      <c r="H18" s="103"/>
    </row>
    <row r="19">
      <c r="A19" s="101"/>
      <c r="B19" s="92"/>
      <c r="E19" s="92"/>
      <c r="G19" s="92"/>
      <c r="H19" s="103"/>
    </row>
    <row r="20">
      <c r="A20" s="101"/>
      <c r="B20" s="92"/>
      <c r="E20" s="92"/>
      <c r="G20" s="92"/>
      <c r="H20" s="103"/>
    </row>
    <row r="21">
      <c r="A21" s="101"/>
      <c r="B21" s="92"/>
      <c r="E21" s="92"/>
      <c r="G21" s="92"/>
      <c r="H21" s="103"/>
    </row>
    <row r="22">
      <c r="A22" s="101"/>
      <c r="B22" s="92"/>
      <c r="E22" s="92"/>
      <c r="G22" s="92"/>
      <c r="H22" s="103"/>
    </row>
    <row r="23">
      <c r="A23" s="117" t="str">
        <f>VLOOKUP(Floor_data!$N$37,Floor_data!$N$29:$S$34,5,FALSE)</f>
        <v>Splattershroom</v>
      </c>
      <c r="B23" s="105"/>
      <c r="C23" s="118" t="str">
        <f>VLOOKUP(Floor_data!$N$35,Floor_data!$N$29:$S$34,5,FALSE)</f>
        <v>Fun Fungus</v>
      </c>
      <c r="D23" s="107"/>
      <c r="E23" s="105"/>
      <c r="F23" s="118" t="str">
        <f>VLOOKUP(Floor_data!$N$36,Floor_data!$N$29:$S$34,5,FALSE)</f>
        <v>40,000 Kill Coins</v>
      </c>
      <c r="G23" s="105"/>
      <c r="H23" s="94"/>
    </row>
  </sheetData>
  <mergeCells count="26">
    <mergeCell ref="A3:B4"/>
    <mergeCell ref="A5:B5"/>
    <mergeCell ref="C5:E5"/>
    <mergeCell ref="F5:G5"/>
    <mergeCell ref="A6:B15"/>
    <mergeCell ref="C6:E15"/>
    <mergeCell ref="F6:G15"/>
    <mergeCell ref="A16:B16"/>
    <mergeCell ref="C16:E16"/>
    <mergeCell ref="F16:G16"/>
    <mergeCell ref="A17:B17"/>
    <mergeCell ref="C17:E17"/>
    <mergeCell ref="F17:G17"/>
    <mergeCell ref="A18:B22"/>
    <mergeCell ref="C18:E22"/>
    <mergeCell ref="F18:G22"/>
    <mergeCell ref="A23:B23"/>
    <mergeCell ref="C23:E23"/>
    <mergeCell ref="A1:G1"/>
    <mergeCell ref="H1:H2"/>
    <mergeCell ref="A2:G2"/>
    <mergeCell ref="C3:E4"/>
    <mergeCell ref="F3:G3"/>
    <mergeCell ref="H3:H23"/>
    <mergeCell ref="F4:G4"/>
    <mergeCell ref="F23:G2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4.14"/>
    <col customWidth="1" min="3" max="3" width="15.43"/>
    <col customWidth="1" min="4" max="4" width="5.43"/>
    <col customWidth="1" min="5" max="5" width="3.43"/>
    <col customWidth="1" min="6" max="6" width="5.43"/>
    <col customWidth="1" min="7" max="7" width="6.71"/>
    <col customWidth="1" min="8" max="8" width="10.0"/>
    <col customWidth="1" min="9" max="9" width="5.86"/>
    <col customWidth="1" min="10" max="10" width="11.14"/>
    <col customWidth="1" min="11" max="11" width="7.0"/>
    <col customWidth="1" min="12" max="12" width="84.14"/>
    <col customWidth="1" min="13" max="13" width="14.43"/>
    <col customWidth="1" min="14" max="14" width="2.14"/>
    <col customWidth="1" min="15" max="15" width="11.0"/>
    <col customWidth="1" min="16" max="16" width="40.71"/>
    <col customWidth="1" min="17" max="17" width="31.0"/>
    <col customWidth="1" min="18" max="25" width="14.43"/>
  </cols>
  <sheetData>
    <row r="1">
      <c r="A1" s="119" t="s">
        <v>211</v>
      </c>
      <c r="B1" s="120" t="s">
        <v>212</v>
      </c>
      <c r="C1" s="121" t="s">
        <v>213</v>
      </c>
      <c r="D1" s="122" t="s">
        <v>7</v>
      </c>
      <c r="E1" s="123" t="s">
        <v>14</v>
      </c>
      <c r="F1" s="123" t="s">
        <v>214</v>
      </c>
      <c r="G1" s="123" t="s">
        <v>215</v>
      </c>
      <c r="H1" s="122" t="s">
        <v>9</v>
      </c>
      <c r="I1" s="122" t="s">
        <v>10</v>
      </c>
      <c r="J1" s="124" t="s">
        <v>40</v>
      </c>
      <c r="K1" s="123" t="s">
        <v>216</v>
      </c>
      <c r="L1" s="121" t="s">
        <v>217</v>
      </c>
      <c r="M1" s="125"/>
      <c r="N1" s="126"/>
      <c r="O1" s="126"/>
      <c r="P1" s="126"/>
      <c r="Q1" s="126"/>
      <c r="R1" s="127"/>
      <c r="S1" s="127"/>
      <c r="T1" s="127"/>
      <c r="U1" s="127"/>
      <c r="V1" s="127"/>
      <c r="W1" s="127"/>
      <c r="X1" s="127"/>
      <c r="Y1" s="127"/>
      <c r="Z1" s="127"/>
    </row>
    <row r="2">
      <c r="A2" s="128">
        <v>51.0</v>
      </c>
      <c r="B2" s="128" t="s">
        <v>39</v>
      </c>
      <c r="C2" s="129" t="s">
        <v>218</v>
      </c>
      <c r="D2" s="130" t="s">
        <v>219</v>
      </c>
      <c r="E2" s="131"/>
      <c r="F2" s="131"/>
      <c r="G2" s="131"/>
      <c r="H2" s="132" t="s">
        <v>220</v>
      </c>
      <c r="I2" s="131"/>
      <c r="J2" s="131"/>
      <c r="K2" s="131"/>
      <c r="L2" s="133" t="s">
        <v>221</v>
      </c>
      <c r="M2" s="125"/>
      <c r="N2" s="134"/>
      <c r="O2" s="134"/>
      <c r="P2" s="134"/>
      <c r="Q2" s="135"/>
      <c r="R2" s="127"/>
      <c r="S2" s="127"/>
      <c r="T2" s="127"/>
      <c r="U2" s="127"/>
      <c r="V2" s="127"/>
      <c r="W2" s="127"/>
      <c r="X2" s="127"/>
      <c r="Y2" s="127"/>
      <c r="Z2" s="127"/>
    </row>
    <row r="3">
      <c r="A3" s="136">
        <v>50.0</v>
      </c>
      <c r="B3" s="136" t="s">
        <v>39</v>
      </c>
      <c r="C3" s="137" t="s">
        <v>222</v>
      </c>
      <c r="D3" s="138"/>
      <c r="E3" s="139"/>
      <c r="F3" s="139"/>
      <c r="G3" s="140" t="s">
        <v>223</v>
      </c>
      <c r="H3" s="141" t="s">
        <v>46</v>
      </c>
      <c r="I3" s="139"/>
      <c r="J3" s="139"/>
      <c r="K3" s="142" t="s">
        <v>224</v>
      </c>
      <c r="L3" s="143" t="s">
        <v>225</v>
      </c>
      <c r="M3" s="125"/>
      <c r="N3" s="134"/>
      <c r="O3" s="134"/>
      <c r="P3" s="134"/>
      <c r="Q3" s="135"/>
      <c r="R3" s="127"/>
      <c r="S3" s="127"/>
      <c r="T3" s="144"/>
      <c r="U3" s="127"/>
      <c r="V3" s="145"/>
      <c r="W3" s="146"/>
      <c r="X3" s="146"/>
      <c r="Y3" s="127"/>
      <c r="Z3" s="127"/>
    </row>
    <row r="4">
      <c r="A4" s="136">
        <v>49.0</v>
      </c>
      <c r="B4" s="136" t="s">
        <v>39</v>
      </c>
      <c r="C4" s="137" t="s">
        <v>226</v>
      </c>
      <c r="D4" s="138"/>
      <c r="E4" s="139"/>
      <c r="F4" s="139"/>
      <c r="G4" s="139"/>
      <c r="H4" s="147" t="s">
        <v>34</v>
      </c>
      <c r="I4" s="139"/>
      <c r="J4" s="139"/>
      <c r="K4" s="142" t="s">
        <v>224</v>
      </c>
      <c r="L4" s="148" t="s">
        <v>227</v>
      </c>
      <c r="M4" s="125"/>
      <c r="N4" s="134"/>
      <c r="O4" s="149">
        <f>INT(IF(HOUR(NOW())&lt;6,IF((WEEKDAY(NOW())-1)&lt;=0,7,WEEKDAY(NOW())-1),WEEKDAY(NOW())))</f>
        <v>2</v>
      </c>
      <c r="P4" s="135" t="s">
        <v>228</v>
      </c>
      <c r="Q4" s="135"/>
      <c r="R4" s="127"/>
      <c r="S4" s="127"/>
      <c r="T4" s="127"/>
      <c r="U4" s="127"/>
      <c r="V4" s="145"/>
      <c r="W4" s="146"/>
      <c r="X4" s="146"/>
      <c r="Y4" s="146"/>
      <c r="Z4" s="127"/>
    </row>
    <row r="5">
      <c r="A5" s="136">
        <v>49.0</v>
      </c>
      <c r="B5" s="136" t="s">
        <v>39</v>
      </c>
      <c r="C5" s="137" t="s">
        <v>229</v>
      </c>
      <c r="D5" s="138"/>
      <c r="E5" s="139"/>
      <c r="F5" s="139"/>
      <c r="G5" s="140" t="s">
        <v>223</v>
      </c>
      <c r="H5" s="150" t="s">
        <v>38</v>
      </c>
      <c r="I5" s="139"/>
      <c r="J5" s="139"/>
      <c r="K5" s="139"/>
      <c r="L5" s="151"/>
      <c r="M5" s="125"/>
      <c r="N5" s="134"/>
      <c r="O5" s="152" t="str">
        <f>text(O4,"ddddddddd")</f>
        <v>Monday</v>
      </c>
      <c r="P5" s="135" t="s">
        <v>230</v>
      </c>
      <c r="Q5" s="135"/>
      <c r="R5" s="127"/>
      <c r="S5" s="127"/>
      <c r="T5" s="127"/>
      <c r="U5" s="127"/>
      <c r="V5" s="145"/>
      <c r="W5" s="146"/>
      <c r="X5" s="146"/>
      <c r="Y5" s="146"/>
      <c r="Z5" s="127"/>
    </row>
    <row r="6">
      <c r="A6" s="136">
        <v>49.0</v>
      </c>
      <c r="B6" s="136" t="s">
        <v>39</v>
      </c>
      <c r="C6" s="137" t="s">
        <v>231</v>
      </c>
      <c r="D6" s="138"/>
      <c r="E6" s="139"/>
      <c r="F6" s="139"/>
      <c r="G6" s="139"/>
      <c r="H6" s="153" t="s">
        <v>45</v>
      </c>
      <c r="I6" s="139"/>
      <c r="J6" s="139"/>
      <c r="K6" s="142" t="s">
        <v>224</v>
      </c>
      <c r="L6" s="148" t="s">
        <v>227</v>
      </c>
      <c r="M6" s="125"/>
      <c r="N6" s="134"/>
      <c r="O6" s="134"/>
      <c r="P6" s="135" t="s">
        <v>232</v>
      </c>
      <c r="Q6" s="135"/>
      <c r="R6" s="127"/>
      <c r="S6" s="127"/>
      <c r="T6" s="127"/>
      <c r="U6" s="127"/>
      <c r="V6" s="145"/>
      <c r="W6" s="146"/>
      <c r="X6" s="146"/>
      <c r="Y6" s="146"/>
      <c r="Z6" s="127"/>
    </row>
    <row r="7">
      <c r="A7" s="136">
        <v>48.0</v>
      </c>
      <c r="B7" s="136" t="s">
        <v>39</v>
      </c>
      <c r="C7" s="137" t="s">
        <v>233</v>
      </c>
      <c r="D7" s="138"/>
      <c r="E7" s="139"/>
      <c r="F7" s="139"/>
      <c r="G7" s="139"/>
      <c r="H7" s="154" t="s">
        <v>43</v>
      </c>
      <c r="I7" s="139"/>
      <c r="J7" s="139"/>
      <c r="K7" s="142" t="s">
        <v>224</v>
      </c>
      <c r="L7" s="148" t="s">
        <v>227</v>
      </c>
      <c r="M7" s="125"/>
      <c r="N7" s="134"/>
      <c r="O7" s="134"/>
      <c r="P7" s="135" t="s">
        <v>234</v>
      </c>
      <c r="Q7" s="135"/>
      <c r="R7" s="146"/>
      <c r="S7" s="127"/>
      <c r="T7" s="127"/>
      <c r="U7" s="127"/>
      <c r="V7" s="145"/>
      <c r="W7" s="146"/>
      <c r="X7" s="146"/>
      <c r="Y7" s="146"/>
      <c r="Z7" s="127"/>
    </row>
    <row r="8">
      <c r="A8" s="136">
        <v>48.0</v>
      </c>
      <c r="B8" s="136" t="s">
        <v>39</v>
      </c>
      <c r="C8" s="137" t="s">
        <v>235</v>
      </c>
      <c r="D8" s="138"/>
      <c r="E8" s="139"/>
      <c r="F8" s="139"/>
      <c r="G8" s="140" t="s">
        <v>223</v>
      </c>
      <c r="H8" s="155" t="s">
        <v>236</v>
      </c>
      <c r="I8" s="156" t="s">
        <v>41</v>
      </c>
      <c r="J8" s="139"/>
      <c r="K8" s="139"/>
      <c r="L8" s="148" t="s">
        <v>237</v>
      </c>
      <c r="M8" s="125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</row>
    <row r="9">
      <c r="A9" s="136">
        <v>48.0</v>
      </c>
      <c r="B9" s="136" t="s">
        <v>39</v>
      </c>
      <c r="C9" s="157" t="s">
        <v>238</v>
      </c>
      <c r="D9" s="158"/>
      <c r="E9" s="159"/>
      <c r="F9" s="159"/>
      <c r="G9" s="159"/>
      <c r="H9" s="155" t="s">
        <v>236</v>
      </c>
      <c r="I9" s="160" t="s">
        <v>41</v>
      </c>
      <c r="J9" s="159"/>
      <c r="K9" s="159"/>
      <c r="L9" s="148" t="s">
        <v>237</v>
      </c>
      <c r="M9" s="125"/>
      <c r="N9" s="126"/>
      <c r="O9" s="126"/>
      <c r="P9" s="126"/>
      <c r="Q9" s="126"/>
      <c r="R9" s="127"/>
      <c r="S9" s="127"/>
      <c r="T9" s="127"/>
      <c r="U9" s="127"/>
      <c r="V9" s="127"/>
      <c r="W9" s="127"/>
      <c r="X9" s="127"/>
      <c r="Y9" s="127"/>
      <c r="Z9" s="127"/>
    </row>
    <row r="10">
      <c r="A10" s="136">
        <v>48.0</v>
      </c>
      <c r="B10" s="136" t="s">
        <v>39</v>
      </c>
      <c r="C10" s="157" t="s">
        <v>239</v>
      </c>
      <c r="D10" s="158"/>
      <c r="E10" s="159"/>
      <c r="F10" s="159"/>
      <c r="G10" s="159"/>
      <c r="H10" s="154" t="s">
        <v>43</v>
      </c>
      <c r="I10" s="159"/>
      <c r="J10" s="159"/>
      <c r="K10" s="159"/>
      <c r="L10" s="161"/>
      <c r="M10" s="125"/>
      <c r="N10" s="135" t="s">
        <v>240</v>
      </c>
      <c r="O10" s="135" t="s">
        <v>241</v>
      </c>
      <c r="P10" s="135" t="s">
        <v>242</v>
      </c>
      <c r="Q10" s="135" t="s">
        <v>243</v>
      </c>
      <c r="R10" s="127"/>
      <c r="S10" s="127"/>
      <c r="T10" s="127"/>
      <c r="U10" s="127"/>
      <c r="V10" s="127"/>
      <c r="W10" s="127"/>
      <c r="X10" s="127"/>
      <c r="Y10" s="127"/>
      <c r="Z10" s="127"/>
    </row>
    <row r="11">
      <c r="A11" s="136">
        <v>48.0</v>
      </c>
      <c r="B11" s="136" t="s">
        <v>39</v>
      </c>
      <c r="C11" s="157" t="s">
        <v>244</v>
      </c>
      <c r="D11" s="158"/>
      <c r="E11" s="159"/>
      <c r="F11" s="159"/>
      <c r="G11" s="159"/>
      <c r="H11" s="162" t="s">
        <v>37</v>
      </c>
      <c r="I11" s="159"/>
      <c r="J11" s="159"/>
      <c r="K11" s="142" t="s">
        <v>224</v>
      </c>
      <c r="L11" s="148" t="s">
        <v>227</v>
      </c>
      <c r="M11" s="125"/>
      <c r="N11" s="163">
        <v>1.0</v>
      </c>
      <c r="O11" s="164" t="s">
        <v>245</v>
      </c>
      <c r="P11" s="165" t="s">
        <v>246</v>
      </c>
      <c r="Q11" s="166" t="s">
        <v>247</v>
      </c>
      <c r="R11" s="127"/>
      <c r="S11" s="127"/>
      <c r="T11" s="127"/>
      <c r="U11" s="127"/>
      <c r="V11" s="127"/>
      <c r="W11" s="127"/>
      <c r="X11" s="127"/>
      <c r="Y11" s="127"/>
      <c r="Z11" s="127"/>
    </row>
    <row r="12">
      <c r="A12" s="136">
        <v>47.0</v>
      </c>
      <c r="B12" s="136" t="s">
        <v>39</v>
      </c>
      <c r="C12" s="157" t="s">
        <v>248</v>
      </c>
      <c r="D12" s="158"/>
      <c r="E12" s="159"/>
      <c r="F12" s="159"/>
      <c r="G12" s="140" t="s">
        <v>223</v>
      </c>
      <c r="H12" s="162" t="s">
        <v>37</v>
      </c>
      <c r="I12" s="160" t="s">
        <v>41</v>
      </c>
      <c r="J12" s="159"/>
      <c r="K12" s="159"/>
      <c r="L12" s="148" t="s">
        <v>237</v>
      </c>
      <c r="M12" s="125"/>
      <c r="N12" s="167">
        <v>2.0</v>
      </c>
      <c r="O12" s="168" t="s">
        <v>249</v>
      </c>
      <c r="P12" s="168" t="s">
        <v>250</v>
      </c>
      <c r="Q12" s="169" t="s">
        <v>251</v>
      </c>
      <c r="R12" s="127"/>
      <c r="S12" s="127"/>
      <c r="T12" s="127"/>
      <c r="U12" s="127"/>
      <c r="V12" s="127"/>
      <c r="W12" s="127"/>
      <c r="X12" s="127"/>
      <c r="Y12" s="127"/>
      <c r="Z12" s="127"/>
    </row>
    <row r="13">
      <c r="A13" s="136">
        <v>47.0</v>
      </c>
      <c r="B13" s="136" t="s">
        <v>39</v>
      </c>
      <c r="C13" s="157" t="s">
        <v>252</v>
      </c>
      <c r="D13" s="158"/>
      <c r="E13" s="159"/>
      <c r="F13" s="159"/>
      <c r="G13" s="159"/>
      <c r="H13" s="141" t="s">
        <v>46</v>
      </c>
      <c r="I13" s="160" t="s">
        <v>41</v>
      </c>
      <c r="J13" s="159"/>
      <c r="K13" s="159"/>
      <c r="L13" s="148" t="s">
        <v>237</v>
      </c>
      <c r="M13" s="125"/>
      <c r="N13" s="170">
        <v>3.0</v>
      </c>
      <c r="O13" s="171" t="s">
        <v>253</v>
      </c>
      <c r="P13" s="171" t="s">
        <v>254</v>
      </c>
      <c r="Q13" s="172" t="s">
        <v>255</v>
      </c>
      <c r="R13" s="127"/>
      <c r="S13" s="127"/>
      <c r="T13" s="127"/>
      <c r="U13" s="127"/>
      <c r="V13" s="127"/>
      <c r="W13" s="127"/>
      <c r="X13" s="127"/>
      <c r="Y13" s="127"/>
      <c r="Z13" s="127"/>
    </row>
    <row r="14">
      <c r="A14" s="136">
        <v>47.0</v>
      </c>
      <c r="B14" s="136" t="s">
        <v>39</v>
      </c>
      <c r="C14" s="157" t="s">
        <v>256</v>
      </c>
      <c r="D14" s="158"/>
      <c r="E14" s="159"/>
      <c r="F14" s="159"/>
      <c r="G14" s="159"/>
      <c r="H14" s="154" t="s">
        <v>43</v>
      </c>
      <c r="I14" s="159"/>
      <c r="J14" s="159"/>
      <c r="K14" s="142" t="s">
        <v>224</v>
      </c>
      <c r="L14" s="148" t="s">
        <v>227</v>
      </c>
      <c r="M14" s="125"/>
      <c r="N14" s="163">
        <v>4.0</v>
      </c>
      <c r="O14" s="164" t="s">
        <v>257</v>
      </c>
      <c r="P14" s="165" t="s">
        <v>246</v>
      </c>
      <c r="Q14" s="166" t="s">
        <v>247</v>
      </c>
      <c r="R14" s="127"/>
      <c r="S14" s="127"/>
      <c r="T14" s="127"/>
      <c r="U14" s="127"/>
      <c r="V14" s="127"/>
      <c r="W14" s="127"/>
      <c r="X14" s="127"/>
      <c r="Y14" s="127"/>
      <c r="Z14" s="127"/>
    </row>
    <row r="15">
      <c r="A15" s="136">
        <v>47.0</v>
      </c>
      <c r="B15" s="136" t="s">
        <v>39</v>
      </c>
      <c r="C15" s="157" t="s">
        <v>258</v>
      </c>
      <c r="D15" s="158"/>
      <c r="E15" s="159"/>
      <c r="F15" s="159"/>
      <c r="G15" s="159"/>
      <c r="H15" s="141" t="s">
        <v>46</v>
      </c>
      <c r="I15" s="159"/>
      <c r="J15" s="159"/>
      <c r="K15" s="159"/>
      <c r="L15" s="161"/>
      <c r="M15" s="125"/>
      <c r="N15" s="173">
        <v>5.0</v>
      </c>
      <c r="O15" s="174" t="s">
        <v>259</v>
      </c>
      <c r="P15" s="174" t="s">
        <v>260</v>
      </c>
      <c r="Q15" s="175" t="s">
        <v>261</v>
      </c>
      <c r="R15" s="127"/>
      <c r="S15" s="127"/>
      <c r="T15" s="127"/>
      <c r="U15" s="127"/>
      <c r="V15" s="127"/>
      <c r="W15" s="127"/>
      <c r="X15" s="127"/>
      <c r="Y15" s="127"/>
      <c r="Z15" s="127"/>
    </row>
    <row r="16">
      <c r="A16" s="136">
        <v>47.0</v>
      </c>
      <c r="B16" s="136" t="s">
        <v>39</v>
      </c>
      <c r="C16" s="157" t="s">
        <v>262</v>
      </c>
      <c r="D16" s="158"/>
      <c r="E16" s="159"/>
      <c r="F16" s="159"/>
      <c r="G16" s="159"/>
      <c r="H16" s="162" t="s">
        <v>37</v>
      </c>
      <c r="I16" s="159"/>
      <c r="J16" s="159"/>
      <c r="K16" s="159"/>
      <c r="L16" s="161"/>
      <c r="M16" s="125"/>
      <c r="N16" s="163">
        <v>6.0</v>
      </c>
      <c r="O16" s="164" t="s">
        <v>263</v>
      </c>
      <c r="P16" s="164" t="s">
        <v>264</v>
      </c>
      <c r="Q16" s="166" t="s">
        <v>265</v>
      </c>
      <c r="R16" s="127"/>
      <c r="S16" s="127"/>
      <c r="T16" s="127"/>
      <c r="U16" s="127"/>
      <c r="V16" s="127"/>
      <c r="W16" s="127"/>
      <c r="X16" s="127"/>
      <c r="Y16" s="127"/>
      <c r="Z16" s="127"/>
    </row>
    <row r="17">
      <c r="A17" s="136">
        <v>46.0</v>
      </c>
      <c r="B17" s="136" t="s">
        <v>39</v>
      </c>
      <c r="C17" s="157" t="s">
        <v>266</v>
      </c>
      <c r="D17" s="158"/>
      <c r="E17" s="159"/>
      <c r="F17" s="159"/>
      <c r="G17" s="159"/>
      <c r="H17" s="154" t="s">
        <v>43</v>
      </c>
      <c r="I17" s="160" t="s">
        <v>41</v>
      </c>
      <c r="J17" s="159"/>
      <c r="K17" s="159"/>
      <c r="L17" s="148" t="s">
        <v>237</v>
      </c>
      <c r="M17" s="125"/>
      <c r="N17" s="170">
        <v>7.0</v>
      </c>
      <c r="O17" s="171" t="s">
        <v>267</v>
      </c>
      <c r="P17" s="171" t="s">
        <v>254</v>
      </c>
      <c r="Q17" s="172" t="s">
        <v>255</v>
      </c>
      <c r="R17" s="127"/>
      <c r="S17" s="127"/>
      <c r="T17" s="127"/>
      <c r="U17" s="127"/>
      <c r="V17" s="127"/>
      <c r="W17" s="127"/>
      <c r="X17" s="127"/>
      <c r="Y17" s="127"/>
      <c r="Z17" s="127"/>
    </row>
    <row r="18">
      <c r="A18" s="136">
        <v>46.0</v>
      </c>
      <c r="B18" s="136" t="s">
        <v>39</v>
      </c>
      <c r="C18" s="157" t="s">
        <v>268</v>
      </c>
      <c r="D18" s="158"/>
      <c r="E18" s="159"/>
      <c r="F18" s="159"/>
      <c r="G18" s="159"/>
      <c r="H18" s="147" t="s">
        <v>34</v>
      </c>
      <c r="I18" s="160" t="s">
        <v>41</v>
      </c>
      <c r="J18" s="159"/>
      <c r="K18" s="159"/>
      <c r="L18" s="148" t="s">
        <v>237</v>
      </c>
      <c r="M18" s="125"/>
      <c r="N18" s="146"/>
      <c r="O18" s="146"/>
      <c r="P18" s="146"/>
      <c r="Q18" s="127"/>
      <c r="R18" s="127"/>
      <c r="S18" s="127"/>
      <c r="T18" s="127"/>
      <c r="U18" s="127"/>
      <c r="V18" s="127"/>
      <c r="W18" s="127"/>
      <c r="X18" s="127"/>
      <c r="Y18" s="127"/>
      <c r="Z18" s="127"/>
    </row>
    <row r="19">
      <c r="A19" s="136">
        <v>46.0</v>
      </c>
      <c r="B19" s="136" t="s">
        <v>39</v>
      </c>
      <c r="C19" s="157" t="s">
        <v>269</v>
      </c>
      <c r="D19" s="158"/>
      <c r="E19" s="159"/>
      <c r="F19" s="159"/>
      <c r="G19" s="159"/>
      <c r="H19" s="154" t="s">
        <v>43</v>
      </c>
      <c r="I19" s="159"/>
      <c r="J19" s="159"/>
      <c r="K19" s="159"/>
      <c r="L19" s="161"/>
      <c r="M19" s="125"/>
      <c r="N19" s="146"/>
      <c r="O19" s="146"/>
      <c r="P19" s="146"/>
      <c r="Q19" s="127"/>
      <c r="R19" s="127"/>
      <c r="S19" s="127"/>
      <c r="T19" s="127"/>
      <c r="U19" s="127"/>
      <c r="V19" s="127"/>
      <c r="W19" s="127"/>
      <c r="X19" s="127"/>
      <c r="Y19" s="127"/>
      <c r="Z19" s="127"/>
    </row>
    <row r="20">
      <c r="A20" s="136">
        <v>46.0</v>
      </c>
      <c r="B20" s="136" t="s">
        <v>39</v>
      </c>
      <c r="C20" s="157" t="s">
        <v>270</v>
      </c>
      <c r="D20" s="158"/>
      <c r="E20" s="159"/>
      <c r="F20" s="159"/>
      <c r="G20" s="159"/>
      <c r="H20" s="162" t="s">
        <v>37</v>
      </c>
      <c r="I20" s="160" t="s">
        <v>41</v>
      </c>
      <c r="J20" s="159"/>
      <c r="K20" s="159"/>
      <c r="L20" s="148" t="s">
        <v>237</v>
      </c>
      <c r="M20" s="127"/>
      <c r="N20" s="127"/>
      <c r="O20" s="127"/>
      <c r="P20" s="89" t="s">
        <v>271</v>
      </c>
      <c r="Q20" s="127"/>
      <c r="R20" s="127"/>
      <c r="S20" s="127"/>
      <c r="T20" s="127"/>
      <c r="U20" s="127"/>
      <c r="V20" s="127"/>
      <c r="W20" s="127"/>
      <c r="X20" s="127"/>
      <c r="Y20" s="127"/>
      <c r="Z20" s="127"/>
    </row>
    <row r="21">
      <c r="A21" s="136">
        <v>46.0</v>
      </c>
      <c r="B21" s="136" t="s">
        <v>39</v>
      </c>
      <c r="C21" s="157" t="s">
        <v>272</v>
      </c>
      <c r="D21" s="158"/>
      <c r="E21" s="159"/>
      <c r="F21" s="159"/>
      <c r="G21" s="140" t="s">
        <v>223</v>
      </c>
      <c r="H21" s="153" t="s">
        <v>45</v>
      </c>
      <c r="I21" s="160" t="s">
        <v>41</v>
      </c>
      <c r="J21" s="159"/>
      <c r="K21" s="159"/>
      <c r="L21" s="148" t="s">
        <v>237</v>
      </c>
      <c r="M21" s="125"/>
      <c r="N21" s="127"/>
      <c r="O21" s="127"/>
      <c r="P21" s="89" t="s">
        <v>273</v>
      </c>
      <c r="Q21" s="89"/>
      <c r="R21" s="127"/>
      <c r="S21" s="127"/>
      <c r="T21" s="127"/>
      <c r="U21" s="127"/>
      <c r="V21" s="127"/>
      <c r="W21" s="127"/>
      <c r="X21" s="127"/>
      <c r="Y21" s="127"/>
      <c r="Z21" s="127"/>
    </row>
    <row r="22">
      <c r="A22" s="136">
        <v>46.0</v>
      </c>
      <c r="B22" s="136" t="s">
        <v>39</v>
      </c>
      <c r="C22" s="157" t="s">
        <v>274</v>
      </c>
      <c r="D22" s="158"/>
      <c r="E22" s="159"/>
      <c r="F22" s="159"/>
      <c r="G22" s="159"/>
      <c r="H22" s="150" t="s">
        <v>38</v>
      </c>
      <c r="I22" s="159"/>
      <c r="J22" s="159"/>
      <c r="K22" s="142" t="s">
        <v>224</v>
      </c>
      <c r="L22" s="148" t="s">
        <v>227</v>
      </c>
      <c r="M22" s="127"/>
      <c r="N22" s="127"/>
      <c r="O22" s="127"/>
      <c r="P22" s="89" t="s">
        <v>275</v>
      </c>
      <c r="Q22" s="127"/>
      <c r="R22" s="127"/>
      <c r="S22" s="127"/>
      <c r="T22" s="127"/>
      <c r="U22" s="127"/>
      <c r="V22" s="127"/>
      <c r="W22" s="127"/>
      <c r="X22" s="127"/>
      <c r="Y22" s="127"/>
      <c r="Z22" s="127"/>
    </row>
    <row r="23">
      <c r="A23" s="136">
        <v>45.0</v>
      </c>
      <c r="B23" s="136" t="s">
        <v>39</v>
      </c>
      <c r="C23" s="157" t="s">
        <v>276</v>
      </c>
      <c r="D23" s="158"/>
      <c r="E23" s="159"/>
      <c r="F23" s="159"/>
      <c r="G23" s="159"/>
      <c r="H23" s="147" t="s">
        <v>34</v>
      </c>
      <c r="I23" s="159"/>
      <c r="J23" s="159"/>
      <c r="K23" s="159"/>
      <c r="L23" s="161"/>
      <c r="M23" s="125"/>
      <c r="N23" s="127"/>
      <c r="O23" s="127"/>
      <c r="P23" s="176" t="s">
        <v>277</v>
      </c>
      <c r="Q23" s="127"/>
      <c r="R23" s="127"/>
      <c r="S23" s="127"/>
      <c r="T23" s="127"/>
      <c r="U23" s="127"/>
      <c r="V23" s="127"/>
      <c r="W23" s="127"/>
      <c r="X23" s="127"/>
      <c r="Y23" s="127"/>
      <c r="Z23" s="127"/>
    </row>
    <row r="24">
      <c r="A24" s="136">
        <v>45.0</v>
      </c>
      <c r="B24" s="136" t="s">
        <v>39</v>
      </c>
      <c r="C24" s="157" t="s">
        <v>278</v>
      </c>
      <c r="D24" s="158"/>
      <c r="E24" s="159"/>
      <c r="F24" s="159"/>
      <c r="G24" s="159"/>
      <c r="H24" s="150" t="s">
        <v>38</v>
      </c>
      <c r="I24" s="159"/>
      <c r="J24" s="159"/>
      <c r="K24" s="142" t="s">
        <v>224</v>
      </c>
      <c r="L24" s="148" t="s">
        <v>227</v>
      </c>
      <c r="M24" s="125"/>
      <c r="N24" s="127"/>
      <c r="O24" s="127"/>
      <c r="P24" s="176" t="s">
        <v>279</v>
      </c>
      <c r="Q24" s="127"/>
      <c r="R24" s="127"/>
      <c r="S24" s="127"/>
      <c r="T24" s="127"/>
      <c r="U24" s="127"/>
      <c r="V24" s="127"/>
      <c r="W24" s="127"/>
      <c r="X24" s="127"/>
      <c r="Y24" s="127"/>
      <c r="Z24" s="127"/>
    </row>
    <row r="25">
      <c r="A25" s="136">
        <v>45.0</v>
      </c>
      <c r="B25" s="136" t="s">
        <v>39</v>
      </c>
      <c r="C25" s="157" t="s">
        <v>280</v>
      </c>
      <c r="D25" s="158"/>
      <c r="E25" s="159"/>
      <c r="F25" s="159"/>
      <c r="G25" s="140" t="s">
        <v>223</v>
      </c>
      <c r="H25" s="150" t="s">
        <v>38</v>
      </c>
      <c r="I25" s="159"/>
      <c r="J25" s="159"/>
      <c r="K25" s="159"/>
      <c r="L25" s="161"/>
      <c r="M25" s="125"/>
      <c r="N25" s="125"/>
      <c r="O25" s="127"/>
      <c r="P25" s="177" t="s">
        <v>281</v>
      </c>
      <c r="Q25" s="127"/>
      <c r="R25" s="127"/>
      <c r="S25" s="127"/>
      <c r="T25" s="127"/>
      <c r="U25" s="127"/>
      <c r="V25" s="127"/>
      <c r="W25" s="127"/>
      <c r="X25" s="127"/>
      <c r="Y25" s="127"/>
      <c r="Z25" s="127"/>
    </row>
    <row r="26">
      <c r="A26" s="136">
        <v>45.0</v>
      </c>
      <c r="B26" s="136" t="s">
        <v>39</v>
      </c>
      <c r="C26" s="157" t="s">
        <v>282</v>
      </c>
      <c r="D26" s="158"/>
      <c r="E26" s="159"/>
      <c r="F26" s="159"/>
      <c r="G26" s="159"/>
      <c r="H26" s="155" t="s">
        <v>236</v>
      </c>
      <c r="I26" s="159"/>
      <c r="J26" s="159"/>
      <c r="K26" s="142" t="s">
        <v>224</v>
      </c>
      <c r="L26" s="148" t="s">
        <v>227</v>
      </c>
      <c r="M26" s="125"/>
      <c r="N26" s="125"/>
      <c r="O26" s="127"/>
      <c r="P26" s="127"/>
      <c r="Q26" s="127"/>
      <c r="R26" s="127"/>
      <c r="S26" s="127"/>
      <c r="T26" s="127"/>
      <c r="U26" s="127"/>
      <c r="V26" s="127"/>
      <c r="W26" s="127"/>
      <c r="X26" s="127"/>
      <c r="Y26" s="127"/>
      <c r="Z26" s="127"/>
    </row>
    <row r="27">
      <c r="A27" s="136">
        <v>45.0</v>
      </c>
      <c r="B27" s="136" t="s">
        <v>39</v>
      </c>
      <c r="C27" s="157" t="s">
        <v>283</v>
      </c>
      <c r="D27" s="158"/>
      <c r="E27" s="159"/>
      <c r="F27" s="159"/>
      <c r="G27" s="159"/>
      <c r="H27" s="150" t="s">
        <v>38</v>
      </c>
      <c r="I27" s="159"/>
      <c r="J27" s="159"/>
      <c r="K27" s="159"/>
      <c r="L27" s="161"/>
      <c r="M27" s="125"/>
      <c r="Q27" s="127"/>
      <c r="R27" s="127"/>
      <c r="S27" s="127"/>
      <c r="T27" s="127"/>
      <c r="U27" s="127"/>
      <c r="V27" s="127"/>
      <c r="W27" s="127"/>
      <c r="X27" s="127"/>
      <c r="Y27" s="127"/>
      <c r="Z27" s="127"/>
    </row>
    <row r="28">
      <c r="A28" s="136">
        <v>44.0</v>
      </c>
      <c r="B28" s="136" t="s">
        <v>39</v>
      </c>
      <c r="C28" s="157" t="s">
        <v>284</v>
      </c>
      <c r="D28" s="158"/>
      <c r="E28" s="159"/>
      <c r="F28" s="159"/>
      <c r="G28" s="140" t="s">
        <v>223</v>
      </c>
      <c r="H28" s="154" t="s">
        <v>43</v>
      </c>
      <c r="I28" s="159"/>
      <c r="J28" s="159"/>
      <c r="K28" s="159"/>
      <c r="L28" s="161"/>
      <c r="M28" s="125"/>
      <c r="N28" s="178" t="s">
        <v>240</v>
      </c>
      <c r="O28" s="178" t="s">
        <v>285</v>
      </c>
      <c r="P28" s="178" t="s">
        <v>286</v>
      </c>
      <c r="Q28" s="179" t="s">
        <v>287</v>
      </c>
      <c r="R28" s="179" t="s">
        <v>288</v>
      </c>
      <c r="S28" s="179" t="s">
        <v>289</v>
      </c>
      <c r="T28" s="127"/>
      <c r="U28" s="127"/>
      <c r="V28" s="127"/>
      <c r="W28" s="127"/>
      <c r="X28" s="127"/>
      <c r="Y28" s="127"/>
      <c r="Z28" s="127"/>
    </row>
    <row r="29">
      <c r="A29" s="136">
        <v>44.0</v>
      </c>
      <c r="B29" s="136" t="s">
        <v>39</v>
      </c>
      <c r="C29" s="157" t="s">
        <v>290</v>
      </c>
      <c r="D29" s="158"/>
      <c r="E29" s="159"/>
      <c r="F29" s="159"/>
      <c r="G29" s="159"/>
      <c r="H29" s="155" t="s">
        <v>236</v>
      </c>
      <c r="I29" s="159"/>
      <c r="J29" s="159"/>
      <c r="K29" s="159"/>
      <c r="L29" s="161"/>
      <c r="M29" s="125"/>
      <c r="N29" s="180">
        <v>1.0</v>
      </c>
      <c r="O29" s="181" t="s">
        <v>291</v>
      </c>
      <c r="P29" s="181" t="s">
        <v>292</v>
      </c>
      <c r="Q29" s="182" t="s">
        <v>293</v>
      </c>
      <c r="R29" s="181" t="s">
        <v>294</v>
      </c>
      <c r="S29" s="183" t="s">
        <v>295</v>
      </c>
      <c r="T29" s="127"/>
      <c r="U29" s="127"/>
      <c r="V29" s="127"/>
      <c r="W29" s="127"/>
      <c r="X29" s="127"/>
      <c r="Y29" s="127"/>
      <c r="Z29" s="127"/>
    </row>
    <row r="30">
      <c r="A30" s="136">
        <v>44.0</v>
      </c>
      <c r="B30" s="136" t="s">
        <v>39</v>
      </c>
      <c r="C30" s="157" t="s">
        <v>296</v>
      </c>
      <c r="D30" s="158"/>
      <c r="E30" s="159"/>
      <c r="F30" s="159"/>
      <c r="G30" s="159"/>
      <c r="H30" s="147" t="s">
        <v>34</v>
      </c>
      <c r="I30" s="160" t="s">
        <v>41</v>
      </c>
      <c r="J30" s="159"/>
      <c r="K30" s="159"/>
      <c r="L30" s="148" t="s">
        <v>237</v>
      </c>
      <c r="M30" s="125"/>
      <c r="N30" s="180">
        <v>2.0</v>
      </c>
      <c r="O30" s="181" t="s">
        <v>297</v>
      </c>
      <c r="P30" s="181" t="s">
        <v>298</v>
      </c>
      <c r="Q30" s="182" t="s">
        <v>299</v>
      </c>
      <c r="R30" s="181" t="s">
        <v>300</v>
      </c>
      <c r="S30" s="182" t="s">
        <v>301</v>
      </c>
      <c r="T30" s="127"/>
      <c r="U30" s="127"/>
      <c r="V30" s="127"/>
      <c r="W30" s="127"/>
      <c r="X30" s="127"/>
      <c r="Y30" s="127"/>
      <c r="Z30" s="127"/>
    </row>
    <row r="31">
      <c r="A31" s="136">
        <v>43.0</v>
      </c>
      <c r="B31" s="136" t="s">
        <v>39</v>
      </c>
      <c r="C31" s="157" t="s">
        <v>302</v>
      </c>
      <c r="D31" s="158"/>
      <c r="E31" s="159"/>
      <c r="F31" s="159"/>
      <c r="G31" s="159"/>
      <c r="H31" s="147" t="s">
        <v>34</v>
      </c>
      <c r="I31" s="159"/>
      <c r="J31" s="159"/>
      <c r="K31" s="159"/>
      <c r="L31" s="161"/>
      <c r="M31" s="125"/>
      <c r="N31" s="180">
        <v>3.0</v>
      </c>
      <c r="O31" s="181" t="s">
        <v>303</v>
      </c>
      <c r="P31" s="181" t="s">
        <v>304</v>
      </c>
      <c r="Q31" s="182" t="s">
        <v>305</v>
      </c>
      <c r="R31" s="181" t="s">
        <v>306</v>
      </c>
      <c r="S31" s="183" t="s">
        <v>307</v>
      </c>
      <c r="T31" s="127"/>
      <c r="U31" s="127"/>
      <c r="V31" s="127"/>
      <c r="W31" s="127"/>
      <c r="X31" s="127"/>
      <c r="Y31" s="127"/>
      <c r="Z31" s="127"/>
    </row>
    <row r="32">
      <c r="A32" s="136">
        <v>43.0</v>
      </c>
      <c r="B32" s="136" t="s">
        <v>39</v>
      </c>
      <c r="C32" s="157" t="s">
        <v>308</v>
      </c>
      <c r="D32" s="158"/>
      <c r="E32" s="159"/>
      <c r="F32" s="159"/>
      <c r="G32" s="140" t="s">
        <v>223</v>
      </c>
      <c r="H32" s="154" t="s">
        <v>43</v>
      </c>
      <c r="I32" s="160" t="s">
        <v>41</v>
      </c>
      <c r="J32" s="159"/>
      <c r="K32" s="159"/>
      <c r="L32" s="148" t="s">
        <v>237</v>
      </c>
      <c r="M32" s="125"/>
      <c r="N32" s="180">
        <v>4.0</v>
      </c>
      <c r="O32" s="184" t="s">
        <v>309</v>
      </c>
      <c r="P32" s="181" t="s">
        <v>310</v>
      </c>
      <c r="Q32" s="182" t="s">
        <v>311</v>
      </c>
      <c r="R32" s="181" t="s">
        <v>312</v>
      </c>
      <c r="S32" s="183" t="s">
        <v>313</v>
      </c>
      <c r="T32" s="127"/>
      <c r="U32" s="127"/>
      <c r="V32" s="127"/>
      <c r="W32" s="127"/>
      <c r="X32" s="127"/>
      <c r="Y32" s="127"/>
      <c r="Z32" s="127"/>
    </row>
    <row r="33">
      <c r="A33" s="136">
        <v>42.0</v>
      </c>
      <c r="B33" s="136" t="s">
        <v>39</v>
      </c>
      <c r="C33" s="157" t="s">
        <v>314</v>
      </c>
      <c r="D33" s="158"/>
      <c r="E33" s="159"/>
      <c r="F33" s="159"/>
      <c r="G33" s="140" t="s">
        <v>223</v>
      </c>
      <c r="H33" s="155" t="s">
        <v>236</v>
      </c>
      <c r="I33" s="159"/>
      <c r="J33" s="159"/>
      <c r="K33" s="159"/>
      <c r="L33" s="161"/>
      <c r="M33" s="125"/>
      <c r="N33" s="180">
        <v>5.0</v>
      </c>
      <c r="O33" s="184" t="s">
        <v>315</v>
      </c>
      <c r="P33" s="181" t="s">
        <v>316</v>
      </c>
      <c r="Q33" s="182" t="s">
        <v>317</v>
      </c>
      <c r="R33" s="181" t="s">
        <v>318</v>
      </c>
      <c r="S33" s="182" t="s">
        <v>319</v>
      </c>
      <c r="T33" s="127"/>
      <c r="U33" s="127"/>
      <c r="V33" s="127"/>
      <c r="W33" s="127"/>
      <c r="X33" s="127"/>
      <c r="Y33" s="127"/>
      <c r="Z33" s="127"/>
    </row>
    <row r="34">
      <c r="A34" s="185">
        <v>41.0</v>
      </c>
      <c r="B34" s="185" t="s">
        <v>39</v>
      </c>
      <c r="C34" s="186" t="s">
        <v>320</v>
      </c>
      <c r="D34" s="187" t="s">
        <v>219</v>
      </c>
      <c r="E34" s="188"/>
      <c r="F34" s="188"/>
      <c r="G34" s="140" t="s">
        <v>223</v>
      </c>
      <c r="H34" s="189" t="s">
        <v>220</v>
      </c>
      <c r="I34" s="188"/>
      <c r="J34" s="188"/>
      <c r="K34" s="188"/>
      <c r="L34" s="190" t="s">
        <v>321</v>
      </c>
      <c r="M34" s="125"/>
      <c r="N34" s="180">
        <v>0.0</v>
      </c>
      <c r="O34" s="184" t="s">
        <v>322</v>
      </c>
      <c r="P34" s="181" t="s">
        <v>323</v>
      </c>
      <c r="Q34" s="182" t="s">
        <v>324</v>
      </c>
      <c r="R34" s="181" t="s">
        <v>325</v>
      </c>
      <c r="S34" s="182" t="s">
        <v>326</v>
      </c>
      <c r="T34" s="127"/>
      <c r="U34" s="127"/>
      <c r="V34" s="127"/>
      <c r="W34" s="127"/>
      <c r="X34" s="127"/>
      <c r="Y34" s="127"/>
      <c r="Z34" s="127"/>
    </row>
    <row r="35">
      <c r="A35" s="136">
        <v>41.0</v>
      </c>
      <c r="B35" s="136">
        <v>0.0</v>
      </c>
      <c r="C35" s="157" t="s">
        <v>327</v>
      </c>
      <c r="D35" s="158"/>
      <c r="E35" s="159"/>
      <c r="F35" s="159"/>
      <c r="G35" s="159"/>
      <c r="H35" s="189" t="s">
        <v>220</v>
      </c>
      <c r="I35" s="159"/>
      <c r="J35" s="159"/>
      <c r="K35" s="159"/>
      <c r="L35" s="143" t="s">
        <v>328</v>
      </c>
      <c r="M35" s="125"/>
      <c r="N35" s="191">
        <f>INT(ABS(MOD(NOW()-TIME(6,0,0),6)))</f>
        <v>5</v>
      </c>
      <c r="O35" s="192" t="s">
        <v>208</v>
      </c>
      <c r="Q35" s="193"/>
      <c r="R35" s="193"/>
      <c r="S35" s="193"/>
      <c r="T35" s="127"/>
      <c r="U35" s="127"/>
      <c r="V35" s="127"/>
      <c r="W35" s="127"/>
      <c r="X35" s="127"/>
      <c r="Y35" s="127"/>
      <c r="Z35" s="127"/>
    </row>
    <row r="36">
      <c r="A36" s="185">
        <v>40.0</v>
      </c>
      <c r="B36" s="185">
        <v>0.0</v>
      </c>
      <c r="C36" s="186" t="s">
        <v>329</v>
      </c>
      <c r="D36" s="187" t="s">
        <v>219</v>
      </c>
      <c r="E36" s="188"/>
      <c r="F36" s="194">
        <v>4.6</v>
      </c>
      <c r="G36" s="140" t="s">
        <v>223</v>
      </c>
      <c r="H36" s="189" t="s">
        <v>220</v>
      </c>
      <c r="I36" s="188"/>
      <c r="J36" s="195" t="s">
        <v>330</v>
      </c>
      <c r="K36" s="188"/>
      <c r="L36" s="190" t="s">
        <v>331</v>
      </c>
      <c r="M36" s="125"/>
      <c r="N36" s="191">
        <f>INT(ABS(MOD(NOW()-TIME(6,0,0)+1,6)))</f>
        <v>0</v>
      </c>
      <c r="O36" s="192" t="s">
        <v>332</v>
      </c>
      <c r="Q36" s="193"/>
      <c r="R36" s="193"/>
      <c r="T36" s="127"/>
      <c r="U36" s="127"/>
      <c r="V36" s="127"/>
      <c r="W36" s="127"/>
      <c r="X36" s="127"/>
      <c r="Y36" s="127"/>
      <c r="Z36" s="127"/>
    </row>
    <row r="37">
      <c r="A37" s="196">
        <v>40.0</v>
      </c>
      <c r="B37" s="196">
        <v>3.0</v>
      </c>
      <c r="C37" s="197" t="s">
        <v>333</v>
      </c>
      <c r="D37" s="198"/>
      <c r="E37" s="199"/>
      <c r="F37" s="199"/>
      <c r="G37" s="199"/>
      <c r="H37" s="162" t="s">
        <v>37</v>
      </c>
      <c r="I37" s="199"/>
      <c r="J37" s="199"/>
      <c r="K37" s="199"/>
      <c r="L37" s="200"/>
      <c r="M37" s="125"/>
      <c r="N37" s="191">
        <f>INT(ABS(MOD(NOW()-TIME(6,0,0)-1,6)))</f>
        <v>4</v>
      </c>
      <c r="O37" s="192" t="s">
        <v>207</v>
      </c>
      <c r="Q37" s="193"/>
      <c r="R37" s="193"/>
      <c r="T37" s="127"/>
      <c r="U37" s="127"/>
      <c r="V37" s="127"/>
      <c r="W37" s="127"/>
      <c r="X37" s="127"/>
      <c r="Y37" s="127"/>
      <c r="Z37" s="127"/>
    </row>
    <row r="38">
      <c r="A38" s="196">
        <v>40.0</v>
      </c>
      <c r="B38" s="196">
        <v>7.0</v>
      </c>
      <c r="C38" s="197" t="s">
        <v>333</v>
      </c>
      <c r="D38" s="198"/>
      <c r="E38" s="199"/>
      <c r="F38" s="199"/>
      <c r="G38" s="199"/>
      <c r="H38" s="162" t="s">
        <v>37</v>
      </c>
      <c r="I38" s="199"/>
      <c r="J38" s="199"/>
      <c r="K38" s="199"/>
      <c r="L38" s="200"/>
      <c r="M38" s="125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</row>
    <row r="39">
      <c r="A39" s="185">
        <v>39.0</v>
      </c>
      <c r="B39" s="185">
        <v>0.0</v>
      </c>
      <c r="C39" s="186" t="s">
        <v>334</v>
      </c>
      <c r="D39" s="187" t="s">
        <v>219</v>
      </c>
      <c r="E39" s="188"/>
      <c r="F39" s="188"/>
      <c r="G39" s="188"/>
      <c r="H39" s="150" t="s">
        <v>38</v>
      </c>
      <c r="I39" s="188"/>
      <c r="J39" s="188"/>
      <c r="K39" s="188"/>
      <c r="L39" s="190"/>
      <c r="M39" s="125"/>
      <c r="N39" s="125"/>
      <c r="O39" s="125"/>
      <c r="P39" s="127"/>
      <c r="Q39" s="127"/>
      <c r="R39" s="127"/>
      <c r="S39" s="127"/>
      <c r="T39" s="127"/>
      <c r="U39" s="127"/>
      <c r="V39" s="127"/>
      <c r="W39" s="127"/>
      <c r="X39" s="127"/>
      <c r="Y39" s="127"/>
      <c r="Z39" s="127"/>
    </row>
    <row r="40">
      <c r="A40" s="136">
        <v>39.0</v>
      </c>
      <c r="B40" s="136">
        <v>0.0</v>
      </c>
      <c r="C40" s="157" t="s">
        <v>335</v>
      </c>
      <c r="D40" s="158"/>
      <c r="E40" s="159"/>
      <c r="F40" s="194">
        <v>4.5</v>
      </c>
      <c r="G40" s="159"/>
      <c r="H40" s="153" t="s">
        <v>45</v>
      </c>
      <c r="I40" s="160" t="s">
        <v>336</v>
      </c>
      <c r="J40" s="159"/>
      <c r="K40" s="159"/>
      <c r="L40" s="148" t="s">
        <v>337</v>
      </c>
      <c r="M40" s="125"/>
      <c r="N40" s="125"/>
      <c r="O40" s="125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</row>
    <row r="41">
      <c r="A41" s="201">
        <v>39.0</v>
      </c>
      <c r="B41" s="201">
        <v>5.0</v>
      </c>
      <c r="C41" s="202" t="s">
        <v>338</v>
      </c>
      <c r="D41" s="203"/>
      <c r="E41" s="204"/>
      <c r="F41" s="204"/>
      <c r="G41" s="140" t="s">
        <v>223</v>
      </c>
      <c r="H41" s="141" t="s">
        <v>46</v>
      </c>
      <c r="I41" s="204"/>
      <c r="J41" s="204"/>
      <c r="K41" s="204"/>
      <c r="L41" s="205" t="s">
        <v>339</v>
      </c>
      <c r="M41" s="125"/>
      <c r="N41" s="125"/>
      <c r="O41" s="125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</row>
    <row r="42">
      <c r="A42" s="206">
        <v>39.0</v>
      </c>
      <c r="B42" s="206">
        <v>2.0</v>
      </c>
      <c r="C42" s="207" t="s">
        <v>340</v>
      </c>
      <c r="D42" s="208"/>
      <c r="E42" s="209"/>
      <c r="F42" s="209"/>
      <c r="G42" s="209"/>
      <c r="H42" s="150" t="s">
        <v>38</v>
      </c>
      <c r="I42" s="209"/>
      <c r="J42" s="209"/>
      <c r="K42" s="209"/>
      <c r="L42" s="210" t="s">
        <v>339</v>
      </c>
      <c r="M42" s="125"/>
      <c r="N42" s="125"/>
      <c r="O42" s="125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</row>
    <row r="43">
      <c r="A43" s="211">
        <v>38.0</v>
      </c>
      <c r="B43" s="211">
        <v>0.0</v>
      </c>
      <c r="C43" s="137" t="s">
        <v>341</v>
      </c>
      <c r="D43" s="138"/>
      <c r="E43" s="139"/>
      <c r="F43" s="139"/>
      <c r="G43" s="139"/>
      <c r="H43" s="147" t="s">
        <v>34</v>
      </c>
      <c r="I43" s="139"/>
      <c r="J43" s="139"/>
      <c r="K43" s="195" t="s">
        <v>342</v>
      </c>
      <c r="L43" s="151" t="s">
        <v>343</v>
      </c>
      <c r="M43" s="125"/>
      <c r="N43" s="125"/>
      <c r="O43" s="125"/>
      <c r="P43" s="127"/>
      <c r="Q43" s="127"/>
      <c r="R43" s="127"/>
      <c r="S43" s="146"/>
      <c r="T43" s="127"/>
      <c r="U43" s="127"/>
      <c r="V43" s="127"/>
      <c r="W43" s="127"/>
      <c r="X43" s="127"/>
      <c r="Y43" s="127"/>
      <c r="Z43" s="127"/>
    </row>
    <row r="44">
      <c r="A44" s="211">
        <v>38.0</v>
      </c>
      <c r="B44" s="211">
        <v>0.0</v>
      </c>
      <c r="C44" s="137" t="s">
        <v>344</v>
      </c>
      <c r="D44" s="138"/>
      <c r="E44" s="139"/>
      <c r="F44" s="212">
        <v>4.4</v>
      </c>
      <c r="G44" s="139"/>
      <c r="H44" s="154" t="s">
        <v>43</v>
      </c>
      <c r="I44" s="139"/>
      <c r="J44" s="195" t="s">
        <v>345</v>
      </c>
      <c r="K44" s="139"/>
      <c r="L44" s="151" t="s">
        <v>346</v>
      </c>
      <c r="M44" s="125"/>
      <c r="N44" s="125"/>
      <c r="O44" s="125"/>
      <c r="P44" s="127"/>
      <c r="Q44" s="127"/>
      <c r="R44" s="127"/>
      <c r="S44" s="146"/>
      <c r="T44" s="127"/>
      <c r="U44" s="127"/>
      <c r="V44" s="127"/>
      <c r="W44" s="127"/>
      <c r="X44" s="127"/>
      <c r="Y44" s="127"/>
      <c r="Z44" s="127"/>
    </row>
    <row r="45">
      <c r="A45" s="201">
        <v>38.0</v>
      </c>
      <c r="B45" s="201">
        <v>5.0</v>
      </c>
      <c r="C45" s="213" t="s">
        <v>347</v>
      </c>
      <c r="D45" s="214"/>
      <c r="E45" s="215"/>
      <c r="F45" s="215"/>
      <c r="G45" s="215"/>
      <c r="H45" s="153" t="s">
        <v>45</v>
      </c>
      <c r="I45" s="215"/>
      <c r="J45" s="215"/>
      <c r="K45" s="215"/>
      <c r="L45" s="216" t="s">
        <v>348</v>
      </c>
      <c r="M45" s="125"/>
      <c r="N45" s="125"/>
      <c r="O45" s="125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</row>
    <row r="46">
      <c r="A46" s="196">
        <v>38.0</v>
      </c>
      <c r="B46" s="196">
        <v>3.0</v>
      </c>
      <c r="C46" s="217" t="s">
        <v>349</v>
      </c>
      <c r="D46" s="218"/>
      <c r="E46" s="219"/>
      <c r="F46" s="219"/>
      <c r="G46" s="212" t="s">
        <v>223</v>
      </c>
      <c r="H46" s="141" t="s">
        <v>46</v>
      </c>
      <c r="I46" s="219"/>
      <c r="J46" s="219"/>
      <c r="K46" s="219"/>
      <c r="L46" s="220"/>
      <c r="M46" s="125"/>
      <c r="N46" s="125"/>
      <c r="O46" s="125"/>
      <c r="P46" s="127"/>
      <c r="Q46" s="127"/>
      <c r="R46" s="127"/>
      <c r="S46" s="127"/>
      <c r="T46" s="127"/>
      <c r="U46" s="127"/>
      <c r="V46" s="127"/>
      <c r="W46" s="127"/>
      <c r="X46" s="127"/>
      <c r="Y46" s="127"/>
      <c r="Z46" s="127"/>
    </row>
    <row r="47">
      <c r="A47" s="196">
        <v>38.0</v>
      </c>
      <c r="B47" s="196">
        <v>7.0</v>
      </c>
      <c r="C47" s="217" t="s">
        <v>349</v>
      </c>
      <c r="D47" s="218"/>
      <c r="E47" s="219"/>
      <c r="F47" s="219"/>
      <c r="G47" s="212" t="s">
        <v>223</v>
      </c>
      <c r="H47" s="141" t="s">
        <v>46</v>
      </c>
      <c r="I47" s="219"/>
      <c r="J47" s="219"/>
      <c r="K47" s="219"/>
      <c r="L47" s="220"/>
      <c r="M47" s="125"/>
      <c r="N47" s="125"/>
      <c r="O47" s="125"/>
      <c r="P47" s="127"/>
      <c r="Q47" s="127"/>
      <c r="R47" s="127"/>
      <c r="S47" s="127"/>
      <c r="T47" s="127"/>
      <c r="U47" s="127"/>
      <c r="V47" s="127"/>
      <c r="W47" s="127"/>
      <c r="X47" s="127"/>
      <c r="Y47" s="127"/>
      <c r="Z47" s="127"/>
    </row>
    <row r="48">
      <c r="A48" s="196">
        <v>38.0</v>
      </c>
      <c r="B48" s="196">
        <v>3.0</v>
      </c>
      <c r="C48" s="217" t="s">
        <v>350</v>
      </c>
      <c r="D48" s="218"/>
      <c r="E48" s="219"/>
      <c r="F48" s="219"/>
      <c r="G48" s="219"/>
      <c r="H48" s="147" t="s">
        <v>34</v>
      </c>
      <c r="I48" s="219"/>
      <c r="J48" s="219"/>
      <c r="K48" s="219"/>
      <c r="L48" s="220" t="s">
        <v>351</v>
      </c>
      <c r="M48" s="125"/>
      <c r="N48" s="125"/>
      <c r="O48" s="125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</row>
    <row r="49">
      <c r="A49" s="196">
        <v>38.0</v>
      </c>
      <c r="B49" s="196">
        <v>7.0</v>
      </c>
      <c r="C49" s="217" t="s">
        <v>350</v>
      </c>
      <c r="D49" s="218"/>
      <c r="E49" s="219"/>
      <c r="F49" s="219"/>
      <c r="G49" s="219"/>
      <c r="H49" s="147" t="s">
        <v>34</v>
      </c>
      <c r="I49" s="219"/>
      <c r="J49" s="219"/>
      <c r="K49" s="219"/>
      <c r="L49" s="220" t="s">
        <v>351</v>
      </c>
      <c r="M49" s="125"/>
      <c r="N49" s="125"/>
      <c r="O49" s="125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</row>
    <row r="50">
      <c r="A50" s="206">
        <v>38.0</v>
      </c>
      <c r="B50" s="206">
        <v>2.0</v>
      </c>
      <c r="C50" s="221" t="s">
        <v>352</v>
      </c>
      <c r="D50" s="222"/>
      <c r="E50" s="223"/>
      <c r="F50" s="223"/>
      <c r="G50" s="223"/>
      <c r="H50" s="153" t="s">
        <v>45</v>
      </c>
      <c r="I50" s="223"/>
      <c r="J50" s="223"/>
      <c r="K50" s="223"/>
      <c r="L50" s="224" t="s">
        <v>353</v>
      </c>
      <c r="M50" s="125"/>
      <c r="N50" s="125"/>
      <c r="O50" s="125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7"/>
    </row>
    <row r="51">
      <c r="A51" s="206">
        <v>38.0</v>
      </c>
      <c r="B51" s="206">
        <v>2.0</v>
      </c>
      <c r="C51" s="221" t="s">
        <v>354</v>
      </c>
      <c r="D51" s="222"/>
      <c r="E51" s="223"/>
      <c r="F51" s="223"/>
      <c r="G51" s="223"/>
      <c r="H51" s="147" t="s">
        <v>34</v>
      </c>
      <c r="I51" s="223"/>
      <c r="J51" s="223"/>
      <c r="K51" s="223"/>
      <c r="L51" s="224" t="s">
        <v>355</v>
      </c>
      <c r="M51" s="125"/>
      <c r="N51" s="125"/>
      <c r="O51" s="125"/>
      <c r="P51" s="127"/>
      <c r="Q51" s="127"/>
      <c r="R51" s="127"/>
      <c r="S51" s="127"/>
      <c r="T51" s="127"/>
      <c r="U51" s="127"/>
      <c r="V51" s="127"/>
      <c r="W51" s="127"/>
      <c r="X51" s="127"/>
      <c r="Y51" s="127"/>
      <c r="Z51" s="127"/>
    </row>
    <row r="52">
      <c r="A52" s="225">
        <v>38.0</v>
      </c>
      <c r="B52" s="225">
        <v>1.0</v>
      </c>
      <c r="C52" s="226" t="s">
        <v>356</v>
      </c>
      <c r="D52" s="227"/>
      <c r="E52" s="228"/>
      <c r="F52" s="228"/>
      <c r="G52" s="228"/>
      <c r="H52" s="189" t="s">
        <v>220</v>
      </c>
      <c r="I52" s="228"/>
      <c r="J52" s="228"/>
      <c r="K52" s="228"/>
      <c r="L52" s="229"/>
      <c r="M52" s="125"/>
      <c r="N52" s="125"/>
      <c r="O52" s="125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</row>
    <row r="53">
      <c r="A53" s="225">
        <v>38.0</v>
      </c>
      <c r="B53" s="225">
        <v>4.0</v>
      </c>
      <c r="C53" s="226" t="s">
        <v>356</v>
      </c>
      <c r="D53" s="227"/>
      <c r="E53" s="228"/>
      <c r="F53" s="228"/>
      <c r="G53" s="228"/>
      <c r="H53" s="189" t="s">
        <v>220</v>
      </c>
      <c r="I53" s="228"/>
      <c r="J53" s="228"/>
      <c r="K53" s="228"/>
      <c r="L53" s="229"/>
      <c r="M53" s="125"/>
      <c r="N53" s="125"/>
      <c r="O53" s="125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</row>
    <row r="54">
      <c r="A54" s="225">
        <v>38.0</v>
      </c>
      <c r="B54" s="225">
        <v>6.0</v>
      </c>
      <c r="C54" s="226" t="s">
        <v>356</v>
      </c>
      <c r="D54" s="227"/>
      <c r="E54" s="228"/>
      <c r="F54" s="228"/>
      <c r="G54" s="228"/>
      <c r="H54" s="189" t="s">
        <v>220</v>
      </c>
      <c r="I54" s="228"/>
      <c r="J54" s="228"/>
      <c r="K54" s="228"/>
      <c r="L54" s="229"/>
      <c r="M54" s="125"/>
      <c r="N54" s="125"/>
      <c r="O54" s="125"/>
      <c r="P54" s="127"/>
      <c r="Q54" s="127"/>
      <c r="R54" s="127"/>
      <c r="S54" s="127"/>
      <c r="T54" s="127"/>
      <c r="U54" s="127"/>
      <c r="V54" s="127"/>
      <c r="W54" s="127"/>
      <c r="X54" s="127"/>
      <c r="Y54" s="127"/>
      <c r="Z54" s="127"/>
    </row>
    <row r="55">
      <c r="A55" s="230">
        <v>38.0</v>
      </c>
      <c r="B55" s="230">
        <v>4.0</v>
      </c>
      <c r="C55" s="231" t="s">
        <v>357</v>
      </c>
      <c r="D55" s="160" t="s">
        <v>358</v>
      </c>
      <c r="E55" s="232"/>
      <c r="F55" s="232"/>
      <c r="G55" s="232"/>
      <c r="H55" s="189" t="s">
        <v>220</v>
      </c>
      <c r="I55" s="232"/>
      <c r="J55" s="233" t="s">
        <v>359</v>
      </c>
      <c r="K55" s="232"/>
      <c r="L55" s="234" t="s">
        <v>360</v>
      </c>
      <c r="M55" s="125"/>
      <c r="N55" s="125"/>
      <c r="O55" s="125"/>
      <c r="P55" s="127"/>
      <c r="Q55" s="127"/>
      <c r="R55" s="127"/>
      <c r="S55" s="127"/>
      <c r="T55" s="127"/>
      <c r="U55" s="127"/>
      <c r="V55" s="127"/>
      <c r="W55" s="127"/>
      <c r="X55" s="127"/>
      <c r="Y55" s="127"/>
      <c r="Z55" s="127"/>
    </row>
    <row r="56">
      <c r="A56" s="230">
        <v>38.0</v>
      </c>
      <c r="B56" s="230">
        <v>1.0</v>
      </c>
      <c r="C56" s="231" t="s">
        <v>357</v>
      </c>
      <c r="D56" s="160" t="s">
        <v>358</v>
      </c>
      <c r="E56" s="232"/>
      <c r="F56" s="232"/>
      <c r="G56" s="232"/>
      <c r="H56" s="189" t="s">
        <v>220</v>
      </c>
      <c r="I56" s="232"/>
      <c r="J56" s="233" t="s">
        <v>359</v>
      </c>
      <c r="K56" s="232"/>
      <c r="L56" s="234" t="s">
        <v>360</v>
      </c>
      <c r="M56" s="125"/>
      <c r="N56" s="125"/>
      <c r="O56" s="125"/>
      <c r="P56" s="127"/>
      <c r="Q56" s="127"/>
      <c r="R56" s="127"/>
      <c r="S56" s="127"/>
      <c r="T56" s="127"/>
      <c r="U56" s="127"/>
      <c r="V56" s="127"/>
      <c r="W56" s="127"/>
      <c r="X56" s="127"/>
      <c r="Y56" s="127"/>
      <c r="Z56" s="127"/>
    </row>
    <row r="57">
      <c r="A57" s="235">
        <v>37.0</v>
      </c>
      <c r="B57" s="235">
        <v>0.0</v>
      </c>
      <c r="C57" s="236" t="s">
        <v>361</v>
      </c>
      <c r="D57" s="237" t="s">
        <v>219</v>
      </c>
      <c r="E57" s="238"/>
      <c r="F57" s="212">
        <v>4.3</v>
      </c>
      <c r="G57" s="238"/>
      <c r="H57" s="155" t="s">
        <v>236</v>
      </c>
      <c r="I57" s="238"/>
      <c r="J57" s="238"/>
      <c r="K57" s="238"/>
      <c r="L57" s="239" t="s">
        <v>362</v>
      </c>
      <c r="M57" s="125"/>
      <c r="N57" s="125"/>
      <c r="O57" s="125"/>
      <c r="P57" s="127"/>
      <c r="Q57" s="127"/>
      <c r="R57" s="127"/>
      <c r="S57" s="127"/>
      <c r="T57" s="127"/>
      <c r="U57" s="127"/>
      <c r="V57" s="127"/>
      <c r="W57" s="127"/>
      <c r="X57" s="127"/>
      <c r="Y57" s="127"/>
      <c r="Z57" s="127"/>
    </row>
    <row r="58">
      <c r="A58" s="211">
        <v>37.0</v>
      </c>
      <c r="B58" s="211">
        <v>0.0</v>
      </c>
      <c r="C58" s="137" t="s">
        <v>363</v>
      </c>
      <c r="D58" s="138"/>
      <c r="E58" s="139"/>
      <c r="F58" s="139"/>
      <c r="G58" s="139"/>
      <c r="H58" s="153" t="s">
        <v>45</v>
      </c>
      <c r="I58" s="139"/>
      <c r="J58" s="139"/>
      <c r="K58" s="139"/>
      <c r="L58" s="151"/>
      <c r="M58" s="125"/>
      <c r="N58" s="125"/>
      <c r="O58" s="125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</row>
    <row r="59">
      <c r="A59" s="206">
        <v>37.0</v>
      </c>
      <c r="B59" s="206">
        <v>2.0</v>
      </c>
      <c r="C59" s="221" t="s">
        <v>364</v>
      </c>
      <c r="D59" s="222"/>
      <c r="E59" s="223"/>
      <c r="F59" s="223"/>
      <c r="G59" s="223"/>
      <c r="H59" s="150" t="s">
        <v>38</v>
      </c>
      <c r="I59" s="223"/>
      <c r="J59" s="223"/>
      <c r="K59" s="223"/>
      <c r="L59" s="224"/>
      <c r="M59" s="125"/>
      <c r="N59" s="125"/>
      <c r="O59" s="125"/>
      <c r="P59" s="127"/>
      <c r="Q59" s="127"/>
      <c r="R59" s="127"/>
      <c r="S59" s="127"/>
      <c r="T59" s="127"/>
      <c r="U59" s="127"/>
      <c r="V59" s="127"/>
      <c r="W59" s="127"/>
      <c r="X59" s="127"/>
      <c r="Y59" s="127"/>
      <c r="Z59" s="127"/>
    </row>
    <row r="60">
      <c r="A60" s="206">
        <v>37.0</v>
      </c>
      <c r="B60" s="206">
        <v>2.0</v>
      </c>
      <c r="C60" s="221" t="s">
        <v>365</v>
      </c>
      <c r="D60" s="222"/>
      <c r="E60" s="223"/>
      <c r="F60" s="223"/>
      <c r="G60" s="223"/>
      <c r="H60" s="154" t="s">
        <v>43</v>
      </c>
      <c r="I60" s="223"/>
      <c r="J60" s="223"/>
      <c r="K60" s="223"/>
      <c r="L60" s="224" t="s">
        <v>353</v>
      </c>
      <c r="M60" s="125"/>
      <c r="N60" s="125"/>
      <c r="O60" s="125"/>
      <c r="P60" s="127"/>
      <c r="Q60" s="127"/>
      <c r="R60" s="127"/>
      <c r="S60" s="127"/>
      <c r="T60" s="127"/>
      <c r="U60" s="127"/>
      <c r="V60" s="127"/>
      <c r="W60" s="127"/>
      <c r="X60" s="127"/>
      <c r="Y60" s="127"/>
      <c r="Z60" s="127"/>
    </row>
    <row r="61">
      <c r="A61" s="225">
        <v>37.0</v>
      </c>
      <c r="B61" s="225">
        <v>4.0</v>
      </c>
      <c r="C61" s="226" t="s">
        <v>366</v>
      </c>
      <c r="D61" s="227"/>
      <c r="E61" s="228"/>
      <c r="F61" s="228"/>
      <c r="G61" s="212" t="s">
        <v>223</v>
      </c>
      <c r="H61" s="150" t="s">
        <v>38</v>
      </c>
      <c r="I61" s="228"/>
      <c r="J61" s="228"/>
      <c r="K61" s="228"/>
      <c r="L61" s="229"/>
      <c r="M61" s="125"/>
      <c r="N61" s="125"/>
      <c r="O61" s="125"/>
      <c r="P61" s="127"/>
      <c r="Q61" s="127"/>
      <c r="R61" s="127"/>
      <c r="S61" s="127"/>
      <c r="T61" s="127"/>
      <c r="U61" s="127"/>
      <c r="V61" s="127"/>
      <c r="W61" s="127"/>
      <c r="X61" s="127"/>
      <c r="Y61" s="127"/>
      <c r="Z61" s="127"/>
    </row>
    <row r="62">
      <c r="A62" s="225">
        <v>37.0</v>
      </c>
      <c r="B62" s="225">
        <v>6.0</v>
      </c>
      <c r="C62" s="226" t="s">
        <v>366</v>
      </c>
      <c r="D62" s="227"/>
      <c r="E62" s="228"/>
      <c r="F62" s="228"/>
      <c r="G62" s="212" t="s">
        <v>223</v>
      </c>
      <c r="H62" s="150" t="s">
        <v>38</v>
      </c>
      <c r="I62" s="228"/>
      <c r="J62" s="228"/>
      <c r="K62" s="228"/>
      <c r="L62" s="229"/>
      <c r="M62" s="125"/>
      <c r="N62" s="125"/>
      <c r="O62" s="125"/>
      <c r="P62" s="127"/>
      <c r="Q62" s="127"/>
      <c r="R62" s="127"/>
      <c r="S62" s="127"/>
      <c r="T62" s="127"/>
      <c r="U62" s="127"/>
      <c r="V62" s="127"/>
      <c r="W62" s="127"/>
      <c r="X62" s="127"/>
      <c r="Y62" s="127"/>
      <c r="Z62" s="127"/>
    </row>
    <row r="63">
      <c r="A63" s="225">
        <v>37.0</v>
      </c>
      <c r="B63" s="225">
        <v>1.0</v>
      </c>
      <c r="C63" s="226" t="s">
        <v>366</v>
      </c>
      <c r="D63" s="227"/>
      <c r="E63" s="228"/>
      <c r="F63" s="228"/>
      <c r="G63" s="212" t="s">
        <v>223</v>
      </c>
      <c r="H63" s="150" t="s">
        <v>38</v>
      </c>
      <c r="I63" s="228"/>
      <c r="J63" s="228"/>
      <c r="K63" s="228"/>
      <c r="L63" s="229"/>
      <c r="M63" s="125"/>
      <c r="N63" s="125"/>
      <c r="O63" s="125"/>
      <c r="P63" s="127"/>
      <c r="Q63" s="127"/>
      <c r="R63" s="127"/>
      <c r="S63" s="127"/>
      <c r="T63" s="127"/>
      <c r="U63" s="127"/>
      <c r="V63" s="127"/>
      <c r="W63" s="127"/>
      <c r="X63" s="127"/>
      <c r="Y63" s="127"/>
      <c r="Z63" s="127"/>
    </row>
    <row r="64">
      <c r="A64" s="235">
        <v>36.0</v>
      </c>
      <c r="B64" s="235">
        <v>0.0</v>
      </c>
      <c r="C64" s="236" t="s">
        <v>367</v>
      </c>
      <c r="D64" s="237" t="s">
        <v>219</v>
      </c>
      <c r="E64" s="140">
        <v>8.0</v>
      </c>
      <c r="F64" s="238"/>
      <c r="G64" s="140" t="s">
        <v>223</v>
      </c>
      <c r="H64" s="155" t="s">
        <v>236</v>
      </c>
      <c r="I64" s="238"/>
      <c r="J64" s="238"/>
      <c r="K64" s="238"/>
      <c r="L64" s="240" t="s">
        <v>368</v>
      </c>
      <c r="M64" s="125"/>
      <c r="N64" s="125"/>
      <c r="O64" s="125"/>
      <c r="P64" s="127"/>
      <c r="Q64" s="127"/>
      <c r="R64" s="127"/>
      <c r="S64" s="127"/>
      <c r="T64" s="127"/>
      <c r="U64" s="127"/>
      <c r="V64" s="127"/>
      <c r="W64" s="127"/>
      <c r="X64" s="127"/>
      <c r="Y64" s="127"/>
      <c r="Z64" s="127"/>
    </row>
    <row r="65">
      <c r="A65" s="211">
        <v>36.0</v>
      </c>
      <c r="B65" s="211">
        <v>0.0</v>
      </c>
      <c r="C65" s="137" t="s">
        <v>369</v>
      </c>
      <c r="D65" s="138"/>
      <c r="E65" s="139"/>
      <c r="F65" s="212">
        <v>4.2</v>
      </c>
      <c r="G65" s="139"/>
      <c r="H65" s="162" t="s">
        <v>37</v>
      </c>
      <c r="I65" s="139"/>
      <c r="J65" s="195" t="s">
        <v>370</v>
      </c>
      <c r="K65" s="139"/>
      <c r="L65" s="151" t="s">
        <v>371</v>
      </c>
      <c r="M65" s="125"/>
      <c r="N65" s="125"/>
      <c r="O65" s="125"/>
      <c r="P65" s="127"/>
      <c r="Q65" s="127"/>
      <c r="R65" s="127"/>
      <c r="S65" s="127"/>
      <c r="T65" s="127"/>
      <c r="U65" s="127"/>
      <c r="V65" s="127"/>
      <c r="W65" s="127"/>
      <c r="X65" s="127"/>
      <c r="Y65" s="127"/>
      <c r="Z65" s="127"/>
    </row>
    <row r="66">
      <c r="A66" s="211">
        <v>36.0</v>
      </c>
      <c r="B66" s="211">
        <v>0.0</v>
      </c>
      <c r="C66" s="137" t="s">
        <v>372</v>
      </c>
      <c r="D66" s="138"/>
      <c r="E66" s="139"/>
      <c r="F66" s="139"/>
      <c r="G66" s="139"/>
      <c r="H66" s="141" t="s">
        <v>46</v>
      </c>
      <c r="I66" s="139"/>
      <c r="J66" s="139"/>
      <c r="K66" s="139"/>
      <c r="L66" s="151"/>
      <c r="M66" s="125"/>
      <c r="N66" s="125"/>
      <c r="O66" s="125"/>
      <c r="P66" s="127"/>
      <c r="Q66" s="127"/>
      <c r="R66" s="127"/>
      <c r="S66" s="127"/>
      <c r="T66" s="127"/>
      <c r="U66" s="127"/>
      <c r="V66" s="127"/>
      <c r="W66" s="127"/>
      <c r="X66" s="127"/>
      <c r="Y66" s="127"/>
      <c r="Z66" s="127"/>
    </row>
    <row r="67">
      <c r="A67" s="206">
        <v>36.0</v>
      </c>
      <c r="B67" s="206">
        <v>2.0</v>
      </c>
      <c r="C67" s="207" t="s">
        <v>373</v>
      </c>
      <c r="D67" s="208"/>
      <c r="E67" s="209"/>
      <c r="F67" s="209"/>
      <c r="G67" s="209"/>
      <c r="H67" s="162" t="s">
        <v>37</v>
      </c>
      <c r="I67" s="209"/>
      <c r="J67" s="209"/>
      <c r="K67" s="209"/>
      <c r="L67" s="210" t="s">
        <v>374</v>
      </c>
      <c r="M67" s="125"/>
      <c r="N67" s="125"/>
      <c r="O67" s="125"/>
      <c r="P67" s="127"/>
      <c r="Q67" s="127"/>
      <c r="R67" s="127"/>
      <c r="S67" s="127"/>
      <c r="T67" s="127"/>
      <c r="U67" s="127"/>
      <c r="V67" s="127"/>
      <c r="W67" s="127"/>
      <c r="X67" s="127"/>
      <c r="Y67" s="127"/>
      <c r="Z67" s="127"/>
    </row>
    <row r="68">
      <c r="A68" s="225">
        <v>36.0</v>
      </c>
      <c r="B68" s="225">
        <v>4.0</v>
      </c>
      <c r="C68" s="226" t="s">
        <v>375</v>
      </c>
      <c r="D68" s="227"/>
      <c r="E68" s="228"/>
      <c r="F68" s="228"/>
      <c r="G68" s="228"/>
      <c r="H68" s="147" t="s">
        <v>34</v>
      </c>
      <c r="I68" s="228"/>
      <c r="J68" s="228"/>
      <c r="K68" s="228"/>
      <c r="L68" s="229"/>
      <c r="M68" s="125"/>
      <c r="N68" s="125"/>
      <c r="O68" s="125"/>
      <c r="P68" s="127"/>
      <c r="Q68" s="127"/>
      <c r="R68" s="127"/>
      <c r="S68" s="127"/>
      <c r="T68" s="127"/>
      <c r="U68" s="127"/>
      <c r="V68" s="127"/>
      <c r="W68" s="127"/>
      <c r="X68" s="127"/>
      <c r="Y68" s="127"/>
      <c r="Z68" s="127"/>
    </row>
    <row r="69">
      <c r="A69" s="225">
        <v>36.0</v>
      </c>
      <c r="B69" s="225">
        <v>6.0</v>
      </c>
      <c r="C69" s="226" t="s">
        <v>375</v>
      </c>
      <c r="D69" s="227"/>
      <c r="E69" s="228"/>
      <c r="F69" s="228"/>
      <c r="G69" s="228"/>
      <c r="H69" s="147" t="s">
        <v>34</v>
      </c>
      <c r="I69" s="228"/>
      <c r="J69" s="228"/>
      <c r="K69" s="228"/>
      <c r="L69" s="229"/>
      <c r="M69" s="125"/>
      <c r="N69" s="125"/>
      <c r="O69" s="125"/>
      <c r="P69" s="127"/>
      <c r="Q69" s="127"/>
      <c r="R69" s="127"/>
      <c r="S69" s="127"/>
      <c r="T69" s="127"/>
      <c r="U69" s="127"/>
      <c r="V69" s="127"/>
      <c r="W69" s="127"/>
      <c r="X69" s="127"/>
      <c r="Y69" s="127"/>
      <c r="Z69" s="127"/>
    </row>
    <row r="70">
      <c r="A70" s="225">
        <v>36.0</v>
      </c>
      <c r="B70" s="225">
        <v>1.0</v>
      </c>
      <c r="C70" s="226" t="s">
        <v>375</v>
      </c>
      <c r="D70" s="227"/>
      <c r="E70" s="228"/>
      <c r="F70" s="228"/>
      <c r="G70" s="228"/>
      <c r="H70" s="147" t="s">
        <v>34</v>
      </c>
      <c r="I70" s="228"/>
      <c r="J70" s="228"/>
      <c r="K70" s="228"/>
      <c r="L70" s="229"/>
      <c r="M70" s="125"/>
      <c r="N70" s="125"/>
      <c r="O70" s="125"/>
      <c r="P70" s="127"/>
      <c r="Q70" s="127"/>
      <c r="R70" s="127"/>
      <c r="S70" s="127"/>
      <c r="T70" s="127"/>
      <c r="U70" s="127"/>
      <c r="V70" s="127"/>
      <c r="W70" s="127"/>
      <c r="X70" s="127"/>
      <c r="Y70" s="127"/>
      <c r="Z70" s="127"/>
    </row>
    <row r="71">
      <c r="A71" s="211">
        <v>35.0</v>
      </c>
      <c r="B71" s="211">
        <v>0.0</v>
      </c>
      <c r="C71" s="137" t="s">
        <v>376</v>
      </c>
      <c r="D71" s="138"/>
      <c r="E71" s="139"/>
      <c r="F71" s="212">
        <v>4.1</v>
      </c>
      <c r="G71" s="139"/>
      <c r="H71" s="154" t="s">
        <v>43</v>
      </c>
      <c r="I71" s="139"/>
      <c r="J71" s="139"/>
      <c r="K71" s="139"/>
      <c r="L71" s="151" t="s">
        <v>377</v>
      </c>
      <c r="M71" s="125"/>
      <c r="N71" s="125"/>
      <c r="O71" s="125"/>
      <c r="P71" s="127"/>
      <c r="Q71" s="127"/>
      <c r="R71" s="127"/>
      <c r="S71" s="127"/>
      <c r="T71" s="127"/>
      <c r="U71" s="127"/>
      <c r="V71" s="127"/>
      <c r="W71" s="127"/>
      <c r="X71" s="127"/>
      <c r="Y71" s="127"/>
      <c r="Z71" s="127"/>
    </row>
    <row r="72">
      <c r="A72" s="211">
        <v>35.0</v>
      </c>
      <c r="B72" s="211">
        <v>0.0</v>
      </c>
      <c r="C72" s="137" t="s">
        <v>378</v>
      </c>
      <c r="D72" s="138"/>
      <c r="E72" s="140">
        <v>7.0</v>
      </c>
      <c r="F72" s="139"/>
      <c r="G72" s="140" t="s">
        <v>223</v>
      </c>
      <c r="H72" s="150" t="s">
        <v>38</v>
      </c>
      <c r="I72" s="139"/>
      <c r="J72" s="139"/>
      <c r="K72" s="195" t="s">
        <v>342</v>
      </c>
      <c r="L72" s="151" t="s">
        <v>379</v>
      </c>
      <c r="M72" s="125"/>
      <c r="N72" s="125"/>
      <c r="O72" s="125"/>
      <c r="P72" s="127"/>
      <c r="Q72" s="127"/>
      <c r="R72" s="127"/>
      <c r="S72" s="127"/>
      <c r="T72" s="127"/>
      <c r="U72" s="127"/>
      <c r="V72" s="127"/>
      <c r="W72" s="127"/>
      <c r="X72" s="127"/>
      <c r="Y72" s="127"/>
      <c r="Z72" s="127"/>
    </row>
    <row r="73">
      <c r="A73" s="201">
        <v>35.0</v>
      </c>
      <c r="B73" s="201">
        <v>5.0</v>
      </c>
      <c r="C73" s="213" t="s">
        <v>380</v>
      </c>
      <c r="D73" s="214"/>
      <c r="E73" s="215"/>
      <c r="F73" s="215"/>
      <c r="G73" s="215"/>
      <c r="H73" s="155" t="s">
        <v>236</v>
      </c>
      <c r="I73" s="215"/>
      <c r="J73" s="215"/>
      <c r="K73" s="215"/>
      <c r="L73" s="216" t="s">
        <v>381</v>
      </c>
      <c r="M73" s="125"/>
      <c r="N73" s="125"/>
      <c r="O73" s="125"/>
      <c r="P73" s="127"/>
      <c r="Q73" s="127"/>
      <c r="R73" s="127"/>
      <c r="S73" s="127"/>
      <c r="T73" s="127"/>
      <c r="U73" s="127"/>
      <c r="V73" s="127"/>
      <c r="W73" s="127"/>
      <c r="X73" s="127"/>
      <c r="Y73" s="127"/>
      <c r="Z73" s="127"/>
    </row>
    <row r="74">
      <c r="A74" s="196">
        <v>35.0</v>
      </c>
      <c r="B74" s="196">
        <v>3.0</v>
      </c>
      <c r="C74" s="217" t="s">
        <v>382</v>
      </c>
      <c r="D74" s="218"/>
      <c r="E74" s="219"/>
      <c r="F74" s="219"/>
      <c r="G74" s="219"/>
      <c r="H74" s="150" t="s">
        <v>38</v>
      </c>
      <c r="I74" s="219"/>
      <c r="J74" s="219"/>
      <c r="K74" s="219"/>
      <c r="L74" s="220" t="s">
        <v>383</v>
      </c>
      <c r="M74" s="125"/>
      <c r="N74" s="125"/>
      <c r="O74" s="125"/>
      <c r="P74" s="127"/>
      <c r="Q74" s="127"/>
      <c r="R74" s="127"/>
      <c r="S74" s="127"/>
      <c r="T74" s="127"/>
      <c r="U74" s="127"/>
      <c r="V74" s="127"/>
      <c r="W74" s="127"/>
      <c r="X74" s="127"/>
      <c r="Y74" s="127"/>
      <c r="Z74" s="127"/>
    </row>
    <row r="75">
      <c r="A75" s="196">
        <v>35.0</v>
      </c>
      <c r="B75" s="196">
        <v>7.0</v>
      </c>
      <c r="C75" s="217" t="s">
        <v>382</v>
      </c>
      <c r="D75" s="218"/>
      <c r="E75" s="219"/>
      <c r="F75" s="219"/>
      <c r="G75" s="219"/>
      <c r="H75" s="150" t="s">
        <v>38</v>
      </c>
      <c r="I75" s="219"/>
      <c r="J75" s="219"/>
      <c r="K75" s="219"/>
      <c r="L75" s="220" t="s">
        <v>383</v>
      </c>
      <c r="M75" s="125"/>
      <c r="N75" s="125"/>
      <c r="O75" s="125"/>
      <c r="P75" s="127"/>
      <c r="Q75" s="127"/>
      <c r="R75" s="127"/>
      <c r="S75" s="127"/>
      <c r="T75" s="127"/>
      <c r="U75" s="127"/>
      <c r="V75" s="127"/>
      <c r="W75" s="127"/>
      <c r="X75" s="127"/>
      <c r="Y75" s="127"/>
      <c r="Z75" s="127"/>
    </row>
    <row r="76">
      <c r="A76" s="230">
        <v>35.0</v>
      </c>
      <c r="B76" s="230">
        <v>4.0</v>
      </c>
      <c r="C76" s="231" t="s">
        <v>384</v>
      </c>
      <c r="D76" s="160" t="s">
        <v>358</v>
      </c>
      <c r="E76" s="232"/>
      <c r="F76" s="232"/>
      <c r="G76" s="232"/>
      <c r="H76" s="189" t="s">
        <v>220</v>
      </c>
      <c r="I76" s="232"/>
      <c r="J76" s="232"/>
      <c r="K76" s="232"/>
      <c r="L76" s="234" t="s">
        <v>385</v>
      </c>
      <c r="M76" s="125"/>
      <c r="N76" s="125"/>
      <c r="O76" s="125"/>
      <c r="P76" s="127"/>
      <c r="Q76" s="127"/>
      <c r="R76" s="127"/>
      <c r="S76" s="127"/>
      <c r="T76" s="127"/>
      <c r="U76" s="127"/>
      <c r="V76" s="127"/>
      <c r="W76" s="127"/>
      <c r="X76" s="127"/>
      <c r="Y76" s="127"/>
      <c r="Z76" s="127"/>
    </row>
    <row r="77">
      <c r="A77" s="230">
        <v>35.0</v>
      </c>
      <c r="B77" s="230">
        <v>1.0</v>
      </c>
      <c r="C77" s="231" t="s">
        <v>384</v>
      </c>
      <c r="D77" s="160" t="s">
        <v>358</v>
      </c>
      <c r="E77" s="232"/>
      <c r="F77" s="232"/>
      <c r="G77" s="232"/>
      <c r="H77" s="189" t="s">
        <v>220</v>
      </c>
      <c r="I77" s="232"/>
      <c r="J77" s="232"/>
      <c r="K77" s="232"/>
      <c r="L77" s="234" t="s">
        <v>385</v>
      </c>
      <c r="M77" s="125"/>
      <c r="N77" s="125"/>
      <c r="O77" s="125"/>
      <c r="P77" s="127"/>
      <c r="Q77" s="127"/>
      <c r="R77" s="127"/>
      <c r="S77" s="127"/>
      <c r="T77" s="127"/>
      <c r="U77" s="127"/>
      <c r="V77" s="127"/>
      <c r="W77" s="127"/>
      <c r="X77" s="127"/>
      <c r="Y77" s="127"/>
      <c r="Z77" s="127"/>
    </row>
    <row r="78">
      <c r="A78" s="211">
        <v>34.0</v>
      </c>
      <c r="B78" s="211">
        <v>0.0</v>
      </c>
      <c r="C78" s="137" t="s">
        <v>386</v>
      </c>
      <c r="D78" s="138"/>
      <c r="E78" s="139"/>
      <c r="F78" s="139"/>
      <c r="G78" s="212" t="s">
        <v>223</v>
      </c>
      <c r="H78" s="189" t="s">
        <v>220</v>
      </c>
      <c r="I78" s="139"/>
      <c r="J78" s="195" t="s">
        <v>387</v>
      </c>
      <c r="K78" s="139"/>
      <c r="L78" s="151" t="s">
        <v>388</v>
      </c>
      <c r="M78" s="125"/>
      <c r="N78" s="125"/>
      <c r="O78" s="125"/>
      <c r="P78" s="127"/>
      <c r="Q78" s="127"/>
      <c r="R78" s="127"/>
      <c r="S78" s="127"/>
      <c r="T78" s="127"/>
      <c r="U78" s="127"/>
      <c r="V78" s="127"/>
      <c r="W78" s="127"/>
      <c r="X78" s="127"/>
      <c r="Y78" s="127"/>
      <c r="Z78" s="127"/>
    </row>
    <row r="79">
      <c r="A79" s="201">
        <v>34.0</v>
      </c>
      <c r="B79" s="201">
        <v>5.0</v>
      </c>
      <c r="C79" s="213" t="s">
        <v>389</v>
      </c>
      <c r="D79" s="214"/>
      <c r="E79" s="215"/>
      <c r="F79" s="215"/>
      <c r="G79" s="215"/>
      <c r="H79" s="154" t="s">
        <v>43</v>
      </c>
      <c r="I79" s="215"/>
      <c r="J79" s="215"/>
      <c r="K79" s="215"/>
      <c r="L79" s="216"/>
      <c r="M79" s="125"/>
      <c r="N79" s="125"/>
      <c r="O79" s="125"/>
      <c r="P79" s="127"/>
      <c r="Q79" s="127"/>
      <c r="R79" s="127"/>
      <c r="S79" s="127"/>
      <c r="T79" s="127"/>
      <c r="U79" s="127"/>
      <c r="V79" s="127"/>
      <c r="W79" s="127"/>
      <c r="X79" s="127"/>
      <c r="Y79" s="127"/>
      <c r="Z79" s="127"/>
    </row>
    <row r="80">
      <c r="A80" s="201">
        <v>34.0</v>
      </c>
      <c r="B80" s="201">
        <v>5.0</v>
      </c>
      <c r="C80" s="213" t="s">
        <v>390</v>
      </c>
      <c r="D80" s="214"/>
      <c r="E80" s="215"/>
      <c r="F80" s="215"/>
      <c r="G80" s="215"/>
      <c r="H80" s="162" t="s">
        <v>37</v>
      </c>
      <c r="I80" s="215"/>
      <c r="J80" s="215"/>
      <c r="K80" s="215"/>
      <c r="L80" s="216"/>
      <c r="M80" s="125"/>
      <c r="N80" s="125"/>
      <c r="O80" s="125"/>
      <c r="P80" s="127"/>
      <c r="Q80" s="127"/>
      <c r="R80" s="127"/>
      <c r="S80" s="127"/>
      <c r="T80" s="127"/>
      <c r="U80" s="127"/>
      <c r="V80" s="127"/>
      <c r="W80" s="127"/>
      <c r="X80" s="127"/>
      <c r="Y80" s="127"/>
      <c r="Z80" s="127"/>
    </row>
    <row r="81">
      <c r="A81" s="206">
        <v>34.0</v>
      </c>
      <c r="B81" s="206">
        <v>2.0</v>
      </c>
      <c r="C81" s="221" t="s">
        <v>391</v>
      </c>
      <c r="D81" s="222"/>
      <c r="E81" s="223"/>
      <c r="F81" s="223"/>
      <c r="G81" s="223"/>
      <c r="H81" s="147" t="s">
        <v>34</v>
      </c>
      <c r="I81" s="223"/>
      <c r="J81" s="223"/>
      <c r="K81" s="223"/>
      <c r="L81" s="224"/>
      <c r="M81" s="125"/>
      <c r="N81" s="125"/>
      <c r="O81" s="125"/>
      <c r="P81" s="127"/>
      <c r="Q81" s="127"/>
      <c r="R81" s="127"/>
      <c r="S81" s="127"/>
      <c r="T81" s="127"/>
      <c r="U81" s="127"/>
      <c r="V81" s="127"/>
      <c r="W81" s="127"/>
      <c r="X81" s="127"/>
      <c r="Y81" s="127"/>
      <c r="Z81" s="127"/>
    </row>
    <row r="82">
      <c r="A82" s="206">
        <v>34.0</v>
      </c>
      <c r="B82" s="206">
        <v>2.0</v>
      </c>
      <c r="C82" s="221" t="s">
        <v>392</v>
      </c>
      <c r="D82" s="222"/>
      <c r="E82" s="223"/>
      <c r="F82" s="223"/>
      <c r="G82" s="223"/>
      <c r="H82" s="141" t="s">
        <v>46</v>
      </c>
      <c r="I82" s="223"/>
      <c r="J82" s="223"/>
      <c r="K82" s="223"/>
      <c r="L82" s="224"/>
      <c r="M82" s="125"/>
      <c r="N82" s="125"/>
      <c r="O82" s="125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</row>
    <row r="83">
      <c r="A83" s="225">
        <v>34.0</v>
      </c>
      <c r="B83" s="225">
        <v>4.0</v>
      </c>
      <c r="C83" s="226" t="s">
        <v>393</v>
      </c>
      <c r="D83" s="227"/>
      <c r="E83" s="228"/>
      <c r="F83" s="228"/>
      <c r="G83" s="228"/>
      <c r="H83" s="189" t="s">
        <v>220</v>
      </c>
      <c r="I83" s="228"/>
      <c r="J83" s="228"/>
      <c r="K83" s="228"/>
      <c r="L83" s="229" t="s">
        <v>394</v>
      </c>
      <c r="M83" s="125"/>
      <c r="N83" s="125"/>
      <c r="O83" s="125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</row>
    <row r="84">
      <c r="A84" s="225">
        <v>34.0</v>
      </c>
      <c r="B84" s="225">
        <v>6.0</v>
      </c>
      <c r="C84" s="226" t="s">
        <v>393</v>
      </c>
      <c r="D84" s="227"/>
      <c r="E84" s="228"/>
      <c r="F84" s="228"/>
      <c r="G84" s="228"/>
      <c r="H84" s="189" t="s">
        <v>220</v>
      </c>
      <c r="I84" s="228"/>
      <c r="J84" s="228"/>
      <c r="K84" s="228"/>
      <c r="L84" s="229" t="s">
        <v>394</v>
      </c>
      <c r="M84" s="125"/>
      <c r="N84" s="125"/>
      <c r="O84" s="125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</row>
    <row r="85">
      <c r="A85" s="225">
        <v>34.0</v>
      </c>
      <c r="B85" s="225">
        <v>1.0</v>
      </c>
      <c r="C85" s="226" t="s">
        <v>393</v>
      </c>
      <c r="D85" s="227"/>
      <c r="E85" s="228"/>
      <c r="F85" s="228"/>
      <c r="G85" s="228"/>
      <c r="H85" s="189" t="s">
        <v>220</v>
      </c>
      <c r="I85" s="228"/>
      <c r="J85" s="228"/>
      <c r="K85" s="228"/>
      <c r="L85" s="229" t="s">
        <v>394</v>
      </c>
      <c r="M85" s="125"/>
      <c r="N85" s="125"/>
      <c r="O85" s="125"/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</row>
    <row r="86">
      <c r="A86" s="225">
        <v>34.0</v>
      </c>
      <c r="B86" s="225">
        <v>4.0</v>
      </c>
      <c r="C86" s="241" t="s">
        <v>395</v>
      </c>
      <c r="D86" s="242"/>
      <c r="E86" s="243"/>
      <c r="F86" s="243"/>
      <c r="G86" s="243"/>
      <c r="H86" s="150" t="s">
        <v>38</v>
      </c>
      <c r="I86" s="243"/>
      <c r="J86" s="243"/>
      <c r="K86" s="243"/>
      <c r="L86" s="244"/>
      <c r="M86" s="125"/>
      <c r="N86" s="125"/>
      <c r="O86" s="125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</row>
    <row r="87">
      <c r="A87" s="225">
        <v>34.0</v>
      </c>
      <c r="B87" s="225">
        <v>6.0</v>
      </c>
      <c r="C87" s="241" t="s">
        <v>395</v>
      </c>
      <c r="D87" s="242"/>
      <c r="E87" s="243"/>
      <c r="F87" s="243"/>
      <c r="G87" s="243"/>
      <c r="H87" s="150" t="s">
        <v>38</v>
      </c>
      <c r="I87" s="243"/>
      <c r="J87" s="243"/>
      <c r="K87" s="243"/>
      <c r="L87" s="244"/>
      <c r="M87" s="125"/>
      <c r="N87" s="125"/>
      <c r="O87" s="125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</row>
    <row r="88">
      <c r="A88" s="225">
        <v>34.0</v>
      </c>
      <c r="B88" s="225">
        <v>1.0</v>
      </c>
      <c r="C88" s="241" t="s">
        <v>395</v>
      </c>
      <c r="D88" s="242"/>
      <c r="E88" s="243"/>
      <c r="F88" s="243"/>
      <c r="G88" s="243"/>
      <c r="H88" s="150" t="s">
        <v>38</v>
      </c>
      <c r="I88" s="243"/>
      <c r="J88" s="243"/>
      <c r="K88" s="243"/>
      <c r="L88" s="244"/>
      <c r="M88" s="125"/>
      <c r="N88" s="125"/>
      <c r="O88" s="125"/>
      <c r="P88" s="127"/>
      <c r="Q88" s="127"/>
      <c r="R88" s="127"/>
      <c r="S88" s="127"/>
      <c r="T88" s="127"/>
      <c r="U88" s="127"/>
      <c r="V88" s="127"/>
      <c r="W88" s="127"/>
      <c r="X88" s="127"/>
      <c r="Y88" s="127"/>
      <c r="Z88" s="127"/>
    </row>
    <row r="89">
      <c r="A89" s="235">
        <v>33.0</v>
      </c>
      <c r="B89" s="235">
        <v>0.0</v>
      </c>
      <c r="C89" s="236" t="s">
        <v>396</v>
      </c>
      <c r="D89" s="237" t="s">
        <v>219</v>
      </c>
      <c r="E89" s="238"/>
      <c r="F89" s="238"/>
      <c r="G89" s="238"/>
      <c r="H89" s="155" t="s">
        <v>236</v>
      </c>
      <c r="I89" s="238"/>
      <c r="J89" s="238"/>
      <c r="K89" s="238"/>
      <c r="L89" s="240"/>
      <c r="M89" s="125"/>
      <c r="N89" s="125"/>
      <c r="O89" s="125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</row>
    <row r="90">
      <c r="A90" s="211">
        <v>33.0</v>
      </c>
      <c r="B90" s="211">
        <v>0.0</v>
      </c>
      <c r="C90" s="137" t="s">
        <v>397</v>
      </c>
      <c r="D90" s="138"/>
      <c r="E90" s="139"/>
      <c r="F90" s="139"/>
      <c r="G90" s="139"/>
      <c r="H90" s="147" t="s">
        <v>34</v>
      </c>
      <c r="I90" s="156" t="s">
        <v>336</v>
      </c>
      <c r="J90" s="139"/>
      <c r="K90" s="139"/>
      <c r="L90" s="151"/>
      <c r="M90" s="125"/>
      <c r="N90" s="125"/>
      <c r="O90" s="125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</row>
    <row r="91">
      <c r="A91" s="201">
        <v>33.0</v>
      </c>
      <c r="B91" s="201">
        <v>5.0</v>
      </c>
      <c r="C91" s="213" t="s">
        <v>398</v>
      </c>
      <c r="D91" s="214"/>
      <c r="E91" s="215"/>
      <c r="F91" s="215"/>
      <c r="G91" s="215"/>
      <c r="H91" s="150" t="s">
        <v>38</v>
      </c>
      <c r="I91" s="215"/>
      <c r="J91" s="215"/>
      <c r="K91" s="215"/>
      <c r="L91" s="216" t="s">
        <v>399</v>
      </c>
      <c r="M91" s="125"/>
      <c r="N91" s="125"/>
      <c r="O91" s="125"/>
      <c r="P91" s="127"/>
      <c r="Q91" s="127"/>
      <c r="R91" s="127"/>
      <c r="S91" s="127"/>
      <c r="T91" s="127"/>
      <c r="U91" s="127"/>
      <c r="V91" s="127"/>
      <c r="W91" s="127"/>
      <c r="X91" s="127"/>
      <c r="Y91" s="127"/>
      <c r="Z91" s="127"/>
    </row>
    <row r="92">
      <c r="A92" s="196">
        <v>33.0</v>
      </c>
      <c r="B92" s="196">
        <v>3.0</v>
      </c>
      <c r="C92" s="217" t="s">
        <v>400</v>
      </c>
      <c r="D92" s="218"/>
      <c r="E92" s="219"/>
      <c r="F92" s="219"/>
      <c r="G92" s="219"/>
      <c r="H92" s="147" t="s">
        <v>34</v>
      </c>
      <c r="I92" s="219"/>
      <c r="J92" s="219"/>
      <c r="K92" s="219"/>
      <c r="L92" s="220"/>
      <c r="M92" s="125"/>
      <c r="N92" s="125"/>
      <c r="O92" s="125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7"/>
    </row>
    <row r="93">
      <c r="A93" s="196">
        <v>33.0</v>
      </c>
      <c r="B93" s="196">
        <v>7.0</v>
      </c>
      <c r="C93" s="217" t="s">
        <v>400</v>
      </c>
      <c r="D93" s="218"/>
      <c r="E93" s="219"/>
      <c r="F93" s="219"/>
      <c r="G93" s="219"/>
      <c r="H93" s="147" t="s">
        <v>34</v>
      </c>
      <c r="I93" s="219"/>
      <c r="J93" s="219"/>
      <c r="K93" s="219"/>
      <c r="L93" s="220"/>
      <c r="M93" s="125"/>
      <c r="N93" s="125"/>
      <c r="O93" s="125"/>
      <c r="P93" s="127"/>
      <c r="Q93" s="127"/>
      <c r="R93" s="127"/>
      <c r="S93" s="127"/>
      <c r="T93" s="127"/>
      <c r="U93" s="127"/>
      <c r="V93" s="127"/>
      <c r="W93" s="127"/>
      <c r="X93" s="127"/>
      <c r="Y93" s="127"/>
      <c r="Z93" s="127"/>
    </row>
    <row r="94">
      <c r="A94" s="196">
        <v>33.0</v>
      </c>
      <c r="B94" s="196">
        <v>3.0</v>
      </c>
      <c r="C94" s="217" t="s">
        <v>401</v>
      </c>
      <c r="D94" s="218"/>
      <c r="E94" s="219"/>
      <c r="F94" s="219"/>
      <c r="G94" s="219"/>
      <c r="H94" s="154" t="s">
        <v>43</v>
      </c>
      <c r="I94" s="219"/>
      <c r="J94" s="219"/>
      <c r="K94" s="219"/>
      <c r="L94" s="220"/>
      <c r="M94" s="125"/>
      <c r="N94" s="125"/>
      <c r="O94" s="125"/>
      <c r="P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</row>
    <row r="95">
      <c r="A95" s="196">
        <v>33.0</v>
      </c>
      <c r="B95" s="196">
        <v>7.0</v>
      </c>
      <c r="C95" s="217" t="s">
        <v>401</v>
      </c>
      <c r="D95" s="218"/>
      <c r="E95" s="219"/>
      <c r="F95" s="219"/>
      <c r="G95" s="219"/>
      <c r="H95" s="154" t="s">
        <v>43</v>
      </c>
      <c r="I95" s="219"/>
      <c r="J95" s="219"/>
      <c r="K95" s="219"/>
      <c r="L95" s="220"/>
      <c r="M95" s="125"/>
      <c r="N95" s="125"/>
      <c r="O95" s="125"/>
      <c r="P95" s="127"/>
      <c r="Q95" s="127"/>
      <c r="R95" s="127"/>
      <c r="S95" s="127"/>
      <c r="T95" s="127"/>
      <c r="U95" s="127"/>
      <c r="V95" s="127"/>
      <c r="W95" s="127"/>
      <c r="X95" s="127"/>
      <c r="Y95" s="127"/>
      <c r="Z95" s="127"/>
    </row>
    <row r="96">
      <c r="A96" s="206">
        <v>33.0</v>
      </c>
      <c r="B96" s="206">
        <v>2.0</v>
      </c>
      <c r="C96" s="221" t="s">
        <v>402</v>
      </c>
      <c r="D96" s="222"/>
      <c r="E96" s="223"/>
      <c r="F96" s="223"/>
      <c r="G96" s="212" t="s">
        <v>223</v>
      </c>
      <c r="H96" s="189" t="s">
        <v>220</v>
      </c>
      <c r="I96" s="223"/>
      <c r="J96" s="223"/>
      <c r="K96" s="223"/>
      <c r="L96" s="224" t="s">
        <v>403</v>
      </c>
      <c r="M96" s="125"/>
      <c r="N96" s="125"/>
      <c r="O96" s="125"/>
      <c r="P96" s="127"/>
      <c r="Q96" s="127"/>
      <c r="R96" s="127"/>
      <c r="S96" s="127"/>
      <c r="T96" s="127"/>
      <c r="U96" s="127"/>
      <c r="V96" s="127"/>
      <c r="W96" s="127"/>
      <c r="X96" s="127"/>
      <c r="Y96" s="127"/>
      <c r="Z96" s="127"/>
    </row>
    <row r="97">
      <c r="A97" s="225">
        <v>33.0</v>
      </c>
      <c r="B97" s="225">
        <v>4.0</v>
      </c>
      <c r="C97" s="226" t="s">
        <v>404</v>
      </c>
      <c r="D97" s="227"/>
      <c r="E97" s="228"/>
      <c r="F97" s="228"/>
      <c r="G97" s="228"/>
      <c r="H97" s="162" t="s">
        <v>37</v>
      </c>
      <c r="I97" s="228"/>
      <c r="J97" s="228"/>
      <c r="K97" s="228"/>
      <c r="L97" s="229"/>
      <c r="M97" s="125"/>
      <c r="N97" s="125"/>
      <c r="O97" s="125"/>
      <c r="P97" s="127"/>
      <c r="Q97" s="127"/>
      <c r="R97" s="127"/>
      <c r="S97" s="127"/>
      <c r="T97" s="127"/>
      <c r="U97" s="127"/>
      <c r="V97" s="127"/>
      <c r="W97" s="127"/>
      <c r="X97" s="127"/>
      <c r="Y97" s="127"/>
      <c r="Z97" s="127"/>
    </row>
    <row r="98">
      <c r="A98" s="225">
        <v>33.0</v>
      </c>
      <c r="B98" s="225">
        <v>6.0</v>
      </c>
      <c r="C98" s="226" t="s">
        <v>404</v>
      </c>
      <c r="D98" s="227"/>
      <c r="E98" s="228"/>
      <c r="F98" s="228"/>
      <c r="G98" s="228"/>
      <c r="H98" s="162" t="s">
        <v>37</v>
      </c>
      <c r="I98" s="228"/>
      <c r="J98" s="228"/>
      <c r="K98" s="228"/>
      <c r="L98" s="229"/>
      <c r="M98" s="125"/>
      <c r="N98" s="125"/>
      <c r="O98" s="125"/>
      <c r="P98" s="127"/>
      <c r="Q98" s="127"/>
      <c r="R98" s="127"/>
      <c r="S98" s="127"/>
      <c r="T98" s="127"/>
      <c r="U98" s="127"/>
      <c r="V98" s="127"/>
      <c r="W98" s="127"/>
      <c r="X98" s="127"/>
      <c r="Y98" s="127"/>
      <c r="Z98" s="127"/>
    </row>
    <row r="99">
      <c r="A99" s="225">
        <v>33.0</v>
      </c>
      <c r="B99" s="225">
        <v>1.0</v>
      </c>
      <c r="C99" s="226" t="s">
        <v>404</v>
      </c>
      <c r="D99" s="227"/>
      <c r="E99" s="228"/>
      <c r="F99" s="228"/>
      <c r="G99" s="228"/>
      <c r="H99" s="162" t="s">
        <v>37</v>
      </c>
      <c r="I99" s="228"/>
      <c r="J99" s="228"/>
      <c r="K99" s="228"/>
      <c r="L99" s="229"/>
      <c r="M99" s="125"/>
      <c r="N99" s="125"/>
      <c r="O99" s="125"/>
      <c r="P99" s="127"/>
      <c r="Q99" s="127"/>
      <c r="R99" s="127"/>
      <c r="S99" s="127"/>
      <c r="T99" s="127"/>
      <c r="U99" s="127"/>
      <c r="V99" s="127"/>
      <c r="W99" s="127"/>
      <c r="X99" s="127"/>
      <c r="Y99" s="127"/>
      <c r="Z99" s="127"/>
    </row>
    <row r="100">
      <c r="A100" s="230">
        <v>32.0</v>
      </c>
      <c r="B100" s="230">
        <v>4.0</v>
      </c>
      <c r="C100" s="231" t="s">
        <v>405</v>
      </c>
      <c r="D100" s="160" t="s">
        <v>358</v>
      </c>
      <c r="E100" s="232"/>
      <c r="F100" s="232"/>
      <c r="G100" s="232"/>
      <c r="H100" s="189" t="s">
        <v>220</v>
      </c>
      <c r="I100" s="232"/>
      <c r="J100" s="232"/>
      <c r="K100" s="232"/>
      <c r="L100" s="234" t="s">
        <v>406</v>
      </c>
      <c r="M100" s="125"/>
      <c r="N100" s="125"/>
      <c r="O100" s="125"/>
      <c r="P100" s="127"/>
      <c r="Q100" s="127"/>
      <c r="R100" s="127"/>
      <c r="S100" s="127"/>
      <c r="T100" s="127"/>
      <c r="U100" s="127"/>
      <c r="V100" s="127"/>
      <c r="W100" s="127"/>
      <c r="X100" s="127"/>
      <c r="Y100" s="127"/>
      <c r="Z100" s="127"/>
    </row>
    <row r="101">
      <c r="A101" s="230">
        <v>32.0</v>
      </c>
      <c r="B101" s="230">
        <v>1.0</v>
      </c>
      <c r="C101" s="231" t="s">
        <v>405</v>
      </c>
      <c r="D101" s="160" t="s">
        <v>358</v>
      </c>
      <c r="E101" s="232"/>
      <c r="F101" s="232"/>
      <c r="G101" s="232"/>
      <c r="H101" s="189" t="s">
        <v>220</v>
      </c>
      <c r="I101" s="232"/>
      <c r="J101" s="232"/>
      <c r="K101" s="232"/>
      <c r="L101" s="234" t="s">
        <v>406</v>
      </c>
      <c r="M101" s="125"/>
      <c r="N101" s="125"/>
      <c r="O101" s="125"/>
      <c r="P101" s="127"/>
      <c r="Q101" s="127"/>
      <c r="R101" s="127"/>
      <c r="S101" s="127"/>
      <c r="T101" s="127"/>
      <c r="U101" s="127"/>
      <c r="V101" s="127"/>
      <c r="W101" s="127"/>
      <c r="X101" s="127"/>
      <c r="Y101" s="127"/>
      <c r="Z101" s="127"/>
    </row>
    <row r="102">
      <c r="A102" s="211">
        <v>32.0</v>
      </c>
      <c r="B102" s="211">
        <v>0.0</v>
      </c>
      <c r="C102" s="137" t="s">
        <v>407</v>
      </c>
      <c r="D102" s="138"/>
      <c r="E102" s="139"/>
      <c r="F102" s="139"/>
      <c r="G102" s="139"/>
      <c r="H102" s="150" t="s">
        <v>38</v>
      </c>
      <c r="I102" s="139"/>
      <c r="J102" s="139"/>
      <c r="K102" s="195" t="s">
        <v>342</v>
      </c>
      <c r="L102" s="151" t="s">
        <v>408</v>
      </c>
      <c r="M102" s="125"/>
      <c r="N102" s="125"/>
      <c r="O102" s="125"/>
      <c r="P102" s="127"/>
      <c r="Q102" s="127"/>
      <c r="R102" s="127"/>
      <c r="S102" s="127"/>
      <c r="T102" s="127"/>
      <c r="U102" s="127"/>
      <c r="V102" s="127"/>
      <c r="W102" s="127"/>
      <c r="X102" s="127"/>
      <c r="Y102" s="127"/>
      <c r="Z102" s="127"/>
    </row>
    <row r="103">
      <c r="A103" s="211">
        <v>32.0</v>
      </c>
      <c r="B103" s="211">
        <v>0.0</v>
      </c>
      <c r="C103" s="137" t="s">
        <v>409</v>
      </c>
      <c r="D103" s="138"/>
      <c r="E103" s="139"/>
      <c r="F103" s="139"/>
      <c r="G103" s="212" t="s">
        <v>223</v>
      </c>
      <c r="H103" s="153" t="s">
        <v>45</v>
      </c>
      <c r="I103" s="139"/>
      <c r="J103" s="195" t="s">
        <v>330</v>
      </c>
      <c r="K103" s="139"/>
      <c r="L103" s="151" t="s">
        <v>410</v>
      </c>
      <c r="M103" s="125"/>
      <c r="N103" s="125"/>
      <c r="O103" s="125"/>
      <c r="P103" s="127"/>
      <c r="Q103" s="127"/>
      <c r="R103" s="127"/>
      <c r="S103" s="127"/>
      <c r="T103" s="127"/>
      <c r="U103" s="127"/>
      <c r="V103" s="127"/>
      <c r="W103" s="127"/>
      <c r="X103" s="127"/>
      <c r="Y103" s="127"/>
      <c r="Z103" s="127"/>
    </row>
    <row r="104">
      <c r="A104" s="211">
        <v>32.0</v>
      </c>
      <c r="B104" s="211">
        <v>0.0</v>
      </c>
      <c r="C104" s="137" t="s">
        <v>411</v>
      </c>
      <c r="D104" s="138"/>
      <c r="E104" s="139"/>
      <c r="F104" s="139"/>
      <c r="G104" s="139"/>
      <c r="H104" s="141" t="s">
        <v>46</v>
      </c>
      <c r="I104" s="139"/>
      <c r="J104" s="139"/>
      <c r="K104" s="139"/>
      <c r="L104" s="151"/>
      <c r="M104" s="125"/>
      <c r="N104" s="125"/>
      <c r="O104" s="125"/>
      <c r="P104" s="127"/>
      <c r="Q104" s="127"/>
      <c r="R104" s="127"/>
      <c r="S104" s="127"/>
      <c r="T104" s="127"/>
      <c r="U104" s="127"/>
      <c r="V104" s="127"/>
      <c r="W104" s="127"/>
      <c r="X104" s="127"/>
      <c r="Y104" s="127"/>
      <c r="Z104" s="127"/>
    </row>
    <row r="105">
      <c r="A105" s="235">
        <v>31.0</v>
      </c>
      <c r="B105" s="235">
        <v>0.0</v>
      </c>
      <c r="C105" s="236" t="s">
        <v>412</v>
      </c>
      <c r="D105" s="237" t="s">
        <v>219</v>
      </c>
      <c r="E105" s="238"/>
      <c r="F105" s="238"/>
      <c r="G105" s="212" t="s">
        <v>223</v>
      </c>
      <c r="H105" s="155" t="s">
        <v>236</v>
      </c>
      <c r="I105" s="238"/>
      <c r="J105" s="238"/>
      <c r="K105" s="238"/>
      <c r="L105" s="240"/>
      <c r="M105" s="125"/>
      <c r="N105" s="125"/>
      <c r="O105" s="125"/>
      <c r="P105" s="127"/>
      <c r="Q105" s="127"/>
      <c r="R105" s="127"/>
      <c r="S105" s="127"/>
      <c r="T105" s="127"/>
      <c r="U105" s="127"/>
      <c r="V105" s="127"/>
      <c r="W105" s="127"/>
      <c r="X105" s="127"/>
      <c r="Y105" s="127"/>
      <c r="Z105" s="127"/>
    </row>
    <row r="106">
      <c r="A106" s="211">
        <v>31.0</v>
      </c>
      <c r="B106" s="211">
        <v>0.0</v>
      </c>
      <c r="C106" s="137" t="s">
        <v>413</v>
      </c>
      <c r="D106" s="138"/>
      <c r="E106" s="139"/>
      <c r="F106" s="139"/>
      <c r="G106" s="139"/>
      <c r="H106" s="189" t="s">
        <v>220</v>
      </c>
      <c r="I106" s="139"/>
      <c r="J106" s="139"/>
      <c r="K106" s="139"/>
      <c r="L106" s="151" t="s">
        <v>414</v>
      </c>
      <c r="M106" s="125"/>
      <c r="N106" s="125"/>
      <c r="O106" s="125"/>
      <c r="P106" s="127"/>
      <c r="Q106" s="127"/>
      <c r="R106" s="127"/>
      <c r="S106" s="127"/>
      <c r="T106" s="127"/>
      <c r="U106" s="127"/>
      <c r="V106" s="127"/>
      <c r="W106" s="127"/>
      <c r="X106" s="127"/>
      <c r="Y106" s="127"/>
      <c r="Z106" s="127"/>
    </row>
    <row r="107">
      <c r="A107" s="196">
        <v>31.0</v>
      </c>
      <c r="B107" s="196">
        <v>3.0</v>
      </c>
      <c r="C107" s="217" t="s">
        <v>415</v>
      </c>
      <c r="D107" s="218"/>
      <c r="E107" s="219"/>
      <c r="F107" s="219"/>
      <c r="G107" s="219"/>
      <c r="H107" s="153" t="s">
        <v>45</v>
      </c>
      <c r="I107" s="219"/>
      <c r="J107" s="219"/>
      <c r="K107" s="219"/>
      <c r="L107" s="220"/>
      <c r="M107" s="125"/>
      <c r="N107" s="125"/>
      <c r="O107" s="125"/>
      <c r="P107" s="127"/>
      <c r="Q107" s="127"/>
      <c r="R107" s="127"/>
      <c r="S107" s="127"/>
      <c r="T107" s="127"/>
      <c r="U107" s="127"/>
      <c r="V107" s="127"/>
      <c r="W107" s="127"/>
      <c r="X107" s="127"/>
      <c r="Y107" s="127"/>
      <c r="Z107" s="127"/>
    </row>
    <row r="108">
      <c r="A108" s="196">
        <v>31.0</v>
      </c>
      <c r="B108" s="196">
        <v>7.0</v>
      </c>
      <c r="C108" s="217" t="s">
        <v>415</v>
      </c>
      <c r="D108" s="218"/>
      <c r="E108" s="219"/>
      <c r="F108" s="219"/>
      <c r="G108" s="219"/>
      <c r="H108" s="153" t="s">
        <v>45</v>
      </c>
      <c r="I108" s="219"/>
      <c r="J108" s="219"/>
      <c r="K108" s="219"/>
      <c r="L108" s="220"/>
      <c r="M108" s="125"/>
      <c r="N108" s="125"/>
      <c r="O108" s="125"/>
      <c r="P108" s="127"/>
      <c r="Q108" s="127"/>
      <c r="R108" s="127"/>
      <c r="S108" s="127"/>
      <c r="T108" s="127"/>
      <c r="U108" s="127"/>
      <c r="V108" s="127"/>
      <c r="W108" s="127"/>
      <c r="X108" s="127"/>
      <c r="Y108" s="127"/>
      <c r="Z108" s="127"/>
    </row>
    <row r="109">
      <c r="A109" s="211">
        <v>30.0</v>
      </c>
      <c r="B109" s="211">
        <v>0.0</v>
      </c>
      <c r="C109" s="137" t="s">
        <v>416</v>
      </c>
      <c r="D109" s="138"/>
      <c r="E109" s="139"/>
      <c r="F109" s="139"/>
      <c r="G109" s="139"/>
      <c r="H109" s="155" t="s">
        <v>236</v>
      </c>
      <c r="I109" s="139"/>
      <c r="J109" s="139"/>
      <c r="K109" s="139"/>
      <c r="L109" s="151"/>
      <c r="M109" s="125"/>
      <c r="N109" s="125"/>
      <c r="O109" s="125"/>
      <c r="P109" s="127"/>
      <c r="Q109" s="127"/>
      <c r="R109" s="127"/>
      <c r="S109" s="127"/>
      <c r="T109" s="127"/>
      <c r="U109" s="127"/>
      <c r="V109" s="127"/>
      <c r="W109" s="127"/>
      <c r="X109" s="127"/>
      <c r="Y109" s="127"/>
      <c r="Z109" s="127"/>
    </row>
    <row r="110">
      <c r="A110" s="201">
        <v>30.0</v>
      </c>
      <c r="B110" s="201">
        <v>5.0</v>
      </c>
      <c r="C110" s="213" t="s">
        <v>417</v>
      </c>
      <c r="D110" s="214"/>
      <c r="E110" s="215"/>
      <c r="F110" s="215"/>
      <c r="G110" s="215"/>
      <c r="H110" s="141" t="s">
        <v>46</v>
      </c>
      <c r="I110" s="156" t="s">
        <v>336</v>
      </c>
      <c r="J110" s="215"/>
      <c r="K110" s="215"/>
      <c r="L110" s="216"/>
      <c r="M110" s="125"/>
      <c r="N110" s="125"/>
      <c r="O110" s="125"/>
      <c r="P110" s="127"/>
      <c r="Q110" s="127"/>
      <c r="R110" s="127"/>
      <c r="S110" s="127"/>
      <c r="T110" s="127"/>
      <c r="U110" s="127"/>
      <c r="V110" s="127"/>
      <c r="W110" s="127"/>
      <c r="X110" s="127"/>
      <c r="Y110" s="127"/>
      <c r="Z110" s="127"/>
    </row>
    <row r="111">
      <c r="A111" s="196">
        <v>30.0</v>
      </c>
      <c r="B111" s="196">
        <v>3.0</v>
      </c>
      <c r="C111" s="217" t="s">
        <v>418</v>
      </c>
      <c r="D111" s="218"/>
      <c r="E111" s="219"/>
      <c r="F111" s="219"/>
      <c r="G111" s="219"/>
      <c r="H111" s="155" t="s">
        <v>236</v>
      </c>
      <c r="I111" s="219"/>
      <c r="J111" s="219"/>
      <c r="K111" s="219"/>
      <c r="L111" s="220" t="s">
        <v>383</v>
      </c>
      <c r="M111" s="125"/>
      <c r="N111" s="125"/>
      <c r="O111" s="125"/>
      <c r="P111" s="127"/>
      <c r="Q111" s="127"/>
      <c r="R111" s="127"/>
      <c r="S111" s="127"/>
      <c r="T111" s="127"/>
      <c r="U111" s="127"/>
      <c r="V111" s="127"/>
      <c r="W111" s="127"/>
      <c r="X111" s="127"/>
      <c r="Y111" s="127"/>
      <c r="Z111" s="127"/>
    </row>
    <row r="112">
      <c r="A112" s="196">
        <v>30.0</v>
      </c>
      <c r="B112" s="196">
        <v>7.0</v>
      </c>
      <c r="C112" s="217" t="s">
        <v>418</v>
      </c>
      <c r="D112" s="218"/>
      <c r="E112" s="219"/>
      <c r="F112" s="219"/>
      <c r="G112" s="219"/>
      <c r="H112" s="155" t="s">
        <v>236</v>
      </c>
      <c r="I112" s="219"/>
      <c r="J112" s="219"/>
      <c r="K112" s="219"/>
      <c r="L112" s="220" t="s">
        <v>383</v>
      </c>
      <c r="M112" s="125"/>
      <c r="N112" s="125"/>
      <c r="O112" s="125"/>
      <c r="P112" s="127"/>
      <c r="Q112" s="127"/>
      <c r="R112" s="127"/>
      <c r="S112" s="127"/>
      <c r="T112" s="127"/>
      <c r="U112" s="127"/>
      <c r="V112" s="127"/>
      <c r="W112" s="127"/>
      <c r="X112" s="127"/>
      <c r="Y112" s="127"/>
      <c r="Z112" s="127"/>
    </row>
    <row r="113">
      <c r="A113" s="225">
        <v>30.0</v>
      </c>
      <c r="B113" s="225">
        <v>6.0</v>
      </c>
      <c r="C113" s="226" t="s">
        <v>419</v>
      </c>
      <c r="D113" s="227"/>
      <c r="E113" s="228"/>
      <c r="F113" s="228"/>
      <c r="G113" s="228"/>
      <c r="H113" s="154" t="s">
        <v>43</v>
      </c>
      <c r="I113" s="228"/>
      <c r="J113" s="228"/>
      <c r="K113" s="228"/>
      <c r="L113" s="229" t="s">
        <v>420</v>
      </c>
      <c r="M113" s="125"/>
      <c r="N113" s="125"/>
      <c r="O113" s="125"/>
      <c r="P113" s="127"/>
      <c r="Q113" s="127"/>
      <c r="R113" s="127"/>
      <c r="S113" s="127"/>
      <c r="T113" s="127"/>
      <c r="U113" s="127"/>
      <c r="V113" s="127"/>
      <c r="W113" s="127"/>
      <c r="X113" s="127"/>
      <c r="Y113" s="127"/>
      <c r="Z113" s="127"/>
    </row>
    <row r="114">
      <c r="A114" s="230">
        <v>30.0</v>
      </c>
      <c r="B114" s="230">
        <v>4.0</v>
      </c>
      <c r="C114" s="245" t="s">
        <v>421</v>
      </c>
      <c r="D114" s="156" t="s">
        <v>358</v>
      </c>
      <c r="E114" s="246"/>
      <c r="F114" s="246"/>
      <c r="G114" s="246"/>
      <c r="H114" s="189" t="s">
        <v>220</v>
      </c>
      <c r="I114" s="246"/>
      <c r="J114" s="233" t="s">
        <v>422</v>
      </c>
      <c r="K114" s="246"/>
      <c r="L114" s="247" t="s">
        <v>423</v>
      </c>
      <c r="M114" s="125"/>
      <c r="N114" s="125"/>
      <c r="O114" s="125"/>
      <c r="P114" s="127"/>
      <c r="Q114" s="127"/>
      <c r="R114" s="127"/>
      <c r="S114" s="127"/>
      <c r="T114" s="127"/>
      <c r="U114" s="127"/>
      <c r="V114" s="127"/>
      <c r="W114" s="127"/>
      <c r="X114" s="127"/>
      <c r="Y114" s="127"/>
      <c r="Z114" s="127"/>
    </row>
    <row r="115">
      <c r="A115" s="230">
        <v>30.0</v>
      </c>
      <c r="B115" s="230">
        <v>1.0</v>
      </c>
      <c r="C115" s="245" t="s">
        <v>421</v>
      </c>
      <c r="D115" s="156" t="s">
        <v>358</v>
      </c>
      <c r="E115" s="246"/>
      <c r="F115" s="246"/>
      <c r="G115" s="246"/>
      <c r="H115" s="189" t="s">
        <v>220</v>
      </c>
      <c r="I115" s="246"/>
      <c r="J115" s="233" t="s">
        <v>422</v>
      </c>
      <c r="K115" s="246"/>
      <c r="L115" s="247" t="s">
        <v>423</v>
      </c>
      <c r="M115" s="125"/>
      <c r="N115" s="125"/>
      <c r="O115" s="125"/>
      <c r="P115" s="127"/>
      <c r="Q115" s="127"/>
      <c r="R115" s="127"/>
      <c r="S115" s="127"/>
      <c r="T115" s="127"/>
      <c r="U115" s="127"/>
      <c r="V115" s="127"/>
      <c r="W115" s="127"/>
      <c r="X115" s="127"/>
      <c r="Y115" s="127"/>
      <c r="Z115" s="127"/>
    </row>
    <row r="116">
      <c r="A116" s="235">
        <v>30.0</v>
      </c>
      <c r="B116" s="235">
        <v>0.0</v>
      </c>
      <c r="C116" s="236" t="s">
        <v>424</v>
      </c>
      <c r="D116" s="237" t="s">
        <v>219</v>
      </c>
      <c r="E116" s="238"/>
      <c r="F116" s="212">
        <v>3.6</v>
      </c>
      <c r="G116" s="212" t="s">
        <v>223</v>
      </c>
      <c r="H116" s="189" t="s">
        <v>220</v>
      </c>
      <c r="I116" s="238"/>
      <c r="J116" s="248" t="s">
        <v>425</v>
      </c>
      <c r="K116" s="238"/>
      <c r="L116" s="240" t="s">
        <v>426</v>
      </c>
      <c r="M116" s="125"/>
      <c r="N116" s="125"/>
      <c r="O116" s="125"/>
      <c r="P116" s="127"/>
      <c r="Q116" s="127"/>
      <c r="R116" s="127"/>
      <c r="S116" s="127"/>
      <c r="T116" s="127"/>
      <c r="U116" s="127"/>
      <c r="V116" s="127"/>
      <c r="W116" s="127"/>
      <c r="X116" s="127"/>
      <c r="Y116" s="127"/>
      <c r="Z116" s="127"/>
    </row>
    <row r="117">
      <c r="A117" s="211">
        <v>29.0</v>
      </c>
      <c r="B117" s="211">
        <v>0.0</v>
      </c>
      <c r="C117" s="137" t="s">
        <v>427</v>
      </c>
      <c r="D117" s="138"/>
      <c r="E117" s="139"/>
      <c r="F117" s="212">
        <v>3.5</v>
      </c>
      <c r="G117" s="212" t="s">
        <v>223</v>
      </c>
      <c r="H117" s="150" t="s">
        <v>38</v>
      </c>
      <c r="I117" s="139"/>
      <c r="J117" s="139"/>
      <c r="K117" s="139"/>
      <c r="L117" s="249" t="s">
        <v>428</v>
      </c>
      <c r="M117" s="125"/>
      <c r="N117" s="125"/>
      <c r="O117" s="125"/>
      <c r="P117" s="127"/>
      <c r="Q117" s="127"/>
      <c r="R117" s="127"/>
      <c r="S117" s="127"/>
      <c r="T117" s="127"/>
      <c r="U117" s="127"/>
      <c r="V117" s="127"/>
      <c r="W117" s="127"/>
      <c r="X117" s="127"/>
      <c r="Y117" s="127"/>
      <c r="Z117" s="127"/>
    </row>
    <row r="118">
      <c r="A118" s="201">
        <v>29.0</v>
      </c>
      <c r="B118" s="201">
        <v>5.0</v>
      </c>
      <c r="C118" s="213" t="s">
        <v>429</v>
      </c>
      <c r="D118" s="214"/>
      <c r="E118" s="215"/>
      <c r="F118" s="215"/>
      <c r="G118" s="215"/>
      <c r="H118" s="150" t="s">
        <v>38</v>
      </c>
      <c r="I118" s="215"/>
      <c r="J118" s="215"/>
      <c r="K118" s="215"/>
      <c r="L118" s="216"/>
      <c r="M118" s="125"/>
      <c r="N118" s="125"/>
      <c r="O118" s="125"/>
      <c r="P118" s="127"/>
      <c r="Q118" s="127"/>
      <c r="R118" s="127"/>
      <c r="S118" s="127"/>
      <c r="T118" s="127"/>
      <c r="U118" s="127"/>
      <c r="V118" s="127"/>
      <c r="W118" s="127"/>
      <c r="X118" s="127"/>
      <c r="Y118" s="127"/>
      <c r="Z118" s="127"/>
    </row>
    <row r="119">
      <c r="A119" s="201">
        <v>29.0</v>
      </c>
      <c r="B119" s="201">
        <v>5.0</v>
      </c>
      <c r="C119" s="213" t="s">
        <v>430</v>
      </c>
      <c r="D119" s="214"/>
      <c r="E119" s="215"/>
      <c r="F119" s="215"/>
      <c r="G119" s="215"/>
      <c r="H119" s="155" t="s">
        <v>236</v>
      </c>
      <c r="I119" s="215"/>
      <c r="J119" s="215"/>
      <c r="K119" s="215"/>
      <c r="L119" s="216"/>
      <c r="M119" s="125"/>
      <c r="N119" s="125"/>
      <c r="O119" s="125"/>
      <c r="P119" s="127"/>
      <c r="Q119" s="127"/>
      <c r="R119" s="127"/>
      <c r="S119" s="127"/>
      <c r="T119" s="127"/>
      <c r="U119" s="127"/>
      <c r="V119" s="127"/>
      <c r="W119" s="127"/>
      <c r="X119" s="127"/>
      <c r="Y119" s="127"/>
      <c r="Z119" s="127"/>
    </row>
    <row r="120">
      <c r="A120" s="196">
        <v>29.0</v>
      </c>
      <c r="B120" s="196">
        <v>3.0</v>
      </c>
      <c r="C120" s="217" t="s">
        <v>431</v>
      </c>
      <c r="D120" s="218"/>
      <c r="E120" s="219"/>
      <c r="F120" s="219"/>
      <c r="G120" s="219"/>
      <c r="H120" s="147" t="s">
        <v>34</v>
      </c>
      <c r="I120" s="219"/>
      <c r="J120" s="219"/>
      <c r="K120" s="219"/>
      <c r="L120" s="220" t="s">
        <v>432</v>
      </c>
      <c r="M120" s="125"/>
      <c r="N120" s="125"/>
      <c r="O120" s="125"/>
      <c r="P120" s="127"/>
      <c r="Q120" s="127"/>
      <c r="R120" s="127"/>
      <c r="S120" s="127"/>
      <c r="T120" s="127"/>
      <c r="U120" s="127"/>
      <c r="V120" s="127"/>
      <c r="W120" s="127"/>
      <c r="X120" s="127"/>
      <c r="Y120" s="127"/>
      <c r="Z120" s="127"/>
    </row>
    <row r="121">
      <c r="A121" s="196">
        <v>29.0</v>
      </c>
      <c r="B121" s="196">
        <v>7.0</v>
      </c>
      <c r="C121" s="217" t="s">
        <v>431</v>
      </c>
      <c r="D121" s="218"/>
      <c r="E121" s="219"/>
      <c r="F121" s="219"/>
      <c r="G121" s="219"/>
      <c r="H121" s="147" t="s">
        <v>34</v>
      </c>
      <c r="I121" s="219"/>
      <c r="J121" s="219"/>
      <c r="K121" s="219"/>
      <c r="L121" s="220" t="s">
        <v>432</v>
      </c>
      <c r="M121" s="125"/>
      <c r="N121" s="125"/>
      <c r="O121" s="125"/>
      <c r="P121" s="127"/>
      <c r="Q121" s="127"/>
      <c r="R121" s="127"/>
      <c r="S121" s="127"/>
      <c r="T121" s="127"/>
      <c r="U121" s="127"/>
      <c r="V121" s="127"/>
      <c r="W121" s="127"/>
      <c r="X121" s="127"/>
      <c r="Y121" s="127"/>
      <c r="Z121" s="127"/>
    </row>
    <row r="122">
      <c r="A122" s="206">
        <v>29.0</v>
      </c>
      <c r="B122" s="206">
        <v>2.0</v>
      </c>
      <c r="C122" s="221" t="s">
        <v>433</v>
      </c>
      <c r="D122" s="222"/>
      <c r="E122" s="223"/>
      <c r="F122" s="223"/>
      <c r="G122" s="223"/>
      <c r="H122" s="150" t="s">
        <v>38</v>
      </c>
      <c r="I122" s="223"/>
      <c r="J122" s="223"/>
      <c r="K122" s="223"/>
      <c r="L122" s="224" t="s">
        <v>434</v>
      </c>
      <c r="M122" s="125"/>
      <c r="N122" s="125"/>
      <c r="O122" s="125"/>
      <c r="P122" s="127"/>
      <c r="Q122" s="127"/>
      <c r="R122" s="127"/>
      <c r="S122" s="127"/>
      <c r="T122" s="127"/>
      <c r="U122" s="127"/>
      <c r="V122" s="127"/>
      <c r="W122" s="127"/>
      <c r="X122" s="127"/>
      <c r="Y122" s="127"/>
      <c r="Z122" s="127"/>
    </row>
    <row r="123">
      <c r="A123" s="206">
        <v>29.0</v>
      </c>
      <c r="B123" s="206">
        <v>2.0</v>
      </c>
      <c r="C123" s="221" t="s">
        <v>435</v>
      </c>
      <c r="D123" s="222"/>
      <c r="E123" s="140">
        <v>6.0</v>
      </c>
      <c r="F123" s="223"/>
      <c r="G123" s="223"/>
      <c r="H123" s="147" t="s">
        <v>34</v>
      </c>
      <c r="I123" s="156" t="s">
        <v>336</v>
      </c>
      <c r="J123" s="223"/>
      <c r="K123" s="223"/>
      <c r="L123" s="224" t="s">
        <v>436</v>
      </c>
      <c r="M123" s="125"/>
      <c r="N123" s="125"/>
      <c r="O123" s="125"/>
      <c r="P123" s="127"/>
      <c r="Q123" s="127"/>
      <c r="R123" s="127"/>
      <c r="S123" s="127"/>
      <c r="T123" s="127"/>
      <c r="U123" s="127"/>
      <c r="V123" s="127"/>
      <c r="W123" s="127"/>
      <c r="X123" s="127"/>
      <c r="Y123" s="127"/>
      <c r="Z123" s="127"/>
    </row>
    <row r="124">
      <c r="A124" s="211">
        <v>28.0</v>
      </c>
      <c r="B124" s="211">
        <v>0.0</v>
      </c>
      <c r="C124" s="137" t="s">
        <v>437</v>
      </c>
      <c r="D124" s="138"/>
      <c r="E124" s="139"/>
      <c r="F124" s="139"/>
      <c r="G124" s="139"/>
      <c r="H124" s="155" t="s">
        <v>236</v>
      </c>
      <c r="I124" s="139"/>
      <c r="J124" s="139"/>
      <c r="K124" s="248" t="s">
        <v>438</v>
      </c>
      <c r="L124" s="151" t="s">
        <v>439</v>
      </c>
      <c r="M124" s="125"/>
      <c r="N124" s="125"/>
      <c r="O124" s="125"/>
      <c r="P124" s="127"/>
      <c r="Q124" s="127"/>
      <c r="R124" s="127"/>
      <c r="S124" s="127"/>
      <c r="T124" s="127"/>
      <c r="U124" s="127"/>
      <c r="V124" s="127"/>
      <c r="W124" s="127"/>
      <c r="X124" s="127"/>
      <c r="Y124" s="127"/>
      <c r="Z124" s="127"/>
    </row>
    <row r="125">
      <c r="A125" s="211">
        <v>28.0</v>
      </c>
      <c r="B125" s="211">
        <v>0.0</v>
      </c>
      <c r="C125" s="137" t="s">
        <v>440</v>
      </c>
      <c r="D125" s="138"/>
      <c r="E125" s="139"/>
      <c r="F125" s="139"/>
      <c r="G125" s="212" t="s">
        <v>223</v>
      </c>
      <c r="H125" s="147" t="s">
        <v>34</v>
      </c>
      <c r="I125" s="139"/>
      <c r="J125" s="139"/>
      <c r="K125" s="248" t="s">
        <v>438</v>
      </c>
      <c r="L125" s="151" t="s">
        <v>441</v>
      </c>
      <c r="M125" s="125"/>
      <c r="N125" s="125"/>
      <c r="O125" s="125"/>
      <c r="P125" s="127"/>
      <c r="Q125" s="127"/>
      <c r="R125" s="127"/>
      <c r="S125" s="127"/>
      <c r="T125" s="127"/>
      <c r="U125" s="127"/>
      <c r="V125" s="127"/>
      <c r="W125" s="127"/>
      <c r="X125" s="127"/>
      <c r="Y125" s="127"/>
      <c r="Z125" s="127"/>
    </row>
    <row r="126">
      <c r="A126" s="201">
        <v>28.0</v>
      </c>
      <c r="B126" s="201">
        <v>5.0</v>
      </c>
      <c r="C126" s="213" t="s">
        <v>442</v>
      </c>
      <c r="D126" s="214"/>
      <c r="E126" s="215"/>
      <c r="F126" s="215"/>
      <c r="G126" s="215"/>
      <c r="H126" s="155" t="s">
        <v>236</v>
      </c>
      <c r="I126" s="215"/>
      <c r="J126" s="215"/>
      <c r="K126" s="215"/>
      <c r="L126" s="216"/>
      <c r="M126" s="125"/>
      <c r="N126" s="125"/>
      <c r="O126" s="125"/>
      <c r="P126" s="127"/>
      <c r="Q126" s="127"/>
      <c r="R126" s="127"/>
      <c r="S126" s="127"/>
      <c r="T126" s="127"/>
      <c r="U126" s="127"/>
      <c r="V126" s="127"/>
      <c r="W126" s="127"/>
      <c r="X126" s="127"/>
      <c r="Y126" s="127"/>
      <c r="Z126" s="127"/>
    </row>
    <row r="127">
      <c r="A127" s="201">
        <v>28.0</v>
      </c>
      <c r="B127" s="201">
        <v>5.0</v>
      </c>
      <c r="C127" s="213" t="s">
        <v>443</v>
      </c>
      <c r="D127" s="214"/>
      <c r="E127" s="215"/>
      <c r="F127" s="215"/>
      <c r="G127" s="215"/>
      <c r="H127" s="162" t="s">
        <v>37</v>
      </c>
      <c r="I127" s="215"/>
      <c r="J127" s="215"/>
      <c r="K127" s="215"/>
      <c r="L127" s="216"/>
      <c r="M127" s="125"/>
      <c r="N127" s="125"/>
      <c r="O127" s="125"/>
      <c r="P127" s="127"/>
      <c r="Q127" s="127"/>
      <c r="R127" s="127"/>
      <c r="S127" s="127"/>
      <c r="T127" s="127"/>
      <c r="U127" s="127"/>
      <c r="V127" s="127"/>
      <c r="W127" s="127"/>
      <c r="X127" s="127"/>
      <c r="Y127" s="127"/>
      <c r="Z127" s="127"/>
    </row>
    <row r="128">
      <c r="A128" s="225">
        <v>27.0</v>
      </c>
      <c r="B128" s="225">
        <v>4.0</v>
      </c>
      <c r="C128" s="226" t="s">
        <v>444</v>
      </c>
      <c r="D128" s="227"/>
      <c r="E128" s="228"/>
      <c r="F128" s="228"/>
      <c r="G128" s="228"/>
      <c r="H128" s="147" t="s">
        <v>34</v>
      </c>
      <c r="I128" s="156" t="s">
        <v>445</v>
      </c>
      <c r="J128" s="228"/>
      <c r="K128" s="228"/>
      <c r="L128" s="229" t="s">
        <v>446</v>
      </c>
      <c r="M128" s="125"/>
      <c r="N128" s="125"/>
      <c r="O128" s="125"/>
      <c r="P128" s="127"/>
      <c r="Q128" s="127"/>
      <c r="R128" s="127"/>
      <c r="S128" s="127"/>
      <c r="T128" s="127"/>
      <c r="U128" s="127"/>
      <c r="V128" s="127"/>
      <c r="W128" s="127"/>
      <c r="X128" s="127"/>
      <c r="Y128" s="127"/>
      <c r="Z128" s="127"/>
    </row>
    <row r="129">
      <c r="A129" s="225">
        <v>27.0</v>
      </c>
      <c r="B129" s="225">
        <v>6.0</v>
      </c>
      <c r="C129" s="226" t="s">
        <v>444</v>
      </c>
      <c r="D129" s="227"/>
      <c r="E129" s="228"/>
      <c r="F129" s="228"/>
      <c r="G129" s="228"/>
      <c r="H129" s="147" t="s">
        <v>34</v>
      </c>
      <c r="I129" s="156" t="s">
        <v>445</v>
      </c>
      <c r="J129" s="228"/>
      <c r="K129" s="228"/>
      <c r="L129" s="229" t="s">
        <v>446</v>
      </c>
      <c r="M129" s="125"/>
      <c r="N129" s="125"/>
      <c r="O129" s="125"/>
      <c r="P129" s="127"/>
      <c r="Q129" s="127"/>
      <c r="R129" s="127"/>
      <c r="S129" s="127"/>
      <c r="T129" s="127"/>
      <c r="U129" s="127"/>
      <c r="V129" s="127"/>
      <c r="W129" s="127"/>
      <c r="X129" s="127"/>
      <c r="Y129" s="127"/>
      <c r="Z129" s="127"/>
    </row>
    <row r="130">
      <c r="A130" s="225">
        <v>27.0</v>
      </c>
      <c r="B130" s="225">
        <v>1.0</v>
      </c>
      <c r="C130" s="226" t="s">
        <v>444</v>
      </c>
      <c r="D130" s="227"/>
      <c r="E130" s="228"/>
      <c r="F130" s="228"/>
      <c r="G130" s="228"/>
      <c r="H130" s="147" t="s">
        <v>34</v>
      </c>
      <c r="I130" s="156" t="s">
        <v>445</v>
      </c>
      <c r="J130" s="228"/>
      <c r="K130" s="228"/>
      <c r="L130" s="229" t="s">
        <v>446</v>
      </c>
      <c r="M130" s="125"/>
      <c r="N130" s="125"/>
      <c r="O130" s="125"/>
      <c r="P130" s="127"/>
      <c r="Q130" s="127"/>
      <c r="R130" s="127"/>
      <c r="S130" s="127"/>
      <c r="T130" s="127"/>
      <c r="U130" s="127"/>
      <c r="V130" s="127"/>
      <c r="W130" s="127"/>
      <c r="X130" s="127"/>
      <c r="Y130" s="127"/>
      <c r="Z130" s="127"/>
    </row>
    <row r="131">
      <c r="A131" s="235">
        <v>27.0</v>
      </c>
      <c r="B131" s="235">
        <v>0.0</v>
      </c>
      <c r="C131" s="236" t="s">
        <v>447</v>
      </c>
      <c r="D131" s="237" t="s">
        <v>219</v>
      </c>
      <c r="E131" s="238"/>
      <c r="F131" s="212">
        <v>3.4</v>
      </c>
      <c r="G131" s="238"/>
      <c r="H131" s="147" t="s">
        <v>34</v>
      </c>
      <c r="I131" s="238"/>
      <c r="J131" s="238"/>
      <c r="K131" s="238"/>
      <c r="L131" s="240" t="s">
        <v>448</v>
      </c>
      <c r="M131" s="125"/>
      <c r="N131" s="125"/>
      <c r="O131" s="125"/>
      <c r="P131" s="127"/>
      <c r="Q131" s="127"/>
      <c r="R131" s="127"/>
      <c r="S131" s="127"/>
      <c r="T131" s="127"/>
      <c r="U131" s="127"/>
      <c r="V131" s="127"/>
      <c r="W131" s="127"/>
      <c r="X131" s="127"/>
      <c r="Y131" s="127"/>
      <c r="Z131" s="127"/>
    </row>
    <row r="132">
      <c r="A132" s="201">
        <v>27.0</v>
      </c>
      <c r="B132" s="201">
        <v>5.0</v>
      </c>
      <c r="C132" s="213" t="s">
        <v>449</v>
      </c>
      <c r="D132" s="214"/>
      <c r="E132" s="215"/>
      <c r="F132" s="215"/>
      <c r="G132" s="215"/>
      <c r="H132" s="154" t="s">
        <v>43</v>
      </c>
      <c r="I132" s="215"/>
      <c r="J132" s="215"/>
      <c r="K132" s="215"/>
      <c r="L132" s="250" t="s">
        <v>383</v>
      </c>
      <c r="M132" s="125"/>
      <c r="N132" s="125"/>
      <c r="O132" s="125"/>
      <c r="P132" s="127"/>
      <c r="Q132" s="127"/>
      <c r="R132" s="127"/>
      <c r="S132" s="127"/>
      <c r="T132" s="127"/>
      <c r="U132" s="127"/>
      <c r="V132" s="127"/>
      <c r="W132" s="127"/>
      <c r="X132" s="127"/>
      <c r="Y132" s="127"/>
      <c r="Z132" s="127"/>
    </row>
    <row r="133">
      <c r="A133" s="201">
        <v>27.0</v>
      </c>
      <c r="B133" s="201">
        <v>5.0</v>
      </c>
      <c r="C133" s="213" t="s">
        <v>450</v>
      </c>
      <c r="D133" s="214"/>
      <c r="E133" s="215"/>
      <c r="F133" s="215"/>
      <c r="G133" s="215"/>
      <c r="H133" s="155" t="s">
        <v>236</v>
      </c>
      <c r="I133" s="215"/>
      <c r="J133" s="215"/>
      <c r="K133" s="215"/>
      <c r="L133" s="216"/>
      <c r="M133" s="125"/>
      <c r="N133" s="125"/>
      <c r="O133" s="125"/>
      <c r="P133" s="127"/>
      <c r="Q133" s="127"/>
      <c r="R133" s="127"/>
      <c r="S133" s="127"/>
      <c r="T133" s="127"/>
      <c r="U133" s="127"/>
      <c r="V133" s="127"/>
      <c r="W133" s="127"/>
      <c r="X133" s="127"/>
      <c r="Y133" s="127"/>
      <c r="Z133" s="127"/>
    </row>
    <row r="134">
      <c r="A134" s="196">
        <v>27.0</v>
      </c>
      <c r="B134" s="196">
        <v>3.0</v>
      </c>
      <c r="C134" s="217" t="s">
        <v>451</v>
      </c>
      <c r="D134" s="218"/>
      <c r="E134" s="219"/>
      <c r="F134" s="219"/>
      <c r="G134" s="212" t="s">
        <v>223</v>
      </c>
      <c r="H134" s="189" t="s">
        <v>220</v>
      </c>
      <c r="I134" s="156" t="s">
        <v>336</v>
      </c>
      <c r="J134" s="219"/>
      <c r="K134" s="219"/>
      <c r="L134" s="220" t="s">
        <v>452</v>
      </c>
      <c r="M134" s="125"/>
      <c r="N134" s="125"/>
      <c r="O134" s="125"/>
      <c r="P134" s="127"/>
      <c r="Q134" s="127"/>
      <c r="R134" s="127"/>
      <c r="S134" s="127"/>
      <c r="T134" s="127"/>
      <c r="U134" s="127"/>
      <c r="V134" s="127"/>
      <c r="W134" s="127"/>
      <c r="X134" s="127"/>
      <c r="Y134" s="127"/>
      <c r="Z134" s="127"/>
    </row>
    <row r="135">
      <c r="A135" s="196">
        <v>27.0</v>
      </c>
      <c r="B135" s="196">
        <v>7.0</v>
      </c>
      <c r="C135" s="217" t="s">
        <v>451</v>
      </c>
      <c r="D135" s="218"/>
      <c r="E135" s="219"/>
      <c r="F135" s="219"/>
      <c r="G135" s="212" t="s">
        <v>223</v>
      </c>
      <c r="H135" s="189" t="s">
        <v>220</v>
      </c>
      <c r="I135" s="156" t="s">
        <v>336</v>
      </c>
      <c r="J135" s="219"/>
      <c r="K135" s="219"/>
      <c r="L135" s="220" t="s">
        <v>452</v>
      </c>
      <c r="M135" s="125"/>
      <c r="N135" s="125"/>
      <c r="O135" s="125"/>
      <c r="P135" s="127"/>
      <c r="Q135" s="127"/>
      <c r="R135" s="127"/>
      <c r="S135" s="127"/>
      <c r="T135" s="127"/>
      <c r="U135" s="127"/>
      <c r="V135" s="127"/>
      <c r="W135" s="127"/>
      <c r="X135" s="127"/>
      <c r="Y135" s="127"/>
      <c r="Z135" s="127"/>
    </row>
    <row r="136">
      <c r="A136" s="196">
        <v>27.0</v>
      </c>
      <c r="B136" s="196">
        <v>3.0</v>
      </c>
      <c r="C136" s="217" t="s">
        <v>453</v>
      </c>
      <c r="D136" s="218"/>
      <c r="E136" s="219"/>
      <c r="F136" s="219"/>
      <c r="G136" s="219"/>
      <c r="H136" s="141" t="s">
        <v>46</v>
      </c>
      <c r="I136" s="219"/>
      <c r="J136" s="219"/>
      <c r="K136" s="219"/>
      <c r="L136" s="220"/>
      <c r="M136" s="125"/>
      <c r="N136" s="125"/>
      <c r="O136" s="125"/>
      <c r="P136" s="127"/>
      <c r="Q136" s="127"/>
      <c r="R136" s="127"/>
      <c r="S136" s="127"/>
      <c r="T136" s="127"/>
      <c r="U136" s="127"/>
      <c r="V136" s="127"/>
      <c r="W136" s="127"/>
      <c r="X136" s="127"/>
      <c r="Y136" s="127"/>
      <c r="Z136" s="127"/>
    </row>
    <row r="137">
      <c r="A137" s="196">
        <v>27.0</v>
      </c>
      <c r="B137" s="196">
        <v>7.0</v>
      </c>
      <c r="C137" s="217" t="s">
        <v>453</v>
      </c>
      <c r="D137" s="218"/>
      <c r="E137" s="219"/>
      <c r="F137" s="219"/>
      <c r="G137" s="219"/>
      <c r="H137" s="141" t="s">
        <v>46</v>
      </c>
      <c r="I137" s="219"/>
      <c r="J137" s="219"/>
      <c r="K137" s="219"/>
      <c r="L137" s="220"/>
      <c r="M137" s="125"/>
      <c r="N137" s="125"/>
      <c r="O137" s="125"/>
      <c r="P137" s="127"/>
      <c r="Q137" s="127"/>
      <c r="R137" s="127"/>
      <c r="S137" s="127"/>
      <c r="T137" s="127"/>
      <c r="U137" s="127"/>
      <c r="V137" s="127"/>
      <c r="W137" s="127"/>
      <c r="X137" s="127"/>
      <c r="Y137" s="127"/>
      <c r="Z137" s="127"/>
    </row>
    <row r="138">
      <c r="A138" s="206">
        <v>27.0</v>
      </c>
      <c r="B138" s="206">
        <v>2.0</v>
      </c>
      <c r="C138" s="221" t="s">
        <v>454</v>
      </c>
      <c r="D138" s="222"/>
      <c r="E138" s="223"/>
      <c r="F138" s="223"/>
      <c r="G138" s="223"/>
      <c r="H138" s="147" t="s">
        <v>34</v>
      </c>
      <c r="I138" s="223"/>
      <c r="J138" s="223"/>
      <c r="K138" s="223"/>
      <c r="L138" s="224" t="s">
        <v>455</v>
      </c>
      <c r="M138" s="125"/>
      <c r="N138" s="125"/>
      <c r="O138" s="125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</row>
    <row r="139">
      <c r="A139" s="206">
        <v>27.0</v>
      </c>
      <c r="B139" s="206">
        <v>2.0</v>
      </c>
      <c r="C139" s="221" t="s">
        <v>456</v>
      </c>
      <c r="D139" s="222"/>
      <c r="E139" s="223"/>
      <c r="F139" s="223"/>
      <c r="G139" s="223"/>
      <c r="H139" s="155" t="s">
        <v>236</v>
      </c>
      <c r="I139" s="223"/>
      <c r="J139" s="223"/>
      <c r="K139" s="223"/>
      <c r="L139" s="224" t="s">
        <v>457</v>
      </c>
      <c r="M139" s="125"/>
      <c r="N139" s="125"/>
      <c r="O139" s="125"/>
      <c r="P139" s="127"/>
      <c r="Q139" s="127"/>
      <c r="R139" s="127"/>
      <c r="S139" s="127"/>
      <c r="T139" s="127"/>
      <c r="U139" s="127"/>
      <c r="V139" s="127"/>
      <c r="W139" s="127"/>
      <c r="X139" s="127"/>
      <c r="Y139" s="127"/>
      <c r="Z139" s="127"/>
    </row>
    <row r="140">
      <c r="A140" s="225">
        <v>27.0</v>
      </c>
      <c r="B140" s="225">
        <v>4.0</v>
      </c>
      <c r="C140" s="226" t="s">
        <v>458</v>
      </c>
      <c r="D140" s="227"/>
      <c r="E140" s="228"/>
      <c r="F140" s="228"/>
      <c r="G140" s="228"/>
      <c r="H140" s="155" t="s">
        <v>236</v>
      </c>
      <c r="I140" s="228"/>
      <c r="J140" s="228"/>
      <c r="K140" s="228"/>
      <c r="L140" s="229"/>
      <c r="M140" s="125"/>
      <c r="N140" s="125"/>
      <c r="O140" s="125"/>
      <c r="P140" s="127"/>
      <c r="Q140" s="127"/>
      <c r="R140" s="127"/>
      <c r="S140" s="127"/>
      <c r="T140" s="127"/>
      <c r="U140" s="127"/>
      <c r="V140" s="127"/>
      <c r="W140" s="127"/>
      <c r="X140" s="127"/>
      <c r="Y140" s="127"/>
      <c r="Z140" s="127"/>
    </row>
    <row r="141">
      <c r="A141" s="225">
        <v>27.0</v>
      </c>
      <c r="B141" s="225">
        <v>6.0</v>
      </c>
      <c r="C141" s="226" t="s">
        <v>458</v>
      </c>
      <c r="D141" s="227"/>
      <c r="E141" s="228"/>
      <c r="F141" s="228"/>
      <c r="G141" s="228"/>
      <c r="H141" s="155" t="s">
        <v>236</v>
      </c>
      <c r="I141" s="228"/>
      <c r="J141" s="228"/>
      <c r="K141" s="228"/>
      <c r="L141" s="229"/>
      <c r="M141" s="125"/>
      <c r="N141" s="125"/>
      <c r="O141" s="125"/>
      <c r="P141" s="127"/>
      <c r="Q141" s="127"/>
      <c r="R141" s="127"/>
      <c r="S141" s="127"/>
      <c r="T141" s="127"/>
      <c r="U141" s="127"/>
      <c r="V141" s="127"/>
      <c r="W141" s="127"/>
      <c r="X141" s="127"/>
      <c r="Y141" s="127"/>
      <c r="Z141" s="127"/>
    </row>
    <row r="142">
      <c r="A142" s="225">
        <v>27.0</v>
      </c>
      <c r="B142" s="225">
        <v>1.0</v>
      </c>
      <c r="C142" s="226" t="s">
        <v>458</v>
      </c>
      <c r="D142" s="227"/>
      <c r="E142" s="228"/>
      <c r="F142" s="228"/>
      <c r="G142" s="228"/>
      <c r="H142" s="155" t="s">
        <v>236</v>
      </c>
      <c r="I142" s="228"/>
      <c r="J142" s="228"/>
      <c r="K142" s="228"/>
      <c r="L142" s="229"/>
      <c r="M142" s="125"/>
      <c r="N142" s="125"/>
      <c r="O142" s="125"/>
      <c r="P142" s="127"/>
      <c r="Q142" s="127"/>
      <c r="R142" s="127"/>
      <c r="S142" s="127"/>
      <c r="T142" s="127"/>
      <c r="U142" s="127"/>
      <c r="V142" s="127"/>
      <c r="W142" s="127"/>
      <c r="X142" s="127"/>
      <c r="Y142" s="127"/>
      <c r="Z142" s="127"/>
    </row>
    <row r="143">
      <c r="A143" s="211">
        <v>26.0</v>
      </c>
      <c r="B143" s="211">
        <v>0.0</v>
      </c>
      <c r="C143" s="137" t="s">
        <v>459</v>
      </c>
      <c r="D143" s="138"/>
      <c r="E143" s="139"/>
      <c r="F143" s="139"/>
      <c r="G143" s="139"/>
      <c r="H143" s="141" t="s">
        <v>46</v>
      </c>
      <c r="I143" s="139"/>
      <c r="J143" s="248" t="s">
        <v>460</v>
      </c>
      <c r="K143" s="139"/>
      <c r="L143" s="151" t="s">
        <v>461</v>
      </c>
      <c r="M143" s="125"/>
      <c r="N143" s="125"/>
      <c r="O143" s="125"/>
      <c r="P143" s="127"/>
      <c r="Q143" s="127"/>
      <c r="R143" s="127"/>
      <c r="S143" s="127"/>
      <c r="T143" s="127"/>
      <c r="U143" s="127"/>
      <c r="V143" s="127"/>
      <c r="W143" s="127"/>
      <c r="X143" s="127"/>
      <c r="Y143" s="127"/>
      <c r="Z143" s="127"/>
    </row>
    <row r="144">
      <c r="A144" s="211">
        <v>26.0</v>
      </c>
      <c r="B144" s="211">
        <v>0.0</v>
      </c>
      <c r="C144" s="137" t="s">
        <v>462</v>
      </c>
      <c r="D144" s="138"/>
      <c r="E144" s="139"/>
      <c r="F144" s="139"/>
      <c r="G144" s="139"/>
      <c r="H144" s="153" t="s">
        <v>45</v>
      </c>
      <c r="I144" s="139"/>
      <c r="J144" s="248" t="s">
        <v>463</v>
      </c>
      <c r="K144" s="139"/>
      <c r="L144" s="151" t="s">
        <v>464</v>
      </c>
      <c r="M144" s="125"/>
      <c r="N144" s="125"/>
      <c r="O144" s="125"/>
      <c r="P144" s="127"/>
      <c r="Q144" s="127"/>
      <c r="R144" s="127"/>
      <c r="S144" s="127"/>
      <c r="T144" s="127"/>
      <c r="U144" s="127"/>
      <c r="V144" s="127"/>
      <c r="W144" s="127"/>
      <c r="X144" s="127"/>
      <c r="Y144" s="127"/>
      <c r="Z144" s="127"/>
    </row>
    <row r="145">
      <c r="A145" s="201">
        <v>26.0</v>
      </c>
      <c r="B145" s="201">
        <v>5.0</v>
      </c>
      <c r="C145" s="213" t="s">
        <v>465</v>
      </c>
      <c r="D145" s="214"/>
      <c r="E145" s="215"/>
      <c r="F145" s="215"/>
      <c r="G145" s="212" t="s">
        <v>223</v>
      </c>
      <c r="H145" s="153" t="s">
        <v>45</v>
      </c>
      <c r="I145" s="215"/>
      <c r="J145" s="215"/>
      <c r="K145" s="215"/>
      <c r="L145" s="216"/>
      <c r="M145" s="125"/>
      <c r="N145" s="125"/>
      <c r="O145" s="125"/>
      <c r="P145" s="127"/>
      <c r="Q145" s="127"/>
      <c r="R145" s="127"/>
      <c r="S145" s="127"/>
      <c r="T145" s="127"/>
      <c r="U145" s="127"/>
      <c r="V145" s="127"/>
      <c r="W145" s="127"/>
      <c r="X145" s="127"/>
      <c r="Y145" s="127"/>
      <c r="Z145" s="127"/>
    </row>
    <row r="146">
      <c r="A146" s="230">
        <v>26.0</v>
      </c>
      <c r="B146" s="230">
        <v>4.0</v>
      </c>
      <c r="C146" s="245" t="s">
        <v>466</v>
      </c>
      <c r="D146" s="156" t="s">
        <v>358</v>
      </c>
      <c r="E146" s="246"/>
      <c r="F146" s="246"/>
      <c r="G146" s="246"/>
      <c r="H146" s="189" t="s">
        <v>220</v>
      </c>
      <c r="I146" s="246"/>
      <c r="J146" s="246"/>
      <c r="K146" s="246"/>
      <c r="L146" s="247" t="s">
        <v>467</v>
      </c>
      <c r="M146" s="125"/>
      <c r="N146" s="125"/>
      <c r="O146" s="125"/>
      <c r="P146" s="127"/>
      <c r="Q146" s="127"/>
      <c r="R146" s="127"/>
      <c r="S146" s="127"/>
      <c r="T146" s="127"/>
      <c r="U146" s="127"/>
      <c r="V146" s="127"/>
      <c r="W146" s="127"/>
      <c r="X146" s="127"/>
      <c r="Y146" s="127"/>
      <c r="Z146" s="127"/>
    </row>
    <row r="147">
      <c r="A147" s="230">
        <v>26.0</v>
      </c>
      <c r="B147" s="230">
        <v>1.0</v>
      </c>
      <c r="C147" s="245" t="s">
        <v>466</v>
      </c>
      <c r="D147" s="156" t="s">
        <v>358</v>
      </c>
      <c r="E147" s="246"/>
      <c r="F147" s="246"/>
      <c r="G147" s="246"/>
      <c r="H147" s="189" t="s">
        <v>220</v>
      </c>
      <c r="I147" s="246"/>
      <c r="J147" s="246"/>
      <c r="K147" s="246"/>
      <c r="L147" s="247" t="s">
        <v>467</v>
      </c>
      <c r="M147" s="125"/>
      <c r="N147" s="125"/>
      <c r="O147" s="125"/>
      <c r="P147" s="127"/>
      <c r="Q147" s="127"/>
      <c r="R147" s="127"/>
      <c r="S147" s="127"/>
      <c r="T147" s="127"/>
      <c r="U147" s="127"/>
      <c r="V147" s="127"/>
      <c r="W147" s="127"/>
      <c r="X147" s="127"/>
      <c r="Y147" s="127"/>
      <c r="Z147" s="127"/>
    </row>
    <row r="148">
      <c r="A148" s="235">
        <v>25.0</v>
      </c>
      <c r="B148" s="235">
        <v>0.0</v>
      </c>
      <c r="C148" s="236" t="s">
        <v>468</v>
      </c>
      <c r="D148" s="237" t="s">
        <v>219</v>
      </c>
      <c r="E148" s="238"/>
      <c r="F148" s="212">
        <v>3.3</v>
      </c>
      <c r="G148" s="238"/>
      <c r="H148" s="155" t="s">
        <v>236</v>
      </c>
      <c r="I148" s="238"/>
      <c r="J148" s="238"/>
      <c r="K148" s="238"/>
      <c r="L148" s="240"/>
      <c r="M148" s="125"/>
      <c r="N148" s="125"/>
      <c r="O148" s="125"/>
      <c r="P148" s="127"/>
      <c r="Q148" s="127"/>
      <c r="R148" s="127"/>
      <c r="S148" s="127"/>
      <c r="T148" s="127"/>
      <c r="U148" s="127"/>
      <c r="V148" s="127"/>
      <c r="W148" s="127"/>
      <c r="X148" s="127"/>
      <c r="Y148" s="127"/>
      <c r="Z148" s="127"/>
    </row>
    <row r="149">
      <c r="A149" s="196">
        <v>25.0</v>
      </c>
      <c r="B149" s="196">
        <v>3.0</v>
      </c>
      <c r="C149" s="217" t="s">
        <v>469</v>
      </c>
      <c r="D149" s="218"/>
      <c r="E149" s="219"/>
      <c r="F149" s="219"/>
      <c r="G149" s="219"/>
      <c r="H149" s="150" t="s">
        <v>38</v>
      </c>
      <c r="I149" s="219"/>
      <c r="J149" s="219"/>
      <c r="K149" s="219"/>
      <c r="L149" s="220" t="s">
        <v>470</v>
      </c>
      <c r="M149" s="125"/>
      <c r="N149" s="125"/>
      <c r="O149" s="125"/>
      <c r="P149" s="127"/>
      <c r="Q149" s="127"/>
      <c r="R149" s="127"/>
      <c r="S149" s="127"/>
      <c r="T149" s="127"/>
      <c r="U149" s="127"/>
      <c r="V149" s="127"/>
      <c r="W149" s="127"/>
      <c r="X149" s="127"/>
      <c r="Y149" s="127"/>
      <c r="Z149" s="127"/>
    </row>
    <row r="150">
      <c r="A150" s="196">
        <v>25.0</v>
      </c>
      <c r="B150" s="196">
        <v>7.0</v>
      </c>
      <c r="C150" s="217" t="s">
        <v>469</v>
      </c>
      <c r="D150" s="218"/>
      <c r="E150" s="219"/>
      <c r="F150" s="219"/>
      <c r="G150" s="219"/>
      <c r="H150" s="150" t="s">
        <v>38</v>
      </c>
      <c r="I150" s="219"/>
      <c r="J150" s="219"/>
      <c r="K150" s="219"/>
      <c r="L150" s="220" t="s">
        <v>470</v>
      </c>
      <c r="M150" s="125"/>
      <c r="N150" s="125"/>
      <c r="O150" s="125"/>
      <c r="P150" s="127"/>
      <c r="Q150" s="127"/>
      <c r="R150" s="127"/>
      <c r="S150" s="127"/>
      <c r="T150" s="127"/>
      <c r="U150" s="127"/>
      <c r="V150" s="127"/>
      <c r="W150" s="127"/>
      <c r="X150" s="127"/>
      <c r="Y150" s="127"/>
      <c r="Z150" s="127"/>
    </row>
    <row r="151">
      <c r="A151" s="196">
        <v>25.0</v>
      </c>
      <c r="B151" s="196">
        <v>3.0</v>
      </c>
      <c r="C151" s="217" t="s">
        <v>471</v>
      </c>
      <c r="D151" s="218"/>
      <c r="E151" s="219"/>
      <c r="F151" s="219"/>
      <c r="G151" s="219"/>
      <c r="H151" s="147" t="s">
        <v>34</v>
      </c>
      <c r="I151" s="219"/>
      <c r="J151" s="219"/>
      <c r="K151" s="219"/>
      <c r="L151" s="220"/>
      <c r="M151" s="125"/>
      <c r="N151" s="125"/>
      <c r="O151" s="125"/>
      <c r="P151" s="127"/>
      <c r="Q151" s="127"/>
      <c r="R151" s="127"/>
      <c r="S151" s="127"/>
      <c r="T151" s="127"/>
      <c r="U151" s="127"/>
      <c r="V151" s="127"/>
      <c r="W151" s="127"/>
      <c r="X151" s="127"/>
      <c r="Y151" s="127"/>
      <c r="Z151" s="127"/>
    </row>
    <row r="152">
      <c r="A152" s="196">
        <v>25.0</v>
      </c>
      <c r="B152" s="196">
        <v>7.0</v>
      </c>
      <c r="C152" s="217" t="s">
        <v>471</v>
      </c>
      <c r="D152" s="218"/>
      <c r="E152" s="219"/>
      <c r="F152" s="219"/>
      <c r="G152" s="219"/>
      <c r="H152" s="147" t="s">
        <v>34</v>
      </c>
      <c r="I152" s="219"/>
      <c r="J152" s="219"/>
      <c r="K152" s="219"/>
      <c r="L152" s="220"/>
      <c r="M152" s="125"/>
      <c r="N152" s="125"/>
      <c r="O152" s="125"/>
      <c r="P152" s="127"/>
      <c r="Q152" s="127"/>
      <c r="R152" s="127"/>
      <c r="S152" s="127"/>
      <c r="T152" s="127"/>
      <c r="U152" s="127"/>
      <c r="V152" s="127"/>
      <c r="W152" s="127"/>
      <c r="X152" s="127"/>
      <c r="Y152" s="127"/>
      <c r="Z152" s="127"/>
    </row>
    <row r="153">
      <c r="A153" s="206">
        <v>25.0</v>
      </c>
      <c r="B153" s="206">
        <v>2.0</v>
      </c>
      <c r="C153" s="221" t="s">
        <v>472</v>
      </c>
      <c r="D153" s="222"/>
      <c r="E153" s="223"/>
      <c r="F153" s="223"/>
      <c r="G153" s="223"/>
      <c r="H153" s="141" t="s">
        <v>46</v>
      </c>
      <c r="I153" s="223"/>
      <c r="J153" s="223"/>
      <c r="K153" s="223"/>
      <c r="L153" s="224" t="s">
        <v>434</v>
      </c>
      <c r="M153" s="125"/>
      <c r="N153" s="125"/>
      <c r="O153" s="125"/>
      <c r="P153" s="127"/>
      <c r="Q153" s="127"/>
      <c r="R153" s="127"/>
      <c r="S153" s="127"/>
      <c r="T153" s="127"/>
      <c r="U153" s="127"/>
      <c r="V153" s="127"/>
      <c r="W153" s="127"/>
      <c r="X153" s="127"/>
      <c r="Y153" s="127"/>
      <c r="Z153" s="127"/>
    </row>
    <row r="154">
      <c r="A154" s="206">
        <v>25.0</v>
      </c>
      <c r="B154" s="206">
        <v>2.0</v>
      </c>
      <c r="C154" s="221" t="s">
        <v>473</v>
      </c>
      <c r="D154" s="222"/>
      <c r="E154" s="223"/>
      <c r="F154" s="223"/>
      <c r="G154" s="212" t="s">
        <v>223</v>
      </c>
      <c r="H154" s="147" t="s">
        <v>34</v>
      </c>
      <c r="I154" s="223"/>
      <c r="J154" s="223"/>
      <c r="K154" s="223"/>
      <c r="L154" s="224" t="s">
        <v>474</v>
      </c>
      <c r="M154" s="125"/>
      <c r="N154" s="125"/>
      <c r="O154" s="125"/>
      <c r="P154" s="127"/>
      <c r="Q154" s="127"/>
      <c r="R154" s="127"/>
      <c r="S154" s="127"/>
      <c r="T154" s="127"/>
      <c r="U154" s="127"/>
      <c r="V154" s="127"/>
      <c r="W154" s="127"/>
      <c r="X154" s="127"/>
      <c r="Y154" s="127"/>
      <c r="Z154" s="127"/>
    </row>
    <row r="155">
      <c r="A155" s="225">
        <v>25.0</v>
      </c>
      <c r="B155" s="225">
        <v>4.0</v>
      </c>
      <c r="C155" s="226" t="s">
        <v>475</v>
      </c>
      <c r="D155" s="227"/>
      <c r="E155" s="228"/>
      <c r="F155" s="228"/>
      <c r="G155" s="228"/>
      <c r="H155" s="153" t="s">
        <v>45</v>
      </c>
      <c r="I155" s="228"/>
      <c r="J155" s="228"/>
      <c r="K155" s="228"/>
      <c r="L155" s="229" t="s">
        <v>476</v>
      </c>
      <c r="M155" s="125"/>
      <c r="N155" s="125"/>
      <c r="O155" s="125"/>
      <c r="P155" s="127"/>
      <c r="Q155" s="127"/>
      <c r="R155" s="127"/>
      <c r="S155" s="127"/>
      <c r="T155" s="127"/>
      <c r="U155" s="127"/>
      <c r="V155" s="127"/>
      <c r="W155" s="127"/>
      <c r="X155" s="127"/>
      <c r="Y155" s="127"/>
      <c r="Z155" s="127"/>
    </row>
    <row r="156">
      <c r="A156" s="225">
        <v>25.0</v>
      </c>
      <c r="B156" s="225">
        <v>6.0</v>
      </c>
      <c r="C156" s="226" t="s">
        <v>475</v>
      </c>
      <c r="D156" s="227"/>
      <c r="E156" s="228"/>
      <c r="F156" s="228"/>
      <c r="G156" s="228"/>
      <c r="H156" s="153" t="s">
        <v>45</v>
      </c>
      <c r="I156" s="228"/>
      <c r="J156" s="228"/>
      <c r="K156" s="228"/>
      <c r="L156" s="229" t="s">
        <v>476</v>
      </c>
      <c r="M156" s="125"/>
      <c r="N156" s="125"/>
      <c r="O156" s="125"/>
      <c r="P156" s="127"/>
      <c r="Q156" s="127"/>
      <c r="R156" s="127"/>
      <c r="S156" s="127"/>
      <c r="T156" s="127"/>
      <c r="U156" s="127"/>
      <c r="V156" s="127"/>
      <c r="W156" s="127"/>
      <c r="X156" s="127"/>
      <c r="Y156" s="127"/>
      <c r="Z156" s="127"/>
    </row>
    <row r="157">
      <c r="A157" s="225">
        <v>25.0</v>
      </c>
      <c r="B157" s="225">
        <v>1.0</v>
      </c>
      <c r="C157" s="226" t="s">
        <v>475</v>
      </c>
      <c r="D157" s="227"/>
      <c r="E157" s="228"/>
      <c r="F157" s="228"/>
      <c r="G157" s="228"/>
      <c r="H157" s="153" t="s">
        <v>45</v>
      </c>
      <c r="I157" s="228"/>
      <c r="J157" s="228"/>
      <c r="K157" s="228"/>
      <c r="L157" s="229" t="s">
        <v>476</v>
      </c>
      <c r="M157" s="125"/>
      <c r="N157" s="125"/>
      <c r="O157" s="125"/>
      <c r="P157" s="127"/>
      <c r="Q157" s="127"/>
      <c r="R157" s="127"/>
      <c r="S157" s="127"/>
      <c r="T157" s="127"/>
      <c r="U157" s="127"/>
      <c r="V157" s="127"/>
      <c r="W157" s="127"/>
      <c r="X157" s="127"/>
      <c r="Y157" s="127"/>
      <c r="Z157" s="127"/>
    </row>
    <row r="158">
      <c r="A158" s="211">
        <v>24.0</v>
      </c>
      <c r="B158" s="211">
        <v>0.0</v>
      </c>
      <c r="C158" s="137" t="s">
        <v>477</v>
      </c>
      <c r="D158" s="138"/>
      <c r="E158" s="139"/>
      <c r="F158" s="139"/>
      <c r="G158" s="139"/>
      <c r="H158" s="189" t="s">
        <v>220</v>
      </c>
      <c r="I158" s="156" t="s">
        <v>336</v>
      </c>
      <c r="J158" s="139"/>
      <c r="K158" s="139"/>
      <c r="L158" s="151" t="s">
        <v>478</v>
      </c>
      <c r="M158" s="125"/>
      <c r="N158" s="125"/>
      <c r="O158" s="125"/>
      <c r="P158" s="127"/>
      <c r="Q158" s="127"/>
      <c r="R158" s="127"/>
      <c r="S158" s="127"/>
      <c r="T158" s="127"/>
      <c r="U158" s="127"/>
      <c r="V158" s="127"/>
      <c r="W158" s="127"/>
      <c r="X158" s="127"/>
      <c r="Y158" s="127"/>
      <c r="Z158" s="127"/>
    </row>
    <row r="159">
      <c r="A159" s="211">
        <v>24.0</v>
      </c>
      <c r="B159" s="211">
        <v>0.0</v>
      </c>
      <c r="C159" s="137" t="s">
        <v>479</v>
      </c>
      <c r="D159" s="138"/>
      <c r="E159" s="139"/>
      <c r="F159" s="212">
        <v>3.2</v>
      </c>
      <c r="G159" s="139"/>
      <c r="H159" s="150" t="s">
        <v>38</v>
      </c>
      <c r="I159" s="139"/>
      <c r="J159" s="139"/>
      <c r="K159" s="139"/>
      <c r="L159" s="151" t="s">
        <v>480</v>
      </c>
      <c r="M159" s="125"/>
      <c r="N159" s="125"/>
      <c r="O159" s="125"/>
      <c r="P159" s="127"/>
      <c r="Q159" s="127"/>
      <c r="R159" s="127"/>
      <c r="S159" s="127"/>
      <c r="T159" s="127"/>
      <c r="U159" s="127"/>
      <c r="V159" s="127"/>
      <c r="W159" s="127"/>
      <c r="X159" s="127"/>
      <c r="Y159" s="127"/>
      <c r="Z159" s="127"/>
    </row>
    <row r="160">
      <c r="A160" s="211">
        <v>24.0</v>
      </c>
      <c r="B160" s="211">
        <v>0.0</v>
      </c>
      <c r="C160" s="137" t="s">
        <v>481</v>
      </c>
      <c r="D160" s="138"/>
      <c r="E160" s="139"/>
      <c r="F160" s="139"/>
      <c r="G160" s="212" t="s">
        <v>223</v>
      </c>
      <c r="H160" s="162" t="s">
        <v>37</v>
      </c>
      <c r="I160" s="139"/>
      <c r="J160" s="139"/>
      <c r="K160" s="139"/>
      <c r="L160" s="151" t="s">
        <v>480</v>
      </c>
      <c r="M160" s="125"/>
      <c r="N160" s="125"/>
      <c r="O160" s="125"/>
      <c r="P160" s="127"/>
      <c r="Q160" s="127"/>
      <c r="R160" s="127"/>
      <c r="S160" s="127"/>
      <c r="T160" s="127"/>
      <c r="U160" s="127"/>
      <c r="V160" s="127"/>
      <c r="W160" s="127"/>
      <c r="X160" s="127"/>
      <c r="Y160" s="127"/>
      <c r="Z160" s="127"/>
    </row>
    <row r="161">
      <c r="A161" s="235">
        <v>23.0</v>
      </c>
      <c r="B161" s="235">
        <v>0.0</v>
      </c>
      <c r="C161" s="236" t="s">
        <v>482</v>
      </c>
      <c r="D161" s="237" t="s">
        <v>219</v>
      </c>
      <c r="E161" s="238"/>
      <c r="F161" s="238"/>
      <c r="G161" s="238"/>
      <c r="H161" s="147" t="s">
        <v>34</v>
      </c>
      <c r="I161" s="238"/>
      <c r="J161" s="248" t="s">
        <v>425</v>
      </c>
      <c r="K161" s="238"/>
      <c r="L161" s="240" t="s">
        <v>483</v>
      </c>
      <c r="M161" s="125"/>
      <c r="N161" s="125"/>
      <c r="O161" s="125"/>
      <c r="P161" s="127"/>
      <c r="Q161" s="127"/>
      <c r="R161" s="127"/>
      <c r="S161" s="127"/>
      <c r="T161" s="127"/>
      <c r="U161" s="127"/>
      <c r="V161" s="127"/>
      <c r="W161" s="127"/>
      <c r="X161" s="127"/>
      <c r="Y161" s="127"/>
      <c r="Z161" s="127"/>
    </row>
    <row r="162">
      <c r="A162" s="211">
        <v>23.0</v>
      </c>
      <c r="B162" s="211">
        <v>0.0</v>
      </c>
      <c r="C162" s="137" t="s">
        <v>484</v>
      </c>
      <c r="D162" s="138"/>
      <c r="E162" s="140">
        <v>5.0</v>
      </c>
      <c r="F162" s="139"/>
      <c r="G162" s="139"/>
      <c r="H162" s="154" t="s">
        <v>43</v>
      </c>
      <c r="I162" s="139"/>
      <c r="J162" s="139"/>
      <c r="K162" s="139"/>
      <c r="L162" s="151" t="s">
        <v>485</v>
      </c>
      <c r="M162" s="125"/>
      <c r="N162" s="125"/>
      <c r="O162" s="125"/>
      <c r="P162" s="127"/>
      <c r="Q162" s="127"/>
      <c r="R162" s="127"/>
      <c r="S162" s="127"/>
      <c r="T162" s="127"/>
      <c r="U162" s="127"/>
      <c r="V162" s="127"/>
      <c r="W162" s="127"/>
      <c r="X162" s="127"/>
      <c r="Y162" s="127"/>
      <c r="Z162" s="127"/>
    </row>
    <row r="163">
      <c r="A163" s="225">
        <v>23.0</v>
      </c>
      <c r="B163" s="225">
        <v>4.0</v>
      </c>
      <c r="C163" s="226" t="s">
        <v>486</v>
      </c>
      <c r="D163" s="227"/>
      <c r="E163" s="228"/>
      <c r="F163" s="228"/>
      <c r="G163" s="212" t="s">
        <v>223</v>
      </c>
      <c r="H163" s="147" t="s">
        <v>34</v>
      </c>
      <c r="I163" s="228"/>
      <c r="J163" s="228"/>
      <c r="K163" s="228"/>
      <c r="L163" s="229" t="s">
        <v>487</v>
      </c>
      <c r="M163" s="125"/>
      <c r="N163" s="125"/>
      <c r="O163" s="125"/>
      <c r="P163" s="127"/>
      <c r="Q163" s="127"/>
      <c r="R163" s="127"/>
      <c r="S163" s="127"/>
      <c r="T163" s="127"/>
      <c r="U163" s="127"/>
      <c r="V163" s="127"/>
      <c r="W163" s="127"/>
      <c r="X163" s="127"/>
      <c r="Y163" s="127"/>
      <c r="Z163" s="127"/>
    </row>
    <row r="164">
      <c r="A164" s="225">
        <v>23.0</v>
      </c>
      <c r="B164" s="225">
        <v>6.0</v>
      </c>
      <c r="C164" s="226" t="s">
        <v>486</v>
      </c>
      <c r="D164" s="227"/>
      <c r="E164" s="228"/>
      <c r="F164" s="228"/>
      <c r="G164" s="212" t="s">
        <v>223</v>
      </c>
      <c r="H164" s="147" t="s">
        <v>34</v>
      </c>
      <c r="I164" s="228"/>
      <c r="J164" s="228"/>
      <c r="K164" s="228"/>
      <c r="L164" s="229" t="s">
        <v>487</v>
      </c>
      <c r="M164" s="125"/>
      <c r="N164" s="125"/>
      <c r="O164" s="125"/>
      <c r="P164" s="127"/>
      <c r="Q164" s="127"/>
      <c r="R164" s="127"/>
      <c r="S164" s="127"/>
      <c r="T164" s="127"/>
      <c r="U164" s="127"/>
      <c r="V164" s="127"/>
      <c r="W164" s="127"/>
      <c r="X164" s="127"/>
      <c r="Y164" s="127"/>
      <c r="Z164" s="127"/>
    </row>
    <row r="165">
      <c r="A165" s="225">
        <v>23.0</v>
      </c>
      <c r="B165" s="225">
        <v>1.0</v>
      </c>
      <c r="C165" s="226" t="s">
        <v>486</v>
      </c>
      <c r="D165" s="227"/>
      <c r="E165" s="228"/>
      <c r="F165" s="228"/>
      <c r="G165" s="212" t="s">
        <v>223</v>
      </c>
      <c r="H165" s="147" t="s">
        <v>34</v>
      </c>
      <c r="I165" s="228"/>
      <c r="J165" s="228"/>
      <c r="K165" s="228"/>
      <c r="L165" s="229" t="s">
        <v>487</v>
      </c>
      <c r="M165" s="125"/>
      <c r="N165" s="125"/>
      <c r="O165" s="125"/>
      <c r="P165" s="127"/>
      <c r="Q165" s="127"/>
      <c r="R165" s="127"/>
      <c r="S165" s="127"/>
      <c r="T165" s="127"/>
      <c r="U165" s="127"/>
      <c r="V165" s="127"/>
      <c r="W165" s="127"/>
      <c r="X165" s="127"/>
      <c r="Y165" s="127"/>
      <c r="Z165" s="127"/>
    </row>
    <row r="166">
      <c r="A166" s="211">
        <v>22.0</v>
      </c>
      <c r="B166" s="211">
        <v>0.0</v>
      </c>
      <c r="C166" s="137" t="s">
        <v>488</v>
      </c>
      <c r="D166" s="138"/>
      <c r="E166" s="139"/>
      <c r="F166" s="212">
        <v>3.1</v>
      </c>
      <c r="G166" s="212" t="s">
        <v>223</v>
      </c>
      <c r="H166" s="155" t="s">
        <v>236</v>
      </c>
      <c r="I166" s="139"/>
      <c r="J166" s="139"/>
      <c r="K166" s="248" t="s">
        <v>438</v>
      </c>
      <c r="L166" s="151" t="s">
        <v>489</v>
      </c>
      <c r="M166" s="125"/>
      <c r="N166" s="125"/>
      <c r="O166" s="125"/>
      <c r="P166" s="127"/>
      <c r="Q166" s="127"/>
      <c r="R166" s="127"/>
      <c r="S166" s="127"/>
      <c r="T166" s="127"/>
      <c r="U166" s="127"/>
      <c r="V166" s="127"/>
      <c r="W166" s="127"/>
      <c r="X166" s="127"/>
      <c r="Y166" s="127"/>
      <c r="Z166" s="127"/>
    </row>
    <row r="167">
      <c r="A167" s="201">
        <v>22.0</v>
      </c>
      <c r="B167" s="201">
        <v>5.0</v>
      </c>
      <c r="C167" s="213" t="s">
        <v>490</v>
      </c>
      <c r="D167" s="214"/>
      <c r="E167" s="215"/>
      <c r="F167" s="215"/>
      <c r="G167" s="215"/>
      <c r="H167" s="155" t="s">
        <v>236</v>
      </c>
      <c r="I167" s="215"/>
      <c r="J167" s="215"/>
      <c r="K167" s="215"/>
      <c r="L167" s="216"/>
      <c r="M167" s="125"/>
      <c r="N167" s="125"/>
      <c r="O167" s="125"/>
      <c r="P167" s="127"/>
      <c r="Q167" s="127"/>
      <c r="R167" s="127"/>
      <c r="S167" s="127"/>
      <c r="T167" s="127"/>
      <c r="U167" s="127"/>
      <c r="V167" s="127"/>
      <c r="W167" s="127"/>
      <c r="X167" s="127"/>
      <c r="Y167" s="127"/>
      <c r="Z167" s="127"/>
    </row>
    <row r="168">
      <c r="A168" s="196">
        <v>22.0</v>
      </c>
      <c r="B168" s="196">
        <v>3.0</v>
      </c>
      <c r="C168" s="217" t="s">
        <v>491</v>
      </c>
      <c r="D168" s="218"/>
      <c r="E168" s="219"/>
      <c r="F168" s="219"/>
      <c r="G168" s="219"/>
      <c r="H168" s="251" t="s">
        <v>38</v>
      </c>
      <c r="I168" s="219"/>
      <c r="J168" s="219"/>
      <c r="K168" s="219"/>
      <c r="L168" s="220" t="s">
        <v>492</v>
      </c>
      <c r="M168" s="125"/>
      <c r="N168" s="125"/>
      <c r="O168" s="125"/>
      <c r="P168" s="127"/>
      <c r="Q168" s="127"/>
      <c r="R168" s="127"/>
      <c r="S168" s="127"/>
      <c r="T168" s="127"/>
      <c r="U168" s="127"/>
      <c r="V168" s="127"/>
      <c r="W168" s="127"/>
      <c r="X168" s="127"/>
      <c r="Y168" s="127"/>
      <c r="Z168" s="127"/>
    </row>
    <row r="169">
      <c r="A169" s="196">
        <v>22.0</v>
      </c>
      <c r="B169" s="196">
        <v>7.0</v>
      </c>
      <c r="C169" s="217" t="s">
        <v>491</v>
      </c>
      <c r="D169" s="218"/>
      <c r="E169" s="219"/>
      <c r="F169" s="219"/>
      <c r="G169" s="219"/>
      <c r="H169" s="251" t="s">
        <v>38</v>
      </c>
      <c r="I169" s="219"/>
      <c r="J169" s="219"/>
      <c r="K169" s="219"/>
      <c r="L169" s="220" t="s">
        <v>492</v>
      </c>
      <c r="M169" s="125"/>
      <c r="N169" s="125"/>
      <c r="O169" s="125"/>
      <c r="P169" s="127"/>
      <c r="Q169" s="127"/>
      <c r="R169" s="127"/>
      <c r="S169" s="127"/>
      <c r="T169" s="127"/>
      <c r="U169" s="127"/>
      <c r="V169" s="127"/>
      <c r="W169" s="127"/>
      <c r="X169" s="127"/>
      <c r="Y169" s="127"/>
      <c r="Z169" s="127"/>
    </row>
    <row r="170">
      <c r="A170" s="196">
        <v>22.0</v>
      </c>
      <c r="B170" s="196">
        <v>3.0</v>
      </c>
      <c r="C170" s="217" t="s">
        <v>493</v>
      </c>
      <c r="D170" s="218"/>
      <c r="E170" s="219"/>
      <c r="F170" s="219"/>
      <c r="G170" s="219"/>
      <c r="H170" s="189" t="s">
        <v>220</v>
      </c>
      <c r="I170" s="219"/>
      <c r="J170" s="219"/>
      <c r="K170" s="219"/>
      <c r="L170" s="220" t="s">
        <v>494</v>
      </c>
      <c r="M170" s="125"/>
      <c r="N170" s="125"/>
      <c r="O170" s="125"/>
      <c r="P170" s="127"/>
      <c r="Q170" s="127"/>
      <c r="R170" s="127"/>
      <c r="S170" s="127"/>
      <c r="T170" s="127"/>
      <c r="U170" s="127"/>
      <c r="V170" s="127"/>
      <c r="W170" s="127"/>
      <c r="X170" s="127"/>
      <c r="Y170" s="127"/>
      <c r="Z170" s="127"/>
    </row>
    <row r="171">
      <c r="A171" s="196">
        <v>22.0</v>
      </c>
      <c r="B171" s="196">
        <v>7.0</v>
      </c>
      <c r="C171" s="217" t="s">
        <v>493</v>
      </c>
      <c r="D171" s="218"/>
      <c r="E171" s="219"/>
      <c r="F171" s="219"/>
      <c r="G171" s="219"/>
      <c r="H171" s="189" t="s">
        <v>220</v>
      </c>
      <c r="I171" s="219"/>
      <c r="J171" s="219"/>
      <c r="K171" s="219"/>
      <c r="L171" s="220" t="s">
        <v>494</v>
      </c>
      <c r="M171" s="125"/>
      <c r="N171" s="125"/>
      <c r="O171" s="125"/>
      <c r="P171" s="127"/>
      <c r="Q171" s="127"/>
      <c r="R171" s="127"/>
      <c r="S171" s="127"/>
      <c r="T171" s="127"/>
      <c r="U171" s="127"/>
      <c r="V171" s="127"/>
      <c r="W171" s="127"/>
      <c r="X171" s="127"/>
      <c r="Y171" s="127"/>
      <c r="Z171" s="127"/>
    </row>
    <row r="172">
      <c r="A172" s="206">
        <v>22.0</v>
      </c>
      <c r="B172" s="206">
        <v>2.0</v>
      </c>
      <c r="C172" s="221" t="s">
        <v>495</v>
      </c>
      <c r="D172" s="222"/>
      <c r="E172" s="223"/>
      <c r="F172" s="223"/>
      <c r="G172" s="223"/>
      <c r="H172" s="189" t="s">
        <v>220</v>
      </c>
      <c r="I172" s="223"/>
      <c r="J172" s="223"/>
      <c r="K172" s="223"/>
      <c r="L172" s="224" t="s">
        <v>496</v>
      </c>
      <c r="M172" s="125"/>
      <c r="N172" s="125"/>
      <c r="O172" s="125"/>
      <c r="P172" s="127"/>
      <c r="Q172" s="127"/>
      <c r="R172" s="127"/>
      <c r="S172" s="127"/>
      <c r="T172" s="127"/>
      <c r="U172" s="127"/>
      <c r="V172" s="127"/>
      <c r="W172" s="127"/>
      <c r="X172" s="127"/>
      <c r="Y172" s="127"/>
      <c r="Z172" s="127"/>
    </row>
    <row r="173">
      <c r="A173" s="225">
        <v>22.0</v>
      </c>
      <c r="B173" s="225">
        <v>6.0</v>
      </c>
      <c r="C173" s="226" t="s">
        <v>497</v>
      </c>
      <c r="D173" s="227"/>
      <c r="E173" s="228"/>
      <c r="F173" s="228"/>
      <c r="G173" s="228"/>
      <c r="H173" s="147" t="s">
        <v>34</v>
      </c>
      <c r="I173" s="228"/>
      <c r="J173" s="228"/>
      <c r="K173" s="228"/>
      <c r="L173" s="229" t="s">
        <v>498</v>
      </c>
      <c r="M173" s="125"/>
      <c r="N173" s="125"/>
      <c r="O173" s="125"/>
      <c r="P173" s="127"/>
      <c r="Q173" s="127"/>
      <c r="R173" s="127"/>
      <c r="S173" s="127"/>
      <c r="T173" s="127"/>
      <c r="U173" s="127"/>
      <c r="V173" s="127"/>
      <c r="W173" s="127"/>
      <c r="X173" s="127"/>
      <c r="Y173" s="127"/>
      <c r="Z173" s="127"/>
    </row>
    <row r="174">
      <c r="A174" s="225">
        <v>22.0</v>
      </c>
      <c r="B174" s="225">
        <v>4.0</v>
      </c>
      <c r="C174" s="226" t="s">
        <v>499</v>
      </c>
      <c r="D174" s="227"/>
      <c r="E174" s="228"/>
      <c r="F174" s="228"/>
      <c r="G174" s="228"/>
      <c r="H174" s="189" t="s">
        <v>220</v>
      </c>
      <c r="I174" s="228"/>
      <c r="J174" s="228"/>
      <c r="K174" s="228"/>
      <c r="L174" s="229" t="s">
        <v>500</v>
      </c>
      <c r="M174" s="125"/>
      <c r="N174" s="125"/>
      <c r="O174" s="125"/>
      <c r="P174" s="127"/>
      <c r="Q174" s="127"/>
      <c r="R174" s="127"/>
      <c r="S174" s="127"/>
      <c r="T174" s="127"/>
      <c r="U174" s="127"/>
      <c r="V174" s="127"/>
      <c r="W174" s="127"/>
      <c r="X174" s="127"/>
      <c r="Y174" s="127"/>
      <c r="Z174" s="127"/>
    </row>
    <row r="175">
      <c r="A175" s="225">
        <v>22.0</v>
      </c>
      <c r="B175" s="225">
        <v>6.0</v>
      </c>
      <c r="C175" s="226" t="s">
        <v>499</v>
      </c>
      <c r="D175" s="227"/>
      <c r="E175" s="228"/>
      <c r="F175" s="228"/>
      <c r="G175" s="228"/>
      <c r="H175" s="189" t="s">
        <v>220</v>
      </c>
      <c r="I175" s="228"/>
      <c r="J175" s="228"/>
      <c r="K175" s="228"/>
      <c r="L175" s="229" t="s">
        <v>500</v>
      </c>
      <c r="M175" s="125"/>
      <c r="N175" s="125"/>
      <c r="O175" s="125"/>
      <c r="P175" s="127"/>
      <c r="Q175" s="127"/>
      <c r="R175" s="127"/>
      <c r="S175" s="127"/>
      <c r="T175" s="127"/>
      <c r="U175" s="127"/>
      <c r="V175" s="127"/>
      <c r="W175" s="127"/>
      <c r="X175" s="127"/>
      <c r="Y175" s="127"/>
      <c r="Z175" s="127"/>
    </row>
    <row r="176">
      <c r="A176" s="225">
        <v>22.0</v>
      </c>
      <c r="B176" s="225">
        <v>1.0</v>
      </c>
      <c r="C176" s="226" t="s">
        <v>499</v>
      </c>
      <c r="D176" s="227"/>
      <c r="E176" s="228"/>
      <c r="F176" s="228"/>
      <c r="G176" s="228"/>
      <c r="H176" s="189" t="s">
        <v>220</v>
      </c>
      <c r="I176" s="228"/>
      <c r="J176" s="228"/>
      <c r="K176" s="228"/>
      <c r="L176" s="229" t="s">
        <v>500</v>
      </c>
      <c r="M176" s="125"/>
      <c r="N176" s="125"/>
      <c r="O176" s="125"/>
      <c r="P176" s="127"/>
      <c r="Q176" s="127"/>
      <c r="R176" s="127"/>
      <c r="S176" s="127"/>
      <c r="T176" s="127"/>
      <c r="U176" s="127"/>
      <c r="V176" s="127"/>
      <c r="W176" s="127"/>
      <c r="X176" s="127"/>
      <c r="Y176" s="127"/>
      <c r="Z176" s="127"/>
    </row>
    <row r="177">
      <c r="A177" s="230">
        <v>22.0</v>
      </c>
      <c r="B177" s="230">
        <v>4.0</v>
      </c>
      <c r="C177" s="245" t="s">
        <v>501</v>
      </c>
      <c r="D177" s="156" t="s">
        <v>358</v>
      </c>
      <c r="E177" s="246"/>
      <c r="F177" s="246"/>
      <c r="G177" s="246"/>
      <c r="H177" s="189" t="s">
        <v>220</v>
      </c>
      <c r="I177" s="246"/>
      <c r="J177" s="246"/>
      <c r="K177" s="246"/>
      <c r="L177" s="247" t="s">
        <v>502</v>
      </c>
      <c r="M177" s="125"/>
      <c r="N177" s="125"/>
      <c r="O177" s="125"/>
      <c r="P177" s="127"/>
      <c r="Q177" s="127"/>
      <c r="R177" s="127"/>
      <c r="S177" s="127"/>
      <c r="T177" s="127"/>
      <c r="U177" s="127"/>
      <c r="V177" s="127"/>
      <c r="W177" s="127"/>
      <c r="X177" s="127"/>
      <c r="Y177" s="127"/>
      <c r="Z177" s="127"/>
    </row>
    <row r="178">
      <c r="A178" s="230">
        <v>22.0</v>
      </c>
      <c r="B178" s="230">
        <v>1.0</v>
      </c>
      <c r="C178" s="245" t="s">
        <v>501</v>
      </c>
      <c r="D178" s="156" t="s">
        <v>358</v>
      </c>
      <c r="E178" s="246"/>
      <c r="F178" s="246"/>
      <c r="G178" s="246"/>
      <c r="H178" s="189" t="s">
        <v>220</v>
      </c>
      <c r="I178" s="246"/>
      <c r="J178" s="246"/>
      <c r="K178" s="246"/>
      <c r="L178" s="247" t="s">
        <v>502</v>
      </c>
      <c r="M178" s="125"/>
      <c r="N178" s="125"/>
      <c r="O178" s="125"/>
      <c r="P178" s="127"/>
      <c r="Q178" s="127"/>
      <c r="R178" s="127"/>
      <c r="S178" s="127"/>
      <c r="T178" s="127"/>
      <c r="U178" s="127"/>
      <c r="V178" s="127"/>
      <c r="W178" s="127"/>
      <c r="X178" s="127"/>
      <c r="Y178" s="127"/>
      <c r="Z178" s="127"/>
    </row>
    <row r="179">
      <c r="A179" s="235">
        <v>21.0</v>
      </c>
      <c r="B179" s="235">
        <v>0.0</v>
      </c>
      <c r="C179" s="236" t="s">
        <v>503</v>
      </c>
      <c r="D179" s="237" t="s">
        <v>219</v>
      </c>
      <c r="E179" s="238"/>
      <c r="F179" s="238"/>
      <c r="G179" s="212" t="s">
        <v>223</v>
      </c>
      <c r="H179" s="155" t="s">
        <v>236</v>
      </c>
      <c r="I179" s="238"/>
      <c r="J179" s="238"/>
      <c r="K179" s="238"/>
      <c r="L179" s="240"/>
      <c r="M179" s="125"/>
      <c r="N179" s="125"/>
      <c r="O179" s="125"/>
      <c r="P179" s="127"/>
      <c r="Q179" s="127"/>
      <c r="R179" s="127"/>
      <c r="S179" s="127"/>
      <c r="T179" s="127"/>
      <c r="U179" s="127"/>
      <c r="V179" s="127"/>
      <c r="W179" s="127"/>
      <c r="X179" s="127"/>
      <c r="Y179" s="127"/>
      <c r="Z179" s="127"/>
    </row>
    <row r="180">
      <c r="A180" s="211">
        <v>21.0</v>
      </c>
      <c r="B180" s="211">
        <v>0.0</v>
      </c>
      <c r="C180" s="137" t="s">
        <v>504</v>
      </c>
      <c r="D180" s="138"/>
      <c r="E180" s="139"/>
      <c r="F180" s="139"/>
      <c r="G180" s="139"/>
      <c r="H180" s="155" t="s">
        <v>236</v>
      </c>
      <c r="I180" s="139"/>
      <c r="J180" s="139"/>
      <c r="K180" s="139"/>
      <c r="L180" s="151"/>
      <c r="M180" s="125"/>
      <c r="N180" s="125"/>
      <c r="O180" s="125"/>
      <c r="P180" s="127"/>
      <c r="Q180" s="127"/>
      <c r="R180" s="127"/>
      <c r="S180" s="127"/>
      <c r="T180" s="127"/>
      <c r="U180" s="127"/>
      <c r="V180" s="127"/>
      <c r="W180" s="127"/>
      <c r="X180" s="127"/>
      <c r="Y180" s="127"/>
      <c r="Z180" s="127"/>
    </row>
    <row r="181">
      <c r="A181" s="211">
        <v>20.0</v>
      </c>
      <c r="B181" s="211">
        <v>0.0</v>
      </c>
      <c r="C181" s="137" t="s">
        <v>505</v>
      </c>
      <c r="D181" s="138"/>
      <c r="E181" s="139"/>
      <c r="F181" s="139"/>
      <c r="G181" s="139"/>
      <c r="H181" s="141" t="s">
        <v>46</v>
      </c>
      <c r="I181" s="139"/>
      <c r="J181" s="139"/>
      <c r="K181" s="139"/>
      <c r="L181" s="151"/>
      <c r="M181" s="125"/>
      <c r="N181" s="125"/>
      <c r="O181" s="125"/>
      <c r="P181" s="127"/>
      <c r="Q181" s="127"/>
      <c r="R181" s="127"/>
      <c r="S181" s="127"/>
      <c r="T181" s="127"/>
      <c r="U181" s="127"/>
      <c r="V181" s="127"/>
      <c r="W181" s="127"/>
      <c r="X181" s="127"/>
      <c r="Y181" s="127"/>
      <c r="Z181" s="127"/>
    </row>
    <row r="182">
      <c r="A182" s="211">
        <v>20.0</v>
      </c>
      <c r="B182" s="211">
        <v>0.0</v>
      </c>
      <c r="C182" s="137" t="s">
        <v>506</v>
      </c>
      <c r="D182" s="138"/>
      <c r="E182" s="139"/>
      <c r="F182" s="139"/>
      <c r="G182" s="139"/>
      <c r="H182" s="155" t="s">
        <v>236</v>
      </c>
      <c r="I182" s="139"/>
      <c r="J182" s="139"/>
      <c r="K182" s="139"/>
      <c r="L182" s="151"/>
      <c r="M182" s="125"/>
      <c r="N182" s="125"/>
      <c r="O182" s="125"/>
      <c r="P182" s="127"/>
      <c r="Q182" s="127"/>
      <c r="R182" s="127"/>
      <c r="S182" s="127"/>
      <c r="T182" s="127"/>
      <c r="U182" s="127"/>
      <c r="V182" s="127"/>
      <c r="W182" s="127"/>
      <c r="X182" s="127"/>
      <c r="Y182" s="127"/>
      <c r="Z182" s="127"/>
    </row>
    <row r="183">
      <c r="A183" s="235">
        <v>20.0</v>
      </c>
      <c r="B183" s="235">
        <v>0.0</v>
      </c>
      <c r="C183" s="236" t="s">
        <v>507</v>
      </c>
      <c r="D183" s="237" t="s">
        <v>219</v>
      </c>
      <c r="E183" s="238"/>
      <c r="F183" s="238"/>
      <c r="G183" s="212" t="s">
        <v>223</v>
      </c>
      <c r="H183" s="189" t="s">
        <v>220</v>
      </c>
      <c r="I183" s="238"/>
      <c r="J183" s="252" t="s">
        <v>508</v>
      </c>
      <c r="K183" s="238"/>
      <c r="L183" s="240" t="s">
        <v>509</v>
      </c>
      <c r="M183" s="125"/>
      <c r="N183" s="125"/>
      <c r="O183" s="125"/>
      <c r="P183" s="127"/>
      <c r="Q183" s="127"/>
      <c r="R183" s="127"/>
      <c r="S183" s="127"/>
      <c r="T183" s="127"/>
      <c r="U183" s="127"/>
      <c r="V183" s="127"/>
      <c r="W183" s="127"/>
      <c r="X183" s="127"/>
      <c r="Y183" s="127"/>
      <c r="Z183" s="127"/>
    </row>
    <row r="184">
      <c r="A184" s="185">
        <v>19.0</v>
      </c>
      <c r="B184" s="185">
        <v>0.0</v>
      </c>
      <c r="C184" s="236" t="s">
        <v>510</v>
      </c>
      <c r="D184" s="237" t="s">
        <v>219</v>
      </c>
      <c r="E184" s="238"/>
      <c r="F184" s="238"/>
      <c r="G184" s="238"/>
      <c r="H184" s="155" t="s">
        <v>236</v>
      </c>
      <c r="I184" s="238"/>
      <c r="J184" s="238"/>
      <c r="K184" s="238"/>
      <c r="L184" s="240" t="s">
        <v>511</v>
      </c>
      <c r="M184" s="125"/>
      <c r="N184" s="125"/>
      <c r="O184" s="125"/>
      <c r="P184" s="127"/>
      <c r="Q184" s="127"/>
      <c r="R184" s="127"/>
      <c r="S184" s="127"/>
      <c r="T184" s="127"/>
      <c r="U184" s="127"/>
      <c r="V184" s="127"/>
      <c r="W184" s="127"/>
      <c r="X184" s="127"/>
      <c r="Y184" s="127"/>
      <c r="Z184" s="127"/>
    </row>
    <row r="185">
      <c r="A185" s="136">
        <v>19.0</v>
      </c>
      <c r="B185" s="136">
        <v>2.0</v>
      </c>
      <c r="C185" s="137" t="s">
        <v>512</v>
      </c>
      <c r="D185" s="138"/>
      <c r="E185" s="139"/>
      <c r="F185" s="212">
        <v>2.6</v>
      </c>
      <c r="G185" s="139"/>
      <c r="H185" s="154" t="s">
        <v>43</v>
      </c>
      <c r="I185" s="139"/>
      <c r="J185" s="139"/>
      <c r="K185" s="252" t="s">
        <v>513</v>
      </c>
      <c r="L185" s="151" t="s">
        <v>514</v>
      </c>
      <c r="M185" s="125"/>
      <c r="N185" s="125"/>
      <c r="O185" s="125"/>
      <c r="P185" s="127"/>
      <c r="Q185" s="127"/>
      <c r="R185" s="127"/>
      <c r="S185" s="127"/>
      <c r="T185" s="127"/>
      <c r="U185" s="127"/>
      <c r="V185" s="127"/>
      <c r="W185" s="127"/>
      <c r="X185" s="127"/>
      <c r="Y185" s="127"/>
      <c r="Z185" s="127"/>
    </row>
    <row r="186">
      <c r="A186" s="136">
        <v>19.0</v>
      </c>
      <c r="B186" s="136">
        <v>3.0</v>
      </c>
      <c r="C186" s="137" t="s">
        <v>512</v>
      </c>
      <c r="D186" s="138"/>
      <c r="E186" s="139"/>
      <c r="F186" s="212">
        <v>2.6</v>
      </c>
      <c r="G186" s="139"/>
      <c r="H186" s="154" t="s">
        <v>43</v>
      </c>
      <c r="I186" s="139"/>
      <c r="J186" s="139"/>
      <c r="K186" s="252" t="s">
        <v>513</v>
      </c>
      <c r="L186" s="151" t="s">
        <v>514</v>
      </c>
      <c r="M186" s="125"/>
      <c r="N186" s="125"/>
      <c r="O186" s="125"/>
      <c r="P186" s="127"/>
      <c r="Q186" s="127"/>
      <c r="R186" s="127"/>
      <c r="S186" s="127"/>
      <c r="T186" s="127"/>
      <c r="U186" s="127"/>
      <c r="V186" s="127"/>
      <c r="W186" s="127"/>
      <c r="X186" s="127"/>
      <c r="Y186" s="127"/>
      <c r="Z186" s="127"/>
    </row>
    <row r="187">
      <c r="A187" s="136">
        <v>19.0</v>
      </c>
      <c r="B187" s="136">
        <v>4.0</v>
      </c>
      <c r="C187" s="137" t="s">
        <v>512</v>
      </c>
      <c r="D187" s="138"/>
      <c r="E187" s="139"/>
      <c r="F187" s="212">
        <v>2.6</v>
      </c>
      <c r="G187" s="139"/>
      <c r="H187" s="154" t="s">
        <v>43</v>
      </c>
      <c r="I187" s="139"/>
      <c r="J187" s="139"/>
      <c r="K187" s="252" t="s">
        <v>513</v>
      </c>
      <c r="L187" s="151" t="s">
        <v>514</v>
      </c>
      <c r="M187" s="125"/>
      <c r="N187" s="125"/>
      <c r="O187" s="125"/>
      <c r="P187" s="127"/>
      <c r="Q187" s="127"/>
      <c r="R187" s="127"/>
      <c r="S187" s="127"/>
      <c r="T187" s="127"/>
      <c r="U187" s="127"/>
      <c r="V187" s="127"/>
      <c r="W187" s="127"/>
      <c r="X187" s="127"/>
      <c r="Y187" s="127"/>
      <c r="Z187" s="127"/>
    </row>
    <row r="188">
      <c r="A188" s="136">
        <v>19.0</v>
      </c>
      <c r="B188" s="136">
        <v>5.0</v>
      </c>
      <c r="C188" s="137" t="s">
        <v>512</v>
      </c>
      <c r="D188" s="138"/>
      <c r="E188" s="139"/>
      <c r="F188" s="212">
        <v>2.6</v>
      </c>
      <c r="G188" s="139"/>
      <c r="H188" s="154" t="s">
        <v>43</v>
      </c>
      <c r="I188" s="139"/>
      <c r="J188" s="139"/>
      <c r="K188" s="139"/>
      <c r="L188" s="151" t="s">
        <v>515</v>
      </c>
      <c r="M188" s="125"/>
      <c r="N188" s="125"/>
      <c r="O188" s="125"/>
      <c r="P188" s="127"/>
      <c r="Q188" s="127"/>
      <c r="R188" s="127"/>
      <c r="S188" s="127"/>
      <c r="T188" s="127"/>
      <c r="U188" s="127"/>
      <c r="V188" s="127"/>
      <c r="W188" s="127"/>
      <c r="X188" s="127"/>
      <c r="Y188" s="127"/>
      <c r="Z188" s="127"/>
    </row>
    <row r="189">
      <c r="A189" s="136">
        <v>19.0</v>
      </c>
      <c r="B189" s="136">
        <v>6.0</v>
      </c>
      <c r="C189" s="137" t="s">
        <v>512</v>
      </c>
      <c r="D189" s="138"/>
      <c r="E189" s="139"/>
      <c r="F189" s="212">
        <v>2.6</v>
      </c>
      <c r="G189" s="139"/>
      <c r="H189" s="154" t="s">
        <v>43</v>
      </c>
      <c r="I189" s="139"/>
      <c r="J189" s="139"/>
      <c r="K189" s="252" t="s">
        <v>513</v>
      </c>
      <c r="L189" s="151" t="s">
        <v>514</v>
      </c>
      <c r="M189" s="125"/>
      <c r="N189" s="125"/>
      <c r="O189" s="125"/>
      <c r="P189" s="127"/>
      <c r="Q189" s="127"/>
      <c r="R189" s="127"/>
      <c r="S189" s="127"/>
      <c r="T189" s="127"/>
      <c r="U189" s="127"/>
      <c r="V189" s="127"/>
      <c r="W189" s="127"/>
      <c r="X189" s="127"/>
      <c r="Y189" s="127"/>
      <c r="Z189" s="127"/>
    </row>
    <row r="190">
      <c r="A190" s="136">
        <v>19.0</v>
      </c>
      <c r="B190" s="136">
        <v>7.0</v>
      </c>
      <c r="C190" s="137" t="s">
        <v>512</v>
      </c>
      <c r="D190" s="138"/>
      <c r="E190" s="139"/>
      <c r="F190" s="212">
        <v>2.6</v>
      </c>
      <c r="G190" s="139"/>
      <c r="H190" s="154" t="s">
        <v>43</v>
      </c>
      <c r="I190" s="139"/>
      <c r="J190" s="139"/>
      <c r="K190" s="252" t="s">
        <v>513</v>
      </c>
      <c r="L190" s="151" t="s">
        <v>514</v>
      </c>
      <c r="M190" s="125"/>
      <c r="N190" s="125"/>
      <c r="O190" s="125"/>
      <c r="P190" s="127"/>
      <c r="Q190" s="127"/>
      <c r="R190" s="127"/>
      <c r="S190" s="127"/>
      <c r="T190" s="127"/>
      <c r="U190" s="127"/>
      <c r="V190" s="127"/>
      <c r="W190" s="127"/>
      <c r="X190" s="127"/>
      <c r="Y190" s="127"/>
      <c r="Z190" s="127"/>
    </row>
    <row r="191">
      <c r="A191" s="136">
        <v>19.0</v>
      </c>
      <c r="B191" s="136">
        <v>1.0</v>
      </c>
      <c r="C191" s="137" t="s">
        <v>512</v>
      </c>
      <c r="D191" s="138"/>
      <c r="E191" s="139"/>
      <c r="F191" s="212">
        <v>2.6</v>
      </c>
      <c r="G191" s="139"/>
      <c r="H191" s="154" t="s">
        <v>43</v>
      </c>
      <c r="I191" s="139"/>
      <c r="J191" s="139"/>
      <c r="K191" s="252" t="s">
        <v>513</v>
      </c>
      <c r="L191" s="151" t="s">
        <v>514</v>
      </c>
      <c r="M191" s="125"/>
      <c r="N191" s="125"/>
      <c r="O191" s="125"/>
      <c r="P191" s="127"/>
      <c r="Q191" s="127"/>
      <c r="R191" s="127"/>
      <c r="S191" s="127"/>
      <c r="T191" s="127"/>
      <c r="U191" s="127"/>
      <c r="V191" s="127"/>
      <c r="W191" s="127"/>
      <c r="X191" s="127"/>
      <c r="Y191" s="127"/>
      <c r="Z191" s="127"/>
    </row>
    <row r="192">
      <c r="A192" s="136">
        <v>19.0</v>
      </c>
      <c r="B192" s="136">
        <v>3.0</v>
      </c>
      <c r="C192" s="137" t="s">
        <v>516</v>
      </c>
      <c r="D192" s="138"/>
      <c r="E192" s="139"/>
      <c r="F192" s="139"/>
      <c r="G192" s="212" t="s">
        <v>223</v>
      </c>
      <c r="H192" s="155" t="s">
        <v>236</v>
      </c>
      <c r="I192" s="139"/>
      <c r="J192" s="139"/>
      <c r="K192" s="139"/>
      <c r="L192" s="151" t="s">
        <v>517</v>
      </c>
      <c r="M192" s="125"/>
      <c r="N192" s="125"/>
      <c r="O192" s="125"/>
      <c r="P192" s="127"/>
      <c r="Q192" s="127"/>
      <c r="R192" s="127"/>
      <c r="S192" s="127"/>
      <c r="T192" s="127"/>
      <c r="U192" s="127"/>
      <c r="V192" s="127"/>
      <c r="W192" s="127"/>
      <c r="X192" s="127"/>
      <c r="Y192" s="127"/>
      <c r="Z192" s="127"/>
    </row>
    <row r="193">
      <c r="A193" s="136">
        <v>19.0</v>
      </c>
      <c r="B193" s="136">
        <v>4.0</v>
      </c>
      <c r="C193" s="137" t="s">
        <v>516</v>
      </c>
      <c r="D193" s="138"/>
      <c r="E193" s="139"/>
      <c r="F193" s="139"/>
      <c r="G193" s="212" t="s">
        <v>223</v>
      </c>
      <c r="H193" s="155" t="s">
        <v>236</v>
      </c>
      <c r="I193" s="139"/>
      <c r="J193" s="139"/>
      <c r="K193" s="139"/>
      <c r="L193" s="151" t="s">
        <v>517</v>
      </c>
      <c r="M193" s="125"/>
      <c r="N193" s="125"/>
      <c r="O193" s="125"/>
      <c r="P193" s="127"/>
      <c r="Q193" s="127"/>
      <c r="R193" s="127"/>
      <c r="S193" s="127"/>
      <c r="T193" s="127"/>
      <c r="U193" s="127"/>
      <c r="V193" s="127"/>
      <c r="W193" s="127"/>
      <c r="X193" s="127"/>
      <c r="Y193" s="127"/>
      <c r="Z193" s="127"/>
    </row>
    <row r="194">
      <c r="A194" s="136">
        <v>19.0</v>
      </c>
      <c r="B194" s="136">
        <v>5.0</v>
      </c>
      <c r="C194" s="137" t="s">
        <v>516</v>
      </c>
      <c r="D194" s="138"/>
      <c r="E194" s="139"/>
      <c r="F194" s="139"/>
      <c r="G194" s="212" t="s">
        <v>223</v>
      </c>
      <c r="H194" s="155" t="s">
        <v>236</v>
      </c>
      <c r="I194" s="139"/>
      <c r="J194" s="139"/>
      <c r="K194" s="139"/>
      <c r="L194" s="151" t="s">
        <v>517</v>
      </c>
      <c r="M194" s="125"/>
      <c r="N194" s="125"/>
      <c r="O194" s="125"/>
      <c r="P194" s="127"/>
      <c r="Q194" s="127"/>
      <c r="R194" s="127"/>
      <c r="S194" s="127"/>
      <c r="T194" s="127"/>
      <c r="U194" s="127"/>
      <c r="V194" s="127"/>
      <c r="W194" s="127"/>
      <c r="X194" s="127"/>
      <c r="Y194" s="127"/>
      <c r="Z194" s="127"/>
    </row>
    <row r="195">
      <c r="A195" s="136">
        <v>19.0</v>
      </c>
      <c r="B195" s="136">
        <v>6.0</v>
      </c>
      <c r="C195" s="137" t="s">
        <v>516</v>
      </c>
      <c r="D195" s="138"/>
      <c r="E195" s="139"/>
      <c r="F195" s="139"/>
      <c r="G195" s="212" t="s">
        <v>223</v>
      </c>
      <c r="H195" s="155" t="s">
        <v>236</v>
      </c>
      <c r="I195" s="139"/>
      <c r="J195" s="139"/>
      <c r="K195" s="139"/>
      <c r="L195" s="151" t="s">
        <v>517</v>
      </c>
      <c r="M195" s="125"/>
      <c r="N195" s="125"/>
      <c r="O195" s="125"/>
      <c r="P195" s="127"/>
      <c r="Q195" s="127"/>
      <c r="R195" s="127"/>
      <c r="S195" s="127"/>
      <c r="T195" s="127"/>
      <c r="U195" s="127"/>
      <c r="V195" s="127"/>
      <c r="W195" s="127"/>
      <c r="X195" s="127"/>
      <c r="Y195" s="127"/>
      <c r="Z195" s="127"/>
    </row>
    <row r="196">
      <c r="A196" s="136">
        <v>19.0</v>
      </c>
      <c r="B196" s="136">
        <v>7.0</v>
      </c>
      <c r="C196" s="137" t="s">
        <v>516</v>
      </c>
      <c r="D196" s="138"/>
      <c r="E196" s="139"/>
      <c r="F196" s="139"/>
      <c r="G196" s="212" t="s">
        <v>223</v>
      </c>
      <c r="H196" s="155" t="s">
        <v>236</v>
      </c>
      <c r="I196" s="139"/>
      <c r="J196" s="139"/>
      <c r="K196" s="139"/>
      <c r="L196" s="151" t="s">
        <v>517</v>
      </c>
      <c r="M196" s="125"/>
      <c r="N196" s="125"/>
      <c r="O196" s="125"/>
      <c r="P196" s="127"/>
      <c r="Q196" s="127"/>
      <c r="R196" s="127"/>
      <c r="S196" s="127"/>
      <c r="T196" s="127"/>
      <c r="U196" s="127"/>
      <c r="V196" s="127"/>
      <c r="W196" s="127"/>
      <c r="X196" s="127"/>
      <c r="Y196" s="127"/>
      <c r="Z196" s="127"/>
    </row>
    <row r="197">
      <c r="A197" s="136">
        <v>19.0</v>
      </c>
      <c r="B197" s="136">
        <v>1.0</v>
      </c>
      <c r="C197" s="137" t="s">
        <v>516</v>
      </c>
      <c r="D197" s="138"/>
      <c r="E197" s="139"/>
      <c r="F197" s="139"/>
      <c r="G197" s="212" t="s">
        <v>223</v>
      </c>
      <c r="H197" s="155" t="s">
        <v>236</v>
      </c>
      <c r="I197" s="139"/>
      <c r="J197" s="139"/>
      <c r="K197" s="139"/>
      <c r="L197" s="151" t="s">
        <v>517</v>
      </c>
      <c r="M197" s="125"/>
      <c r="N197" s="125"/>
      <c r="O197" s="125"/>
      <c r="P197" s="127"/>
      <c r="Q197" s="127"/>
      <c r="R197" s="127"/>
      <c r="S197" s="127"/>
      <c r="T197" s="127"/>
      <c r="U197" s="127"/>
      <c r="V197" s="127"/>
      <c r="W197" s="127"/>
      <c r="X197" s="127"/>
      <c r="Y197" s="127"/>
      <c r="Z197" s="127"/>
    </row>
    <row r="198">
      <c r="A198" s="206">
        <v>19.0</v>
      </c>
      <c r="B198" s="206">
        <v>2.0</v>
      </c>
      <c r="C198" s="221" t="s">
        <v>518</v>
      </c>
      <c r="D198" s="222"/>
      <c r="E198" s="223"/>
      <c r="F198" s="223"/>
      <c r="G198" s="223"/>
      <c r="H198" s="155" t="s">
        <v>236</v>
      </c>
      <c r="I198" s="223"/>
      <c r="J198" s="223"/>
      <c r="K198" s="223"/>
      <c r="L198" s="224"/>
      <c r="M198" s="125"/>
      <c r="N198" s="125"/>
      <c r="O198" s="125"/>
      <c r="P198" s="127"/>
      <c r="Q198" s="127"/>
      <c r="R198" s="127"/>
      <c r="S198" s="127"/>
      <c r="T198" s="127"/>
      <c r="U198" s="127"/>
      <c r="V198" s="127"/>
      <c r="W198" s="127"/>
      <c r="X198" s="127"/>
      <c r="Y198" s="127"/>
      <c r="Z198" s="127"/>
    </row>
    <row r="199">
      <c r="A199" s="211">
        <v>18.0</v>
      </c>
      <c r="B199" s="211">
        <v>0.0</v>
      </c>
      <c r="C199" s="137" t="s">
        <v>519</v>
      </c>
      <c r="D199" s="138"/>
      <c r="E199" s="139"/>
      <c r="F199" s="212">
        <v>2.5</v>
      </c>
      <c r="G199" s="139"/>
      <c r="H199" s="155" t="s">
        <v>236</v>
      </c>
      <c r="I199" s="139"/>
      <c r="J199" s="139"/>
      <c r="K199" s="252" t="s">
        <v>513</v>
      </c>
      <c r="L199" s="151" t="s">
        <v>520</v>
      </c>
      <c r="M199" s="125"/>
      <c r="N199" s="125"/>
      <c r="O199" s="125"/>
      <c r="P199" s="127"/>
      <c r="Q199" s="127"/>
      <c r="R199" s="127"/>
      <c r="S199" s="127"/>
      <c r="T199" s="127"/>
      <c r="U199" s="127"/>
      <c r="V199" s="127"/>
      <c r="W199" s="127"/>
      <c r="X199" s="127"/>
      <c r="Y199" s="127"/>
      <c r="Z199" s="127"/>
    </row>
    <row r="200">
      <c r="A200" s="211">
        <v>18.0</v>
      </c>
      <c r="B200" s="211">
        <v>0.0</v>
      </c>
      <c r="C200" s="137" t="s">
        <v>521</v>
      </c>
      <c r="D200" s="138"/>
      <c r="E200" s="139"/>
      <c r="F200" s="139"/>
      <c r="G200" s="139"/>
      <c r="H200" s="155" t="s">
        <v>236</v>
      </c>
      <c r="I200" s="139"/>
      <c r="J200" s="139"/>
      <c r="K200" s="139"/>
      <c r="L200" s="151"/>
      <c r="M200" s="125"/>
      <c r="N200" s="125"/>
      <c r="O200" s="125"/>
      <c r="P200" s="127"/>
      <c r="Q200" s="127"/>
      <c r="R200" s="127"/>
      <c r="S200" s="127"/>
      <c r="T200" s="127"/>
      <c r="U200" s="127"/>
      <c r="V200" s="127"/>
      <c r="W200" s="127"/>
      <c r="X200" s="127"/>
      <c r="Y200" s="127"/>
      <c r="Z200" s="127"/>
    </row>
    <row r="201">
      <c r="A201" s="201">
        <v>18.0</v>
      </c>
      <c r="B201" s="201">
        <v>5.0</v>
      </c>
      <c r="C201" s="213" t="s">
        <v>522</v>
      </c>
      <c r="D201" s="214"/>
      <c r="E201" s="215"/>
      <c r="F201" s="215"/>
      <c r="G201" s="215"/>
      <c r="H201" s="147" t="s">
        <v>34</v>
      </c>
      <c r="I201" s="215"/>
      <c r="J201" s="215"/>
      <c r="K201" s="215"/>
      <c r="L201" s="216"/>
      <c r="M201" s="125"/>
      <c r="N201" s="125"/>
      <c r="O201" s="125"/>
      <c r="P201" s="127"/>
      <c r="Q201" s="127"/>
      <c r="R201" s="127"/>
      <c r="S201" s="127"/>
      <c r="T201" s="127"/>
      <c r="U201" s="127"/>
      <c r="V201" s="127"/>
      <c r="W201" s="127"/>
      <c r="X201" s="127"/>
      <c r="Y201" s="127"/>
      <c r="Z201" s="127"/>
    </row>
    <row r="202">
      <c r="A202" s="206">
        <v>18.0</v>
      </c>
      <c r="B202" s="206">
        <v>2.0</v>
      </c>
      <c r="C202" s="221" t="s">
        <v>523</v>
      </c>
      <c r="D202" s="222"/>
      <c r="E202" s="223"/>
      <c r="F202" s="223"/>
      <c r="G202" s="212" t="s">
        <v>223</v>
      </c>
      <c r="H202" s="150" t="s">
        <v>38</v>
      </c>
      <c r="I202" s="223"/>
      <c r="J202" s="223"/>
      <c r="K202" s="223"/>
      <c r="L202" s="224" t="s">
        <v>511</v>
      </c>
      <c r="M202" s="125"/>
      <c r="N202" s="125"/>
      <c r="O202" s="125"/>
      <c r="P202" s="127"/>
      <c r="Q202" s="127"/>
      <c r="R202" s="127"/>
      <c r="S202" s="127"/>
      <c r="T202" s="127"/>
      <c r="U202" s="127"/>
      <c r="V202" s="127"/>
      <c r="W202" s="127"/>
      <c r="X202" s="127"/>
      <c r="Y202" s="127"/>
      <c r="Z202" s="127"/>
    </row>
    <row r="203">
      <c r="A203" s="211">
        <v>17.0</v>
      </c>
      <c r="B203" s="211">
        <v>0.0</v>
      </c>
      <c r="C203" s="137" t="s">
        <v>524</v>
      </c>
      <c r="D203" s="138"/>
      <c r="E203" s="139"/>
      <c r="F203" s="212">
        <v>2.4</v>
      </c>
      <c r="G203" s="212" t="s">
        <v>223</v>
      </c>
      <c r="H203" s="153" t="s">
        <v>45</v>
      </c>
      <c r="I203" s="139"/>
      <c r="J203" s="139"/>
      <c r="K203" s="139"/>
      <c r="L203" s="151"/>
      <c r="M203" s="125"/>
      <c r="N203" s="125"/>
      <c r="O203" s="125"/>
      <c r="P203" s="127"/>
      <c r="Q203" s="127"/>
      <c r="R203" s="127"/>
      <c r="S203" s="127"/>
      <c r="T203" s="127"/>
      <c r="U203" s="127"/>
      <c r="V203" s="127"/>
      <c r="W203" s="127"/>
      <c r="X203" s="127"/>
      <c r="Y203" s="127"/>
      <c r="Z203" s="127"/>
    </row>
    <row r="204">
      <c r="A204" s="136">
        <v>17.0</v>
      </c>
      <c r="B204" s="136">
        <v>2.0</v>
      </c>
      <c r="C204" s="137" t="s">
        <v>525</v>
      </c>
      <c r="D204" s="138"/>
      <c r="E204" s="139"/>
      <c r="F204" s="139"/>
      <c r="G204" s="139"/>
      <c r="H204" s="189" t="s">
        <v>220</v>
      </c>
      <c r="I204" s="156" t="s">
        <v>336</v>
      </c>
      <c r="J204" s="139"/>
      <c r="K204" s="139"/>
      <c r="L204" s="151" t="s">
        <v>526</v>
      </c>
      <c r="M204" s="125"/>
      <c r="N204" s="125"/>
      <c r="O204" s="125"/>
      <c r="P204" s="127"/>
      <c r="Q204" s="127"/>
      <c r="R204" s="127"/>
      <c r="S204" s="127"/>
      <c r="T204" s="127"/>
      <c r="U204" s="127"/>
      <c r="V204" s="127"/>
      <c r="W204" s="127"/>
      <c r="X204" s="127"/>
      <c r="Y204" s="127"/>
      <c r="Z204" s="127"/>
    </row>
    <row r="205">
      <c r="A205" s="136">
        <v>17.0</v>
      </c>
      <c r="B205" s="136">
        <v>3.0</v>
      </c>
      <c r="C205" s="137" t="s">
        <v>525</v>
      </c>
      <c r="D205" s="138"/>
      <c r="E205" s="139"/>
      <c r="F205" s="139"/>
      <c r="G205" s="139"/>
      <c r="H205" s="189" t="s">
        <v>220</v>
      </c>
      <c r="I205" s="156" t="s">
        <v>336</v>
      </c>
      <c r="J205" s="139"/>
      <c r="K205" s="139"/>
      <c r="L205" s="151" t="s">
        <v>526</v>
      </c>
      <c r="M205" s="125"/>
      <c r="N205" s="125"/>
      <c r="O205" s="125"/>
      <c r="P205" s="127"/>
      <c r="Q205" s="127"/>
      <c r="R205" s="127"/>
      <c r="S205" s="127"/>
      <c r="T205" s="127"/>
      <c r="U205" s="127"/>
      <c r="V205" s="127"/>
      <c r="W205" s="127"/>
      <c r="X205" s="127"/>
      <c r="Y205" s="127"/>
      <c r="Z205" s="127"/>
    </row>
    <row r="206">
      <c r="A206" s="136">
        <v>17.0</v>
      </c>
      <c r="B206" s="136">
        <v>5.0</v>
      </c>
      <c r="C206" s="137" t="s">
        <v>525</v>
      </c>
      <c r="D206" s="138"/>
      <c r="E206" s="139"/>
      <c r="F206" s="139"/>
      <c r="G206" s="139"/>
      <c r="H206" s="189" t="s">
        <v>220</v>
      </c>
      <c r="I206" s="156" t="s">
        <v>336</v>
      </c>
      <c r="J206" s="139"/>
      <c r="K206" s="139"/>
      <c r="L206" s="151" t="s">
        <v>526</v>
      </c>
      <c r="M206" s="125"/>
      <c r="N206" s="125"/>
      <c r="O206" s="125"/>
      <c r="P206" s="127"/>
      <c r="Q206" s="127"/>
      <c r="R206" s="127"/>
      <c r="S206" s="127"/>
      <c r="T206" s="127"/>
      <c r="U206" s="127"/>
      <c r="V206" s="127"/>
      <c r="W206" s="127"/>
      <c r="X206" s="127"/>
      <c r="Y206" s="127"/>
      <c r="Z206" s="127"/>
    </row>
    <row r="207">
      <c r="A207" s="136">
        <v>17.0</v>
      </c>
      <c r="B207" s="136">
        <v>6.0</v>
      </c>
      <c r="C207" s="137" t="s">
        <v>525</v>
      </c>
      <c r="D207" s="138"/>
      <c r="E207" s="139"/>
      <c r="F207" s="139"/>
      <c r="G207" s="139"/>
      <c r="H207" s="189" t="s">
        <v>220</v>
      </c>
      <c r="I207" s="156" t="s">
        <v>336</v>
      </c>
      <c r="J207" s="139"/>
      <c r="K207" s="139"/>
      <c r="L207" s="151" t="s">
        <v>526</v>
      </c>
      <c r="M207" s="125"/>
      <c r="N207" s="125"/>
      <c r="O207" s="125"/>
      <c r="P207" s="127"/>
      <c r="Q207" s="127"/>
      <c r="R207" s="127"/>
      <c r="S207" s="127"/>
      <c r="T207" s="127"/>
      <c r="U207" s="127"/>
      <c r="V207" s="127"/>
      <c r="W207" s="127"/>
      <c r="X207" s="127"/>
      <c r="Y207" s="127"/>
      <c r="Z207" s="127"/>
    </row>
    <row r="208">
      <c r="A208" s="136">
        <v>17.0</v>
      </c>
      <c r="B208" s="136">
        <v>7.0</v>
      </c>
      <c r="C208" s="137" t="s">
        <v>525</v>
      </c>
      <c r="D208" s="138"/>
      <c r="E208" s="139"/>
      <c r="F208" s="139"/>
      <c r="G208" s="139"/>
      <c r="H208" s="189" t="s">
        <v>220</v>
      </c>
      <c r="I208" s="156" t="s">
        <v>336</v>
      </c>
      <c r="J208" s="139"/>
      <c r="K208" s="139"/>
      <c r="L208" s="151" t="s">
        <v>526</v>
      </c>
      <c r="M208" s="125"/>
      <c r="N208" s="125"/>
      <c r="O208" s="125"/>
      <c r="P208" s="127"/>
      <c r="Q208" s="127"/>
      <c r="R208" s="127"/>
      <c r="S208" s="127"/>
      <c r="T208" s="127"/>
      <c r="U208" s="127"/>
      <c r="V208" s="127"/>
      <c r="W208" s="127"/>
      <c r="X208" s="127"/>
      <c r="Y208" s="127"/>
      <c r="Z208" s="127"/>
    </row>
    <row r="209">
      <c r="A209" s="206">
        <v>17.0</v>
      </c>
      <c r="B209" s="206">
        <v>2.0</v>
      </c>
      <c r="C209" s="221" t="s">
        <v>527</v>
      </c>
      <c r="D209" s="222"/>
      <c r="E209" s="223"/>
      <c r="F209" s="223"/>
      <c r="G209" s="223"/>
      <c r="H209" s="153" t="s">
        <v>45</v>
      </c>
      <c r="I209" s="223"/>
      <c r="J209" s="223"/>
      <c r="K209" s="223"/>
      <c r="L209" s="224"/>
      <c r="M209" s="125"/>
      <c r="N209" s="125"/>
      <c r="O209" s="125"/>
      <c r="P209" s="127"/>
      <c r="Q209" s="127"/>
      <c r="R209" s="127"/>
      <c r="S209" s="127"/>
      <c r="T209" s="127"/>
      <c r="U209" s="127"/>
      <c r="V209" s="127"/>
      <c r="W209" s="127"/>
      <c r="X209" s="127"/>
      <c r="Y209" s="127"/>
      <c r="Z209" s="127"/>
    </row>
    <row r="210">
      <c r="A210" s="230">
        <v>17.0</v>
      </c>
      <c r="B210" s="230">
        <v>4.0</v>
      </c>
      <c r="C210" s="245" t="s">
        <v>528</v>
      </c>
      <c r="D210" s="156" t="s">
        <v>358</v>
      </c>
      <c r="E210" s="246"/>
      <c r="F210" s="246"/>
      <c r="G210" s="246"/>
      <c r="H210" s="189" t="s">
        <v>220</v>
      </c>
      <c r="I210" s="246"/>
      <c r="J210" s="233" t="s">
        <v>529</v>
      </c>
      <c r="K210" s="246"/>
      <c r="L210" s="247" t="s">
        <v>530</v>
      </c>
      <c r="M210" s="125"/>
      <c r="N210" s="125"/>
      <c r="O210" s="125"/>
      <c r="P210" s="127"/>
      <c r="Q210" s="127"/>
      <c r="R210" s="127"/>
      <c r="S210" s="127"/>
      <c r="T210" s="127"/>
      <c r="U210" s="127"/>
      <c r="V210" s="127"/>
      <c r="W210" s="127"/>
      <c r="X210" s="127"/>
      <c r="Y210" s="127"/>
      <c r="Z210" s="127"/>
    </row>
    <row r="211">
      <c r="A211" s="230">
        <v>17.0</v>
      </c>
      <c r="B211" s="230">
        <v>1.0</v>
      </c>
      <c r="C211" s="245" t="s">
        <v>528</v>
      </c>
      <c r="D211" s="156" t="s">
        <v>358</v>
      </c>
      <c r="E211" s="246"/>
      <c r="F211" s="246"/>
      <c r="G211" s="246"/>
      <c r="H211" s="189" t="s">
        <v>220</v>
      </c>
      <c r="I211" s="246"/>
      <c r="J211" s="233" t="s">
        <v>529</v>
      </c>
      <c r="K211" s="246"/>
      <c r="L211" s="247" t="s">
        <v>530</v>
      </c>
      <c r="M211" s="125"/>
      <c r="N211" s="125"/>
      <c r="O211" s="125"/>
      <c r="P211" s="127"/>
      <c r="Q211" s="127"/>
      <c r="R211" s="127"/>
      <c r="S211" s="127"/>
      <c r="T211" s="127"/>
      <c r="U211" s="127"/>
      <c r="V211" s="127"/>
      <c r="W211" s="127"/>
      <c r="X211" s="127"/>
      <c r="Y211" s="127"/>
      <c r="Z211" s="127"/>
    </row>
    <row r="212">
      <c r="A212" s="235">
        <v>16.0</v>
      </c>
      <c r="B212" s="235">
        <v>0.0</v>
      </c>
      <c r="C212" s="236" t="s">
        <v>531</v>
      </c>
      <c r="D212" s="237" t="s">
        <v>219</v>
      </c>
      <c r="E212" s="140">
        <v>4.0</v>
      </c>
      <c r="F212" s="238"/>
      <c r="G212" s="140" t="s">
        <v>223</v>
      </c>
      <c r="H212" s="162" t="s">
        <v>37</v>
      </c>
      <c r="I212" s="238"/>
      <c r="J212" s="252" t="s">
        <v>508</v>
      </c>
      <c r="K212" s="238"/>
      <c r="L212" s="240" t="s">
        <v>532</v>
      </c>
      <c r="M212" s="125"/>
      <c r="N212" s="125"/>
      <c r="O212" s="125"/>
      <c r="P212" s="127"/>
      <c r="Q212" s="127"/>
      <c r="R212" s="127"/>
      <c r="S212" s="127"/>
      <c r="T212" s="127"/>
      <c r="U212" s="127"/>
      <c r="V212" s="127"/>
      <c r="W212" s="127"/>
      <c r="X212" s="127"/>
      <c r="Y212" s="127"/>
      <c r="Z212" s="127"/>
    </row>
    <row r="213">
      <c r="A213" s="201">
        <v>16.0</v>
      </c>
      <c r="B213" s="201">
        <v>5.0</v>
      </c>
      <c r="C213" s="213" t="s">
        <v>533</v>
      </c>
      <c r="D213" s="214"/>
      <c r="E213" s="215"/>
      <c r="F213" s="215"/>
      <c r="G213" s="215"/>
      <c r="H213" s="155" t="s">
        <v>236</v>
      </c>
      <c r="I213" s="215"/>
      <c r="J213" s="215"/>
      <c r="K213" s="215"/>
      <c r="L213" s="216"/>
      <c r="M213" s="125"/>
      <c r="N213" s="125"/>
      <c r="O213" s="125"/>
      <c r="P213" s="127"/>
      <c r="Q213" s="127"/>
      <c r="R213" s="127"/>
      <c r="S213" s="127"/>
      <c r="T213" s="127"/>
      <c r="U213" s="127"/>
      <c r="V213" s="127"/>
      <c r="W213" s="127"/>
      <c r="X213" s="127"/>
      <c r="Y213" s="127"/>
      <c r="Z213" s="127"/>
    </row>
    <row r="214">
      <c r="A214" s="206">
        <v>16.0</v>
      </c>
      <c r="B214" s="206">
        <v>2.0</v>
      </c>
      <c r="C214" s="221" t="s">
        <v>534</v>
      </c>
      <c r="D214" s="222"/>
      <c r="E214" s="223"/>
      <c r="F214" s="223"/>
      <c r="G214" s="223"/>
      <c r="H214" s="162" t="s">
        <v>37</v>
      </c>
      <c r="I214" s="223"/>
      <c r="J214" s="223"/>
      <c r="K214" s="223"/>
      <c r="L214" s="224"/>
      <c r="M214" s="125"/>
      <c r="N214" s="125"/>
      <c r="O214" s="125"/>
      <c r="P214" s="127"/>
      <c r="Q214" s="127"/>
      <c r="R214" s="127"/>
      <c r="S214" s="127"/>
      <c r="T214" s="127"/>
      <c r="U214" s="127"/>
      <c r="V214" s="127"/>
      <c r="W214" s="127"/>
      <c r="X214" s="127"/>
      <c r="Y214" s="127"/>
      <c r="Z214" s="127"/>
    </row>
    <row r="215">
      <c r="A215" s="211">
        <v>15.0</v>
      </c>
      <c r="B215" s="211">
        <v>0.0</v>
      </c>
      <c r="C215" s="137" t="s">
        <v>535</v>
      </c>
      <c r="D215" s="138"/>
      <c r="E215" s="139"/>
      <c r="F215" s="212">
        <v>2.3</v>
      </c>
      <c r="G215" s="212" t="s">
        <v>223</v>
      </c>
      <c r="H215" s="150" t="s">
        <v>38</v>
      </c>
      <c r="I215" s="139"/>
      <c r="J215" s="139"/>
      <c r="K215" s="139"/>
      <c r="L215" s="151"/>
      <c r="M215" s="125"/>
      <c r="N215" s="125"/>
      <c r="O215" s="125"/>
      <c r="P215" s="127"/>
      <c r="Q215" s="127"/>
      <c r="R215" s="127"/>
      <c r="S215" s="127"/>
      <c r="T215" s="127"/>
      <c r="U215" s="127"/>
      <c r="V215" s="127"/>
      <c r="W215" s="127"/>
      <c r="X215" s="127"/>
      <c r="Y215" s="127"/>
      <c r="Z215" s="127"/>
    </row>
    <row r="216">
      <c r="A216" s="211">
        <v>15.0</v>
      </c>
      <c r="B216" s="211">
        <v>0.0</v>
      </c>
      <c r="C216" s="137" t="s">
        <v>536</v>
      </c>
      <c r="D216" s="138"/>
      <c r="E216" s="139"/>
      <c r="F216" s="139"/>
      <c r="G216" s="139"/>
      <c r="H216" s="141" t="s">
        <v>46</v>
      </c>
      <c r="I216" s="139"/>
      <c r="J216" s="139"/>
      <c r="K216" s="139"/>
      <c r="L216" s="151"/>
      <c r="M216" s="125"/>
      <c r="N216" s="125"/>
      <c r="O216" s="125"/>
      <c r="P216" s="127"/>
      <c r="Q216" s="127"/>
      <c r="R216" s="127"/>
      <c r="S216" s="127"/>
      <c r="T216" s="127"/>
      <c r="U216" s="127"/>
      <c r="V216" s="127"/>
      <c r="W216" s="127"/>
      <c r="X216" s="127"/>
      <c r="Y216" s="127"/>
      <c r="Z216" s="127"/>
    </row>
    <row r="217">
      <c r="A217" s="136">
        <v>14.0</v>
      </c>
      <c r="B217" s="136">
        <v>0.0</v>
      </c>
      <c r="C217" s="137" t="s">
        <v>537</v>
      </c>
      <c r="D217" s="138"/>
      <c r="E217" s="139"/>
      <c r="F217" s="212">
        <v>2.2</v>
      </c>
      <c r="G217" s="139"/>
      <c r="H217" s="147" t="s">
        <v>34</v>
      </c>
      <c r="I217" s="139"/>
      <c r="J217" s="139"/>
      <c r="K217" s="139"/>
      <c r="L217" s="143" t="s">
        <v>538</v>
      </c>
      <c r="M217" s="125"/>
      <c r="N217" s="125"/>
      <c r="O217" s="125"/>
      <c r="P217" s="127"/>
      <c r="Q217" s="127"/>
      <c r="R217" s="127"/>
      <c r="S217" s="127"/>
      <c r="T217" s="127"/>
      <c r="U217" s="127"/>
      <c r="V217" s="127"/>
      <c r="W217" s="127"/>
      <c r="X217" s="127"/>
      <c r="Y217" s="127"/>
      <c r="Z217" s="127"/>
    </row>
    <row r="218">
      <c r="A218" s="136">
        <v>14.0</v>
      </c>
      <c r="B218" s="136">
        <v>2.0</v>
      </c>
      <c r="C218" s="137" t="s">
        <v>539</v>
      </c>
      <c r="D218" s="138"/>
      <c r="E218" s="139"/>
      <c r="F218" s="139"/>
      <c r="G218" s="139"/>
      <c r="H218" s="189" t="s">
        <v>220</v>
      </c>
      <c r="I218" s="156" t="s">
        <v>336</v>
      </c>
      <c r="J218" s="139"/>
      <c r="K218" s="139"/>
      <c r="L218" s="151" t="s">
        <v>540</v>
      </c>
      <c r="M218" s="125"/>
      <c r="N218" s="125"/>
      <c r="O218" s="125"/>
      <c r="P218" s="127"/>
      <c r="Q218" s="127"/>
      <c r="R218" s="127"/>
      <c r="S218" s="127"/>
      <c r="T218" s="127"/>
      <c r="U218" s="127"/>
      <c r="V218" s="127"/>
      <c r="W218" s="127"/>
      <c r="X218" s="127"/>
      <c r="Y218" s="127"/>
      <c r="Z218" s="127"/>
    </row>
    <row r="219">
      <c r="A219" s="136">
        <v>14.0</v>
      </c>
      <c r="B219" s="136">
        <v>3.0</v>
      </c>
      <c r="C219" s="137" t="s">
        <v>539</v>
      </c>
      <c r="D219" s="138"/>
      <c r="E219" s="139"/>
      <c r="F219" s="139"/>
      <c r="G219" s="139"/>
      <c r="H219" s="189" t="s">
        <v>220</v>
      </c>
      <c r="I219" s="156" t="s">
        <v>336</v>
      </c>
      <c r="J219" s="139"/>
      <c r="K219" s="139"/>
      <c r="L219" s="151" t="s">
        <v>540</v>
      </c>
      <c r="M219" s="125"/>
      <c r="N219" s="125"/>
      <c r="O219" s="125"/>
      <c r="P219" s="127"/>
      <c r="Q219" s="127"/>
      <c r="R219" s="127"/>
      <c r="S219" s="127"/>
      <c r="T219" s="127"/>
      <c r="U219" s="127"/>
      <c r="V219" s="127"/>
      <c r="W219" s="127"/>
      <c r="X219" s="127"/>
      <c r="Y219" s="127"/>
      <c r="Z219" s="127"/>
    </row>
    <row r="220">
      <c r="A220" s="136">
        <v>14.0</v>
      </c>
      <c r="B220" s="136">
        <v>4.0</v>
      </c>
      <c r="C220" s="137" t="s">
        <v>539</v>
      </c>
      <c r="D220" s="138"/>
      <c r="E220" s="139"/>
      <c r="F220" s="139"/>
      <c r="G220" s="139"/>
      <c r="H220" s="189" t="s">
        <v>220</v>
      </c>
      <c r="I220" s="156" t="s">
        <v>336</v>
      </c>
      <c r="J220" s="139"/>
      <c r="K220" s="139"/>
      <c r="L220" s="151" t="s">
        <v>540</v>
      </c>
      <c r="M220" s="125"/>
      <c r="N220" s="125"/>
      <c r="O220" s="125"/>
      <c r="P220" s="127"/>
      <c r="Q220" s="127"/>
      <c r="R220" s="127"/>
      <c r="S220" s="127"/>
      <c r="T220" s="127"/>
      <c r="U220" s="127"/>
      <c r="V220" s="127"/>
      <c r="W220" s="127"/>
      <c r="X220" s="127"/>
      <c r="Y220" s="127"/>
      <c r="Z220" s="127"/>
    </row>
    <row r="221">
      <c r="A221" s="136">
        <v>14.0</v>
      </c>
      <c r="B221" s="136">
        <v>5.0</v>
      </c>
      <c r="C221" s="137" t="s">
        <v>539</v>
      </c>
      <c r="D221" s="138"/>
      <c r="E221" s="139"/>
      <c r="F221" s="139"/>
      <c r="G221" s="139"/>
      <c r="H221" s="189" t="s">
        <v>220</v>
      </c>
      <c r="I221" s="156" t="s">
        <v>336</v>
      </c>
      <c r="J221" s="139"/>
      <c r="K221" s="139"/>
      <c r="L221" s="151" t="s">
        <v>540</v>
      </c>
      <c r="M221" s="125"/>
      <c r="N221" s="125"/>
      <c r="O221" s="125"/>
      <c r="P221" s="127"/>
      <c r="Q221" s="127"/>
      <c r="R221" s="127"/>
      <c r="S221" s="127"/>
      <c r="T221" s="127"/>
      <c r="U221" s="127"/>
      <c r="V221" s="127"/>
      <c r="W221" s="127"/>
      <c r="X221" s="127"/>
      <c r="Y221" s="127"/>
      <c r="Z221" s="127"/>
    </row>
    <row r="222">
      <c r="A222" s="136">
        <v>14.0</v>
      </c>
      <c r="B222" s="136">
        <v>7.0</v>
      </c>
      <c r="C222" s="137" t="s">
        <v>539</v>
      </c>
      <c r="D222" s="138"/>
      <c r="E222" s="139"/>
      <c r="F222" s="139"/>
      <c r="G222" s="139"/>
      <c r="H222" s="189" t="s">
        <v>220</v>
      </c>
      <c r="I222" s="156" t="s">
        <v>336</v>
      </c>
      <c r="J222" s="139"/>
      <c r="K222" s="139"/>
      <c r="L222" s="151" t="s">
        <v>540</v>
      </c>
      <c r="M222" s="125"/>
      <c r="N222" s="125"/>
      <c r="O222" s="125"/>
      <c r="P222" s="127"/>
      <c r="Q222" s="127"/>
      <c r="R222" s="127"/>
      <c r="S222" s="127"/>
      <c r="T222" s="127"/>
      <c r="U222" s="127"/>
      <c r="V222" s="127"/>
      <c r="W222" s="127"/>
      <c r="X222" s="127"/>
      <c r="Y222" s="127"/>
      <c r="Z222" s="127"/>
    </row>
    <row r="223">
      <c r="A223" s="136">
        <v>14.0</v>
      </c>
      <c r="B223" s="136">
        <v>1.0</v>
      </c>
      <c r="C223" s="137" t="s">
        <v>539</v>
      </c>
      <c r="D223" s="138"/>
      <c r="E223" s="139"/>
      <c r="F223" s="139"/>
      <c r="G223" s="139"/>
      <c r="H223" s="189" t="s">
        <v>220</v>
      </c>
      <c r="I223" s="156" t="s">
        <v>336</v>
      </c>
      <c r="J223" s="139"/>
      <c r="K223" s="139"/>
      <c r="L223" s="151" t="s">
        <v>540</v>
      </c>
      <c r="M223" s="125"/>
      <c r="N223" s="125"/>
      <c r="O223" s="125"/>
      <c r="P223" s="127"/>
      <c r="Q223" s="127"/>
      <c r="R223" s="127"/>
      <c r="S223" s="127"/>
      <c r="T223" s="127"/>
      <c r="U223" s="127"/>
      <c r="V223" s="127"/>
      <c r="W223" s="127"/>
      <c r="X223" s="127"/>
      <c r="Y223" s="127"/>
      <c r="Z223" s="127"/>
    </row>
    <row r="224">
      <c r="A224" s="196">
        <v>14.0</v>
      </c>
      <c r="B224" s="196">
        <v>3.0</v>
      </c>
      <c r="C224" s="217" t="s">
        <v>541</v>
      </c>
      <c r="D224" s="218"/>
      <c r="E224" s="219"/>
      <c r="F224" s="219"/>
      <c r="G224" s="219"/>
      <c r="H224" s="150" t="s">
        <v>38</v>
      </c>
      <c r="I224" s="219"/>
      <c r="J224" s="219"/>
      <c r="K224" s="219"/>
      <c r="L224" s="220"/>
      <c r="M224" s="125"/>
      <c r="N224" s="125"/>
      <c r="O224" s="125"/>
      <c r="P224" s="127"/>
      <c r="Q224" s="127"/>
      <c r="R224" s="127"/>
      <c r="S224" s="127"/>
      <c r="T224" s="127"/>
      <c r="U224" s="127"/>
      <c r="V224" s="127"/>
      <c r="W224" s="127"/>
      <c r="X224" s="127"/>
      <c r="Y224" s="127"/>
      <c r="Z224" s="127"/>
    </row>
    <row r="225">
      <c r="A225" s="196">
        <v>14.0</v>
      </c>
      <c r="B225" s="196">
        <v>7.0</v>
      </c>
      <c r="C225" s="217" t="s">
        <v>541</v>
      </c>
      <c r="D225" s="218"/>
      <c r="E225" s="219"/>
      <c r="F225" s="219"/>
      <c r="G225" s="219"/>
      <c r="H225" s="150" t="s">
        <v>38</v>
      </c>
      <c r="I225" s="219"/>
      <c r="J225" s="219"/>
      <c r="K225" s="219"/>
      <c r="L225" s="220"/>
      <c r="M225" s="125"/>
      <c r="N225" s="125"/>
      <c r="O225" s="125"/>
      <c r="P225" s="127"/>
      <c r="Q225" s="127"/>
      <c r="R225" s="127"/>
      <c r="S225" s="127"/>
      <c r="T225" s="127"/>
      <c r="U225" s="127"/>
      <c r="V225" s="127"/>
      <c r="W225" s="127"/>
      <c r="X225" s="127"/>
      <c r="Y225" s="127"/>
      <c r="Z225" s="127"/>
    </row>
    <row r="226">
      <c r="A226" s="225">
        <v>14.0</v>
      </c>
      <c r="B226" s="225">
        <v>6.0</v>
      </c>
      <c r="C226" s="226" t="s">
        <v>542</v>
      </c>
      <c r="D226" s="227"/>
      <c r="E226" s="228"/>
      <c r="F226" s="228"/>
      <c r="G226" s="228"/>
      <c r="H226" s="150" t="s">
        <v>38</v>
      </c>
      <c r="I226" s="228"/>
      <c r="J226" s="228"/>
      <c r="K226" s="228"/>
      <c r="L226" s="229" t="s">
        <v>543</v>
      </c>
      <c r="M226" s="125"/>
      <c r="N226" s="125"/>
      <c r="O226" s="125"/>
      <c r="P226" s="127"/>
      <c r="Q226" s="127"/>
      <c r="R226" s="127"/>
      <c r="S226" s="127"/>
      <c r="T226" s="127"/>
      <c r="U226" s="127"/>
      <c r="V226" s="127"/>
      <c r="W226" s="127"/>
      <c r="X226" s="127"/>
      <c r="Y226" s="127"/>
      <c r="Z226" s="127"/>
    </row>
    <row r="227">
      <c r="A227" s="225">
        <v>14.0</v>
      </c>
      <c r="B227" s="225">
        <v>6.0</v>
      </c>
      <c r="C227" s="226" t="s">
        <v>544</v>
      </c>
      <c r="D227" s="227"/>
      <c r="E227" s="228"/>
      <c r="F227" s="228"/>
      <c r="G227" s="212" t="s">
        <v>223</v>
      </c>
      <c r="H227" s="154" t="s">
        <v>43</v>
      </c>
      <c r="I227" s="228"/>
      <c r="J227" s="228"/>
      <c r="K227" s="228"/>
      <c r="L227" s="229" t="s">
        <v>498</v>
      </c>
      <c r="M227" s="125"/>
      <c r="N227" s="125"/>
      <c r="O227" s="125"/>
      <c r="P227" s="127"/>
      <c r="Q227" s="127"/>
      <c r="R227" s="127"/>
      <c r="S227" s="127"/>
      <c r="T227" s="127"/>
      <c r="U227" s="127"/>
      <c r="V227" s="127"/>
      <c r="W227" s="127"/>
      <c r="X227" s="127"/>
      <c r="Y227" s="127"/>
      <c r="Z227" s="127"/>
    </row>
    <row r="228">
      <c r="A228" s="230">
        <v>14.0</v>
      </c>
      <c r="B228" s="230">
        <v>4.0</v>
      </c>
      <c r="C228" s="245" t="s">
        <v>545</v>
      </c>
      <c r="D228" s="156" t="s">
        <v>358</v>
      </c>
      <c r="E228" s="246"/>
      <c r="F228" s="246"/>
      <c r="G228" s="246"/>
      <c r="H228" s="189" t="s">
        <v>220</v>
      </c>
      <c r="I228" s="246"/>
      <c r="J228" s="246"/>
      <c r="K228" s="246"/>
      <c r="L228" s="247" t="s">
        <v>546</v>
      </c>
      <c r="M228" s="125"/>
      <c r="N228" s="125"/>
      <c r="O228" s="125"/>
      <c r="P228" s="127"/>
      <c r="Q228" s="127"/>
      <c r="R228" s="127"/>
      <c r="S228" s="127"/>
      <c r="T228" s="127"/>
      <c r="U228" s="127"/>
      <c r="V228" s="127"/>
      <c r="W228" s="127"/>
      <c r="X228" s="127"/>
      <c r="Y228" s="127"/>
      <c r="Z228" s="127"/>
    </row>
    <row r="229">
      <c r="A229" s="230">
        <v>14.0</v>
      </c>
      <c r="B229" s="230">
        <v>1.0</v>
      </c>
      <c r="C229" s="245" t="s">
        <v>545</v>
      </c>
      <c r="D229" s="156" t="s">
        <v>358</v>
      </c>
      <c r="E229" s="246"/>
      <c r="F229" s="246"/>
      <c r="G229" s="246"/>
      <c r="H229" s="189" t="s">
        <v>220</v>
      </c>
      <c r="I229" s="246"/>
      <c r="J229" s="246"/>
      <c r="K229" s="246"/>
      <c r="L229" s="247" t="s">
        <v>546</v>
      </c>
      <c r="M229" s="125"/>
      <c r="N229" s="125"/>
      <c r="O229" s="125"/>
      <c r="P229" s="127"/>
      <c r="Q229" s="127"/>
      <c r="R229" s="127"/>
      <c r="S229" s="127"/>
      <c r="T229" s="127"/>
      <c r="U229" s="127"/>
      <c r="V229" s="127"/>
      <c r="W229" s="127"/>
      <c r="X229" s="127"/>
      <c r="Y229" s="127"/>
      <c r="Z229" s="127"/>
    </row>
    <row r="230">
      <c r="A230" s="235">
        <v>13.0</v>
      </c>
      <c r="B230" s="235">
        <v>0.0</v>
      </c>
      <c r="C230" s="236" t="s">
        <v>547</v>
      </c>
      <c r="D230" s="237" t="s">
        <v>219</v>
      </c>
      <c r="E230" s="140">
        <v>3.0</v>
      </c>
      <c r="F230" s="238"/>
      <c r="G230" s="238"/>
      <c r="H230" s="155" t="s">
        <v>236</v>
      </c>
      <c r="I230" s="238"/>
      <c r="J230" s="238"/>
      <c r="K230" s="238"/>
      <c r="L230" s="240"/>
      <c r="M230" s="125"/>
      <c r="N230" s="125"/>
      <c r="O230" s="125"/>
      <c r="P230" s="127"/>
      <c r="Q230" s="127"/>
      <c r="R230" s="127"/>
      <c r="S230" s="127"/>
      <c r="T230" s="127"/>
      <c r="U230" s="127"/>
      <c r="V230" s="127"/>
      <c r="W230" s="127"/>
      <c r="X230" s="127"/>
      <c r="Y230" s="127"/>
      <c r="Z230" s="127"/>
    </row>
    <row r="231">
      <c r="A231" s="211">
        <v>13.0</v>
      </c>
      <c r="B231" s="211">
        <v>0.0</v>
      </c>
      <c r="C231" s="137" t="s">
        <v>548</v>
      </c>
      <c r="D231" s="138"/>
      <c r="E231" s="139"/>
      <c r="F231" s="212">
        <v>2.1</v>
      </c>
      <c r="G231" s="139"/>
      <c r="H231" s="155" t="s">
        <v>236</v>
      </c>
      <c r="I231" s="139"/>
      <c r="J231" s="139"/>
      <c r="K231" s="139"/>
      <c r="L231" s="151"/>
      <c r="M231" s="125"/>
      <c r="N231" s="125"/>
      <c r="O231" s="125"/>
      <c r="P231" s="127"/>
      <c r="Q231" s="127"/>
      <c r="R231" s="127"/>
      <c r="S231" s="127"/>
      <c r="T231" s="127"/>
      <c r="U231" s="127"/>
      <c r="V231" s="127"/>
      <c r="W231" s="127"/>
      <c r="X231" s="127"/>
      <c r="Y231" s="127"/>
      <c r="Z231" s="127"/>
    </row>
    <row r="232">
      <c r="A232" s="196">
        <v>13.0</v>
      </c>
      <c r="B232" s="196">
        <v>3.0</v>
      </c>
      <c r="C232" s="217" t="s">
        <v>549</v>
      </c>
      <c r="D232" s="218"/>
      <c r="E232" s="219"/>
      <c r="F232" s="219"/>
      <c r="G232" s="212" t="s">
        <v>223</v>
      </c>
      <c r="H232" s="147" t="s">
        <v>34</v>
      </c>
      <c r="I232" s="219"/>
      <c r="J232" s="219"/>
      <c r="K232" s="219"/>
      <c r="L232" s="220" t="s">
        <v>550</v>
      </c>
      <c r="M232" s="125"/>
      <c r="N232" s="125"/>
      <c r="O232" s="125"/>
      <c r="P232" s="127"/>
      <c r="Q232" s="127"/>
      <c r="R232" s="127"/>
      <c r="S232" s="127"/>
      <c r="T232" s="127"/>
      <c r="U232" s="127"/>
      <c r="V232" s="127"/>
      <c r="W232" s="127"/>
      <c r="X232" s="127"/>
      <c r="Y232" s="127"/>
      <c r="Z232" s="127"/>
    </row>
    <row r="233">
      <c r="A233" s="196">
        <v>13.0</v>
      </c>
      <c r="B233" s="196">
        <v>7.0</v>
      </c>
      <c r="C233" s="217" t="s">
        <v>549</v>
      </c>
      <c r="D233" s="218"/>
      <c r="E233" s="219"/>
      <c r="F233" s="219"/>
      <c r="G233" s="212" t="s">
        <v>223</v>
      </c>
      <c r="H233" s="147" t="s">
        <v>34</v>
      </c>
      <c r="I233" s="219"/>
      <c r="J233" s="219"/>
      <c r="K233" s="219"/>
      <c r="L233" s="220" t="s">
        <v>550</v>
      </c>
      <c r="M233" s="125"/>
      <c r="N233" s="125"/>
      <c r="O233" s="125"/>
      <c r="P233" s="127"/>
      <c r="Q233" s="127"/>
      <c r="R233" s="127"/>
      <c r="S233" s="127"/>
      <c r="T233" s="127"/>
      <c r="U233" s="127"/>
      <c r="V233" s="127"/>
      <c r="W233" s="127"/>
      <c r="X233" s="127"/>
      <c r="Y233" s="127"/>
      <c r="Z233" s="127"/>
    </row>
    <row r="234">
      <c r="A234" s="225">
        <v>13.0</v>
      </c>
      <c r="B234" s="225">
        <v>6.0</v>
      </c>
      <c r="C234" s="226" t="s">
        <v>551</v>
      </c>
      <c r="D234" s="227"/>
      <c r="E234" s="228"/>
      <c r="F234" s="228"/>
      <c r="G234" s="228"/>
      <c r="H234" s="150" t="s">
        <v>38</v>
      </c>
      <c r="I234" s="228"/>
      <c r="J234" s="228"/>
      <c r="K234" s="228"/>
      <c r="L234" s="229" t="s">
        <v>498</v>
      </c>
      <c r="M234" s="125"/>
      <c r="N234" s="125"/>
      <c r="O234" s="125"/>
      <c r="P234" s="127"/>
      <c r="Q234" s="127"/>
      <c r="R234" s="127"/>
      <c r="S234" s="127"/>
      <c r="T234" s="127"/>
      <c r="U234" s="127"/>
      <c r="V234" s="127"/>
      <c r="W234" s="127"/>
      <c r="X234" s="127"/>
      <c r="Y234" s="127"/>
      <c r="Z234" s="127"/>
    </row>
    <row r="235">
      <c r="A235" s="235">
        <v>12.0</v>
      </c>
      <c r="B235" s="235">
        <v>0.0</v>
      </c>
      <c r="C235" s="236" t="s">
        <v>552</v>
      </c>
      <c r="D235" s="237" t="s">
        <v>219</v>
      </c>
      <c r="E235" s="238"/>
      <c r="F235" s="238"/>
      <c r="G235" s="212" t="s">
        <v>223</v>
      </c>
      <c r="H235" s="147" t="s">
        <v>34</v>
      </c>
      <c r="I235" s="238"/>
      <c r="J235" s="238"/>
      <c r="K235" s="238"/>
      <c r="L235" s="240"/>
      <c r="M235" s="125"/>
      <c r="N235" s="125"/>
      <c r="O235" s="125"/>
      <c r="P235" s="127"/>
      <c r="Q235" s="127"/>
      <c r="R235" s="127"/>
      <c r="S235" s="127"/>
      <c r="T235" s="127"/>
      <c r="U235" s="127"/>
      <c r="V235" s="127"/>
      <c r="W235" s="127"/>
      <c r="X235" s="127"/>
      <c r="Y235" s="127"/>
      <c r="Z235" s="127"/>
    </row>
    <row r="236">
      <c r="A236" s="230">
        <v>12.0</v>
      </c>
      <c r="B236" s="230">
        <v>4.0</v>
      </c>
      <c r="C236" s="245" t="s">
        <v>553</v>
      </c>
      <c r="D236" s="156" t="s">
        <v>358</v>
      </c>
      <c r="E236" s="246"/>
      <c r="F236" s="246"/>
      <c r="G236" s="246"/>
      <c r="H236" s="189" t="s">
        <v>220</v>
      </c>
      <c r="I236" s="246"/>
      <c r="J236" s="246"/>
      <c r="K236" s="246"/>
      <c r="L236" s="247" t="s">
        <v>554</v>
      </c>
      <c r="M236" s="125"/>
      <c r="N236" s="125"/>
      <c r="O236" s="125"/>
      <c r="P236" s="127"/>
      <c r="Q236" s="127"/>
      <c r="R236" s="127"/>
      <c r="S236" s="127"/>
      <c r="T236" s="127"/>
      <c r="U236" s="127"/>
      <c r="V236" s="127"/>
      <c r="W236" s="127"/>
      <c r="X236" s="127"/>
      <c r="Y236" s="127"/>
      <c r="Z236" s="127"/>
    </row>
    <row r="237">
      <c r="A237" s="230">
        <v>12.0</v>
      </c>
      <c r="B237" s="230">
        <v>1.0</v>
      </c>
      <c r="C237" s="245" t="s">
        <v>553</v>
      </c>
      <c r="D237" s="156" t="s">
        <v>358</v>
      </c>
      <c r="E237" s="246"/>
      <c r="F237" s="246"/>
      <c r="G237" s="246"/>
      <c r="H237" s="189" t="s">
        <v>220</v>
      </c>
      <c r="I237" s="246"/>
      <c r="J237" s="246"/>
      <c r="K237" s="246"/>
      <c r="L237" s="247" t="s">
        <v>554</v>
      </c>
      <c r="M237" s="125"/>
      <c r="N237" s="125"/>
      <c r="O237" s="125"/>
      <c r="P237" s="127"/>
      <c r="Q237" s="127"/>
      <c r="R237" s="127"/>
      <c r="S237" s="127"/>
      <c r="T237" s="127"/>
      <c r="U237" s="127"/>
      <c r="V237" s="127"/>
      <c r="W237" s="127"/>
      <c r="X237" s="127"/>
      <c r="Y237" s="127"/>
      <c r="Z237" s="127"/>
    </row>
    <row r="238">
      <c r="A238" s="211">
        <v>12.0</v>
      </c>
      <c r="B238" s="211">
        <v>0.0</v>
      </c>
      <c r="C238" s="137" t="s">
        <v>555</v>
      </c>
      <c r="D238" s="138"/>
      <c r="E238" s="139"/>
      <c r="F238" s="139"/>
      <c r="G238" s="139"/>
      <c r="H238" s="155" t="s">
        <v>236</v>
      </c>
      <c r="I238" s="139"/>
      <c r="J238" s="139"/>
      <c r="K238" s="139"/>
      <c r="L238" s="151" t="s">
        <v>556</v>
      </c>
      <c r="M238" s="125"/>
      <c r="N238" s="125"/>
      <c r="O238" s="125"/>
      <c r="P238" s="127"/>
      <c r="Q238" s="127"/>
      <c r="R238" s="127"/>
      <c r="S238" s="127"/>
      <c r="T238" s="127"/>
      <c r="U238" s="127"/>
      <c r="V238" s="127"/>
      <c r="W238" s="127"/>
      <c r="X238" s="127"/>
      <c r="Y238" s="127"/>
      <c r="Z238" s="127"/>
    </row>
    <row r="239">
      <c r="A239" s="235">
        <v>11.0</v>
      </c>
      <c r="B239" s="235">
        <v>0.0</v>
      </c>
      <c r="C239" s="236" t="s">
        <v>557</v>
      </c>
      <c r="D239" s="237" t="s">
        <v>219</v>
      </c>
      <c r="E239" s="238"/>
      <c r="F239" s="238"/>
      <c r="G239" s="238"/>
      <c r="H239" s="189" t="s">
        <v>220</v>
      </c>
      <c r="I239" s="238"/>
      <c r="J239" s="252" t="s">
        <v>558</v>
      </c>
      <c r="K239" s="238"/>
      <c r="L239" s="240" t="s">
        <v>559</v>
      </c>
      <c r="M239" s="125"/>
      <c r="N239" s="125"/>
      <c r="O239" s="125"/>
      <c r="P239" s="127"/>
      <c r="Q239" s="127"/>
      <c r="R239" s="127"/>
      <c r="S239" s="127"/>
      <c r="T239" s="127"/>
      <c r="U239" s="127"/>
      <c r="V239" s="127"/>
      <c r="W239" s="127"/>
      <c r="X239" s="127"/>
      <c r="Y239" s="127"/>
      <c r="Z239" s="127"/>
    </row>
    <row r="240">
      <c r="A240" s="136">
        <v>11.0</v>
      </c>
      <c r="B240" s="136">
        <v>2.0</v>
      </c>
      <c r="C240" s="137" t="s">
        <v>560</v>
      </c>
      <c r="D240" s="138"/>
      <c r="E240" s="139"/>
      <c r="F240" s="139"/>
      <c r="G240" s="212" t="s">
        <v>223</v>
      </c>
      <c r="H240" s="155" t="s">
        <v>236</v>
      </c>
      <c r="I240" s="139"/>
      <c r="J240" s="139"/>
      <c r="K240" s="252" t="s">
        <v>513</v>
      </c>
      <c r="L240" s="143" t="s">
        <v>561</v>
      </c>
      <c r="M240" s="125"/>
      <c r="N240" s="125"/>
      <c r="O240" s="125"/>
      <c r="P240" s="127"/>
      <c r="Q240" s="127"/>
      <c r="R240" s="127"/>
      <c r="S240" s="127"/>
      <c r="T240" s="127"/>
      <c r="U240" s="127"/>
      <c r="V240" s="127"/>
      <c r="W240" s="127"/>
      <c r="X240" s="127"/>
      <c r="Y240" s="127"/>
      <c r="Z240" s="127"/>
    </row>
    <row r="241">
      <c r="A241" s="136">
        <v>11.0</v>
      </c>
      <c r="B241" s="136">
        <v>3.0</v>
      </c>
      <c r="C241" s="137" t="s">
        <v>560</v>
      </c>
      <c r="D241" s="138"/>
      <c r="E241" s="139"/>
      <c r="F241" s="139"/>
      <c r="G241" s="212" t="s">
        <v>223</v>
      </c>
      <c r="H241" s="155" t="s">
        <v>236</v>
      </c>
      <c r="I241" s="139"/>
      <c r="J241" s="139"/>
      <c r="K241" s="139"/>
      <c r="L241" s="143" t="s">
        <v>562</v>
      </c>
      <c r="M241" s="125"/>
      <c r="N241" s="125"/>
      <c r="O241" s="125"/>
      <c r="P241" s="127"/>
      <c r="Q241" s="127"/>
      <c r="R241" s="127"/>
      <c r="S241" s="127"/>
      <c r="T241" s="127"/>
      <c r="U241" s="127"/>
      <c r="V241" s="127"/>
      <c r="W241" s="127"/>
      <c r="X241" s="127"/>
      <c r="Y241" s="127"/>
      <c r="Z241" s="127"/>
    </row>
    <row r="242">
      <c r="A242" s="136">
        <v>11.0</v>
      </c>
      <c r="B242" s="136">
        <v>4.0</v>
      </c>
      <c r="C242" s="137" t="s">
        <v>560</v>
      </c>
      <c r="D242" s="138"/>
      <c r="E242" s="139"/>
      <c r="F242" s="139"/>
      <c r="G242" s="212" t="s">
        <v>223</v>
      </c>
      <c r="H242" s="155" t="s">
        <v>236</v>
      </c>
      <c r="I242" s="139"/>
      <c r="J242" s="139"/>
      <c r="K242" s="139"/>
      <c r="L242" s="143" t="s">
        <v>562</v>
      </c>
      <c r="M242" s="125"/>
      <c r="N242" s="125"/>
      <c r="O242" s="125"/>
      <c r="P242" s="127"/>
      <c r="Q242" s="127"/>
      <c r="R242" s="127"/>
      <c r="S242" s="127"/>
      <c r="T242" s="127"/>
      <c r="U242" s="127"/>
      <c r="V242" s="127"/>
      <c r="W242" s="127"/>
      <c r="X242" s="127"/>
      <c r="Y242" s="127"/>
      <c r="Z242" s="127"/>
    </row>
    <row r="243">
      <c r="A243" s="136">
        <v>11.0</v>
      </c>
      <c r="B243" s="136">
        <v>5.0</v>
      </c>
      <c r="C243" s="137" t="s">
        <v>560</v>
      </c>
      <c r="D243" s="138"/>
      <c r="E243" s="139"/>
      <c r="F243" s="139"/>
      <c r="G243" s="212" t="s">
        <v>223</v>
      </c>
      <c r="H243" s="155" t="s">
        <v>236</v>
      </c>
      <c r="I243" s="139"/>
      <c r="J243" s="139"/>
      <c r="K243" s="252" t="s">
        <v>513</v>
      </c>
      <c r="L243" s="143" t="s">
        <v>561</v>
      </c>
      <c r="M243" s="125"/>
      <c r="N243" s="125"/>
      <c r="O243" s="125"/>
      <c r="P243" s="127"/>
      <c r="Q243" s="127"/>
      <c r="R243" s="127"/>
      <c r="S243" s="127"/>
      <c r="T243" s="127"/>
      <c r="U243" s="127"/>
      <c r="V243" s="127"/>
      <c r="W243" s="127"/>
      <c r="X243" s="127"/>
      <c r="Y243" s="127"/>
      <c r="Z243" s="127"/>
    </row>
    <row r="244">
      <c r="A244" s="136">
        <v>11.0</v>
      </c>
      <c r="B244" s="136">
        <v>6.0</v>
      </c>
      <c r="C244" s="137" t="s">
        <v>560</v>
      </c>
      <c r="D244" s="138"/>
      <c r="E244" s="139"/>
      <c r="F244" s="139"/>
      <c r="G244" s="212" t="s">
        <v>223</v>
      </c>
      <c r="H244" s="155" t="s">
        <v>236</v>
      </c>
      <c r="I244" s="139"/>
      <c r="J244" s="139"/>
      <c r="K244" s="252" t="s">
        <v>513</v>
      </c>
      <c r="L244" s="143" t="s">
        <v>561</v>
      </c>
      <c r="M244" s="125"/>
      <c r="N244" s="125"/>
      <c r="O244" s="125"/>
      <c r="P244" s="127"/>
      <c r="Q244" s="127"/>
      <c r="R244" s="127"/>
      <c r="S244" s="127"/>
      <c r="T244" s="127"/>
      <c r="U244" s="127"/>
      <c r="V244" s="127"/>
      <c r="W244" s="127"/>
      <c r="X244" s="127"/>
      <c r="Y244" s="127"/>
      <c r="Z244" s="127"/>
    </row>
    <row r="245">
      <c r="A245" s="136">
        <v>11.0</v>
      </c>
      <c r="B245" s="136">
        <v>7.0</v>
      </c>
      <c r="C245" s="137" t="s">
        <v>560</v>
      </c>
      <c r="D245" s="138"/>
      <c r="E245" s="139"/>
      <c r="F245" s="139"/>
      <c r="G245" s="212" t="s">
        <v>223</v>
      </c>
      <c r="H245" s="155" t="s">
        <v>236</v>
      </c>
      <c r="I245" s="139"/>
      <c r="J245" s="139"/>
      <c r="K245" s="139"/>
      <c r="L245" s="143" t="s">
        <v>562</v>
      </c>
      <c r="M245" s="125"/>
      <c r="N245" s="125"/>
      <c r="O245" s="125"/>
      <c r="P245" s="127"/>
      <c r="Q245" s="127"/>
      <c r="R245" s="127"/>
      <c r="S245" s="127"/>
      <c r="T245" s="127"/>
      <c r="U245" s="127"/>
      <c r="V245" s="127"/>
      <c r="W245" s="127"/>
      <c r="X245" s="127"/>
      <c r="Y245" s="127"/>
      <c r="Z245" s="127"/>
    </row>
    <row r="246">
      <c r="A246" s="136">
        <v>11.0</v>
      </c>
      <c r="B246" s="136">
        <v>1.0</v>
      </c>
      <c r="C246" s="137" t="s">
        <v>560</v>
      </c>
      <c r="D246" s="138"/>
      <c r="E246" s="139"/>
      <c r="F246" s="139"/>
      <c r="G246" s="212" t="s">
        <v>223</v>
      </c>
      <c r="H246" s="155" t="s">
        <v>236</v>
      </c>
      <c r="I246" s="139"/>
      <c r="J246" s="139"/>
      <c r="K246" s="139"/>
      <c r="L246" s="143" t="s">
        <v>562</v>
      </c>
      <c r="M246" s="125"/>
      <c r="N246" s="125"/>
      <c r="O246" s="125"/>
      <c r="P246" s="127"/>
      <c r="Q246" s="127"/>
      <c r="R246" s="127"/>
      <c r="S246" s="127"/>
      <c r="T246" s="127"/>
      <c r="U246" s="127"/>
      <c r="V246" s="127"/>
      <c r="W246" s="127"/>
      <c r="X246" s="127"/>
      <c r="Y246" s="127"/>
      <c r="Z246" s="127"/>
    </row>
    <row r="247">
      <c r="A247" s="211">
        <v>10.0</v>
      </c>
      <c r="B247" s="211">
        <v>0.0</v>
      </c>
      <c r="C247" s="137" t="s">
        <v>563</v>
      </c>
      <c r="D247" s="138"/>
      <c r="E247" s="139"/>
      <c r="F247" s="139"/>
      <c r="G247" s="139"/>
      <c r="H247" s="147" t="s">
        <v>34</v>
      </c>
      <c r="I247" s="139"/>
      <c r="J247" s="139"/>
      <c r="K247" s="139"/>
      <c r="L247" s="151"/>
      <c r="M247" s="125"/>
      <c r="N247" s="125"/>
      <c r="O247" s="125"/>
      <c r="P247" s="127"/>
      <c r="Q247" s="127"/>
      <c r="R247" s="127"/>
      <c r="S247" s="127"/>
      <c r="T247" s="127"/>
      <c r="U247" s="127"/>
      <c r="V247" s="127"/>
      <c r="W247" s="127"/>
      <c r="X247" s="127"/>
      <c r="Y247" s="127"/>
      <c r="Z247" s="127"/>
    </row>
    <row r="248">
      <c r="A248" s="206">
        <v>10.0</v>
      </c>
      <c r="B248" s="206">
        <v>2.0</v>
      </c>
      <c r="C248" s="221" t="s">
        <v>564</v>
      </c>
      <c r="D248" s="222"/>
      <c r="E248" s="223"/>
      <c r="F248" s="223"/>
      <c r="G248" s="223"/>
      <c r="H248" s="162" t="s">
        <v>37</v>
      </c>
      <c r="I248" s="223"/>
      <c r="J248" s="223"/>
      <c r="K248" s="223"/>
      <c r="L248" s="224" t="s">
        <v>565</v>
      </c>
      <c r="M248" s="125"/>
      <c r="N248" s="125"/>
      <c r="O248" s="125"/>
      <c r="P248" s="127"/>
      <c r="Q248" s="127"/>
      <c r="R248" s="127"/>
      <c r="S248" s="127"/>
      <c r="T248" s="127"/>
      <c r="U248" s="127"/>
      <c r="V248" s="127"/>
      <c r="W248" s="127"/>
      <c r="X248" s="127"/>
      <c r="Y248" s="127"/>
      <c r="Z248" s="127"/>
    </row>
    <row r="249">
      <c r="A249" s="235">
        <v>10.0</v>
      </c>
      <c r="B249" s="235">
        <v>0.0</v>
      </c>
      <c r="C249" s="236" t="s">
        <v>566</v>
      </c>
      <c r="D249" s="237" t="s">
        <v>219</v>
      </c>
      <c r="E249" s="238"/>
      <c r="F249" s="238"/>
      <c r="G249" s="212" t="s">
        <v>223</v>
      </c>
      <c r="H249" s="189" t="s">
        <v>220</v>
      </c>
      <c r="I249" s="238"/>
      <c r="J249" s="253" t="s">
        <v>567</v>
      </c>
      <c r="K249" s="238"/>
      <c r="L249" s="240" t="s">
        <v>568</v>
      </c>
      <c r="M249" s="125"/>
      <c r="N249" s="125"/>
      <c r="O249" s="125"/>
      <c r="P249" s="127"/>
      <c r="Q249" s="127"/>
      <c r="R249" s="127"/>
      <c r="S249" s="127"/>
      <c r="T249" s="127"/>
      <c r="U249" s="127"/>
      <c r="V249" s="127"/>
      <c r="W249" s="127"/>
      <c r="X249" s="127"/>
      <c r="Y249" s="127"/>
      <c r="Z249" s="127"/>
    </row>
    <row r="250">
      <c r="A250" s="235">
        <v>9.0</v>
      </c>
      <c r="B250" s="235">
        <v>0.0</v>
      </c>
      <c r="C250" s="236" t="s">
        <v>569</v>
      </c>
      <c r="D250" s="237" t="s">
        <v>219</v>
      </c>
      <c r="E250" s="238"/>
      <c r="F250" s="238"/>
      <c r="G250" s="212" t="s">
        <v>223</v>
      </c>
      <c r="H250" s="141" t="s">
        <v>46</v>
      </c>
      <c r="I250" s="238"/>
      <c r="J250" s="238"/>
      <c r="K250" s="238"/>
      <c r="L250" s="240"/>
      <c r="M250" s="125"/>
      <c r="N250" s="125"/>
      <c r="O250" s="125"/>
      <c r="P250" s="127"/>
      <c r="Q250" s="127"/>
      <c r="R250" s="127"/>
      <c r="S250" s="127"/>
      <c r="T250" s="127"/>
      <c r="U250" s="127"/>
      <c r="V250" s="127"/>
      <c r="W250" s="127"/>
      <c r="X250" s="127"/>
      <c r="Y250" s="127"/>
      <c r="Z250" s="127"/>
    </row>
    <row r="251">
      <c r="A251" s="211">
        <v>9.0</v>
      </c>
      <c r="B251" s="211">
        <v>0.0</v>
      </c>
      <c r="C251" s="137" t="s">
        <v>570</v>
      </c>
      <c r="D251" s="138"/>
      <c r="E251" s="139"/>
      <c r="F251" s="139"/>
      <c r="G251" s="139"/>
      <c r="H251" s="155" t="s">
        <v>236</v>
      </c>
      <c r="I251" s="156" t="s">
        <v>336</v>
      </c>
      <c r="J251" s="139"/>
      <c r="K251" s="139"/>
      <c r="L251" s="151" t="s">
        <v>526</v>
      </c>
      <c r="M251" s="125"/>
      <c r="N251" s="125"/>
      <c r="O251" s="125"/>
      <c r="P251" s="127"/>
      <c r="Q251" s="127"/>
      <c r="R251" s="127"/>
      <c r="S251" s="127"/>
      <c r="T251" s="127"/>
      <c r="U251" s="127"/>
      <c r="V251" s="127"/>
      <c r="W251" s="127"/>
      <c r="X251" s="127"/>
      <c r="Y251" s="127"/>
      <c r="Z251" s="127"/>
    </row>
    <row r="252">
      <c r="A252" s="211">
        <v>9.0</v>
      </c>
      <c r="B252" s="211">
        <v>0.0</v>
      </c>
      <c r="C252" s="137" t="s">
        <v>571</v>
      </c>
      <c r="D252" s="138"/>
      <c r="E252" s="139"/>
      <c r="F252" s="212">
        <v>1.6</v>
      </c>
      <c r="G252" s="139"/>
      <c r="H252" s="147" t="s">
        <v>34</v>
      </c>
      <c r="I252" s="139"/>
      <c r="J252" s="139"/>
      <c r="K252" s="139"/>
      <c r="L252" s="151" t="s">
        <v>572</v>
      </c>
      <c r="M252" s="125"/>
      <c r="N252" s="125"/>
      <c r="O252" s="125"/>
      <c r="P252" s="127"/>
      <c r="Q252" s="127"/>
      <c r="R252" s="127"/>
      <c r="S252" s="127"/>
      <c r="T252" s="127"/>
      <c r="U252" s="127"/>
      <c r="V252" s="127"/>
      <c r="W252" s="127"/>
      <c r="X252" s="127"/>
      <c r="Y252" s="127"/>
      <c r="Z252" s="127"/>
    </row>
    <row r="253">
      <c r="A253" s="196">
        <v>9.0</v>
      </c>
      <c r="B253" s="196">
        <v>3.0</v>
      </c>
      <c r="C253" s="197" t="s">
        <v>573</v>
      </c>
      <c r="D253" s="198"/>
      <c r="E253" s="199"/>
      <c r="F253" s="199"/>
      <c r="G253" s="199"/>
      <c r="H253" s="147" t="s">
        <v>34</v>
      </c>
      <c r="I253" s="199"/>
      <c r="J253" s="199"/>
      <c r="K253" s="199"/>
      <c r="L253" s="254" t="s">
        <v>574</v>
      </c>
      <c r="M253" s="125"/>
      <c r="N253" s="125"/>
      <c r="O253" s="125"/>
      <c r="P253" s="127"/>
      <c r="Q253" s="127"/>
      <c r="R253" s="127"/>
      <c r="S253" s="127"/>
      <c r="T253" s="127"/>
      <c r="U253" s="127"/>
      <c r="V253" s="127"/>
      <c r="W253" s="127"/>
      <c r="X253" s="127"/>
      <c r="Y253" s="127"/>
      <c r="Z253" s="127"/>
    </row>
    <row r="254">
      <c r="A254" s="196">
        <v>9.0</v>
      </c>
      <c r="B254" s="196">
        <v>7.0</v>
      </c>
      <c r="C254" s="197" t="s">
        <v>573</v>
      </c>
      <c r="D254" s="198"/>
      <c r="E254" s="199"/>
      <c r="F254" s="199"/>
      <c r="G254" s="199"/>
      <c r="H254" s="147" t="s">
        <v>34</v>
      </c>
      <c r="I254" s="199"/>
      <c r="J254" s="199"/>
      <c r="K254" s="199"/>
      <c r="L254" s="254" t="s">
        <v>574</v>
      </c>
      <c r="M254" s="125"/>
      <c r="N254" s="125"/>
      <c r="O254" s="125"/>
      <c r="P254" s="127"/>
      <c r="Q254" s="127"/>
      <c r="R254" s="127"/>
      <c r="S254" s="127"/>
      <c r="T254" s="127"/>
      <c r="U254" s="127"/>
      <c r="V254" s="127"/>
      <c r="W254" s="127"/>
      <c r="X254" s="127"/>
      <c r="Y254" s="127"/>
      <c r="Z254" s="127"/>
    </row>
    <row r="255">
      <c r="A255" s="206">
        <v>9.0</v>
      </c>
      <c r="B255" s="206">
        <v>2.0</v>
      </c>
      <c r="C255" s="221" t="s">
        <v>575</v>
      </c>
      <c r="D255" s="222"/>
      <c r="E255" s="223"/>
      <c r="F255" s="223"/>
      <c r="G255" s="223"/>
      <c r="H255" s="162" t="s">
        <v>37</v>
      </c>
      <c r="I255" s="223"/>
      <c r="J255" s="223"/>
      <c r="K255" s="223"/>
      <c r="L255" s="224"/>
      <c r="M255" s="125"/>
      <c r="N255" s="125"/>
      <c r="O255" s="125"/>
      <c r="P255" s="127"/>
      <c r="Q255" s="127"/>
      <c r="R255" s="127"/>
      <c r="S255" s="127"/>
      <c r="T255" s="127"/>
      <c r="U255" s="127"/>
      <c r="V255" s="127"/>
      <c r="W255" s="127"/>
      <c r="X255" s="127"/>
      <c r="Y255" s="127"/>
      <c r="Z255" s="127"/>
    </row>
    <row r="256">
      <c r="A256" s="235">
        <v>8.0</v>
      </c>
      <c r="B256" s="235">
        <v>0.0</v>
      </c>
      <c r="C256" s="236" t="s">
        <v>576</v>
      </c>
      <c r="D256" s="237" t="s">
        <v>219</v>
      </c>
      <c r="E256" s="238"/>
      <c r="F256" s="238"/>
      <c r="G256" s="238"/>
      <c r="H256" s="154" t="s">
        <v>43</v>
      </c>
      <c r="I256" s="238"/>
      <c r="J256" s="238"/>
      <c r="K256" s="238"/>
      <c r="L256" s="240" t="s">
        <v>577</v>
      </c>
      <c r="M256" s="125"/>
      <c r="N256" s="125"/>
      <c r="O256" s="125"/>
      <c r="P256" s="127"/>
      <c r="Q256" s="127"/>
      <c r="R256" s="127"/>
      <c r="S256" s="127"/>
      <c r="T256" s="127"/>
      <c r="U256" s="127"/>
      <c r="V256" s="127"/>
      <c r="W256" s="127"/>
      <c r="X256" s="127"/>
      <c r="Y256" s="127"/>
      <c r="Z256" s="127"/>
    </row>
    <row r="257">
      <c r="A257" s="211">
        <v>8.0</v>
      </c>
      <c r="B257" s="211">
        <v>0.0</v>
      </c>
      <c r="C257" s="137" t="s">
        <v>578</v>
      </c>
      <c r="D257" s="138"/>
      <c r="E257" s="139"/>
      <c r="F257" s="139"/>
      <c r="G257" s="139"/>
      <c r="H257" s="147" t="s">
        <v>34</v>
      </c>
      <c r="I257" s="139"/>
      <c r="J257" s="139"/>
      <c r="K257" s="139"/>
      <c r="L257" s="151"/>
      <c r="M257" s="125"/>
      <c r="N257" s="125"/>
      <c r="O257" s="125"/>
      <c r="P257" s="127"/>
      <c r="Q257" s="127"/>
      <c r="R257" s="127"/>
      <c r="S257" s="127"/>
      <c r="T257" s="127"/>
      <c r="U257" s="127"/>
      <c r="V257" s="127"/>
      <c r="W257" s="127"/>
      <c r="X257" s="127"/>
      <c r="Y257" s="127"/>
      <c r="Z257" s="127"/>
    </row>
    <row r="258">
      <c r="A258" s="201">
        <v>8.0</v>
      </c>
      <c r="B258" s="201">
        <v>5.0</v>
      </c>
      <c r="C258" s="213" t="s">
        <v>579</v>
      </c>
      <c r="D258" s="214"/>
      <c r="E258" s="215"/>
      <c r="F258" s="215"/>
      <c r="G258" s="212" t="s">
        <v>223</v>
      </c>
      <c r="H258" s="147" t="s">
        <v>34</v>
      </c>
      <c r="I258" s="215"/>
      <c r="J258" s="215"/>
      <c r="K258" s="215"/>
      <c r="L258" s="216" t="s">
        <v>580</v>
      </c>
      <c r="M258" s="125"/>
      <c r="N258" s="125"/>
      <c r="O258" s="125"/>
      <c r="P258" s="127"/>
      <c r="Q258" s="127"/>
      <c r="R258" s="127"/>
      <c r="S258" s="127"/>
      <c r="T258" s="127"/>
      <c r="U258" s="127"/>
      <c r="V258" s="127"/>
      <c r="W258" s="127"/>
      <c r="X258" s="127"/>
      <c r="Y258" s="127"/>
      <c r="Z258" s="127"/>
    </row>
    <row r="259">
      <c r="A259" s="225">
        <v>8.0</v>
      </c>
      <c r="B259" s="225">
        <v>6.0</v>
      </c>
      <c r="C259" s="226" t="s">
        <v>581</v>
      </c>
      <c r="D259" s="227"/>
      <c r="E259" s="228"/>
      <c r="F259" s="228"/>
      <c r="G259" s="228"/>
      <c r="H259" s="147" t="s">
        <v>34</v>
      </c>
      <c r="I259" s="228"/>
      <c r="J259" s="228"/>
      <c r="K259" s="228"/>
      <c r="L259" s="229" t="s">
        <v>498</v>
      </c>
      <c r="M259" s="125"/>
      <c r="N259" s="125"/>
      <c r="O259" s="125"/>
      <c r="P259" s="127"/>
      <c r="Q259" s="127"/>
      <c r="R259" s="127"/>
      <c r="S259" s="127"/>
      <c r="T259" s="127"/>
      <c r="U259" s="127"/>
      <c r="V259" s="127"/>
      <c r="W259" s="127"/>
      <c r="X259" s="127"/>
      <c r="Y259" s="127"/>
      <c r="Z259" s="127"/>
    </row>
    <row r="260">
      <c r="A260" s="230">
        <v>8.0</v>
      </c>
      <c r="B260" s="230">
        <v>4.0</v>
      </c>
      <c r="C260" s="231" t="s">
        <v>582</v>
      </c>
      <c r="D260" s="160" t="s">
        <v>358</v>
      </c>
      <c r="E260" s="232"/>
      <c r="F260" s="232"/>
      <c r="G260" s="232"/>
      <c r="H260" s="189" t="s">
        <v>220</v>
      </c>
      <c r="I260" s="232"/>
      <c r="J260" s="233" t="s">
        <v>583</v>
      </c>
      <c r="K260" s="232"/>
      <c r="L260" s="255" t="s">
        <v>584</v>
      </c>
      <c r="M260" s="125"/>
      <c r="N260" s="125"/>
      <c r="O260" s="125"/>
      <c r="P260" s="127"/>
      <c r="Q260" s="127"/>
      <c r="R260" s="127"/>
      <c r="S260" s="127"/>
      <c r="T260" s="127"/>
      <c r="U260" s="127"/>
      <c r="V260" s="127"/>
      <c r="W260" s="127"/>
      <c r="X260" s="127"/>
      <c r="Y260" s="127"/>
      <c r="Z260" s="127"/>
    </row>
    <row r="261">
      <c r="A261" s="230">
        <v>8.0</v>
      </c>
      <c r="B261" s="230">
        <v>1.0</v>
      </c>
      <c r="C261" s="231" t="s">
        <v>582</v>
      </c>
      <c r="D261" s="160" t="s">
        <v>358</v>
      </c>
      <c r="E261" s="232"/>
      <c r="F261" s="232"/>
      <c r="G261" s="232"/>
      <c r="H261" s="189" t="s">
        <v>220</v>
      </c>
      <c r="I261" s="232"/>
      <c r="J261" s="233" t="s">
        <v>583</v>
      </c>
      <c r="K261" s="232"/>
      <c r="L261" s="255" t="s">
        <v>584</v>
      </c>
      <c r="M261" s="125"/>
      <c r="N261" s="125"/>
      <c r="O261" s="125"/>
      <c r="P261" s="127"/>
      <c r="Q261" s="127"/>
      <c r="R261" s="127"/>
      <c r="S261" s="127"/>
      <c r="T261" s="127"/>
      <c r="U261" s="127"/>
      <c r="V261" s="127"/>
      <c r="W261" s="127"/>
      <c r="X261" s="127"/>
      <c r="Y261" s="127"/>
      <c r="Z261" s="127"/>
    </row>
    <row r="262">
      <c r="A262" s="211">
        <v>7.0</v>
      </c>
      <c r="B262" s="211">
        <v>0.0</v>
      </c>
      <c r="C262" s="137" t="s">
        <v>585</v>
      </c>
      <c r="D262" s="138"/>
      <c r="E262" s="139"/>
      <c r="F262" s="139"/>
      <c r="G262" s="139"/>
      <c r="H262" s="153" t="s">
        <v>45</v>
      </c>
      <c r="I262" s="139"/>
      <c r="J262" s="139"/>
      <c r="K262" s="139"/>
      <c r="L262" s="151" t="s">
        <v>586</v>
      </c>
      <c r="M262" s="125"/>
      <c r="N262" s="125"/>
      <c r="O262" s="125"/>
      <c r="P262" s="127"/>
      <c r="Q262" s="127"/>
      <c r="R262" s="127"/>
      <c r="S262" s="127"/>
      <c r="T262" s="127"/>
      <c r="U262" s="127"/>
      <c r="V262" s="127"/>
      <c r="W262" s="127"/>
      <c r="X262" s="127"/>
      <c r="Y262" s="127"/>
      <c r="Z262" s="127"/>
    </row>
    <row r="263">
      <c r="A263" s="211">
        <v>7.0</v>
      </c>
      <c r="B263" s="211">
        <v>0.0</v>
      </c>
      <c r="C263" s="137" t="s">
        <v>587</v>
      </c>
      <c r="D263" s="138"/>
      <c r="E263" s="139"/>
      <c r="F263" s="212">
        <v>1.5</v>
      </c>
      <c r="G263" s="212" t="s">
        <v>223</v>
      </c>
      <c r="H263" s="147" t="s">
        <v>34</v>
      </c>
      <c r="I263" s="139"/>
      <c r="J263" s="139"/>
      <c r="K263" s="139"/>
      <c r="L263" s="151" t="s">
        <v>588</v>
      </c>
      <c r="M263" s="125"/>
      <c r="N263" s="125"/>
      <c r="O263" s="125"/>
      <c r="P263" s="127"/>
      <c r="Q263" s="127"/>
      <c r="R263" s="127"/>
      <c r="S263" s="127"/>
      <c r="T263" s="127"/>
      <c r="U263" s="127"/>
      <c r="V263" s="127"/>
      <c r="W263" s="127"/>
      <c r="X263" s="127"/>
      <c r="Y263" s="127"/>
      <c r="Z263" s="127"/>
    </row>
    <row r="264">
      <c r="A264" s="201">
        <v>7.0</v>
      </c>
      <c r="B264" s="201">
        <v>5.0</v>
      </c>
      <c r="C264" s="213" t="s">
        <v>589</v>
      </c>
      <c r="D264" s="214"/>
      <c r="E264" s="215"/>
      <c r="F264" s="215"/>
      <c r="G264" s="215"/>
      <c r="H264" s="155" t="s">
        <v>236</v>
      </c>
      <c r="I264" s="215"/>
      <c r="J264" s="215"/>
      <c r="K264" s="215"/>
      <c r="L264" s="216" t="s">
        <v>590</v>
      </c>
      <c r="M264" s="125"/>
      <c r="N264" s="125"/>
      <c r="O264" s="125"/>
      <c r="P264" s="127"/>
      <c r="Q264" s="127"/>
      <c r="R264" s="127"/>
      <c r="S264" s="127"/>
      <c r="T264" s="127"/>
      <c r="U264" s="127"/>
      <c r="V264" s="127"/>
      <c r="W264" s="127"/>
      <c r="X264" s="127"/>
      <c r="Y264" s="127"/>
      <c r="Z264" s="127"/>
    </row>
    <row r="265">
      <c r="A265" s="196">
        <v>7.0</v>
      </c>
      <c r="B265" s="196">
        <v>3.0</v>
      </c>
      <c r="C265" s="217" t="s">
        <v>591</v>
      </c>
      <c r="D265" s="218"/>
      <c r="E265" s="219"/>
      <c r="F265" s="219"/>
      <c r="G265" s="219"/>
      <c r="H265" s="141" t="s">
        <v>46</v>
      </c>
      <c r="I265" s="219"/>
      <c r="J265" s="219"/>
      <c r="K265" s="219"/>
      <c r="L265" s="220"/>
      <c r="M265" s="125"/>
      <c r="N265" s="125"/>
      <c r="O265" s="125"/>
      <c r="P265" s="127"/>
      <c r="Q265" s="127"/>
      <c r="R265" s="127"/>
      <c r="S265" s="127"/>
      <c r="T265" s="127"/>
      <c r="U265" s="127"/>
      <c r="V265" s="127"/>
      <c r="W265" s="127"/>
      <c r="X265" s="127"/>
      <c r="Y265" s="127"/>
      <c r="Z265" s="127"/>
    </row>
    <row r="266">
      <c r="A266" s="196">
        <v>7.0</v>
      </c>
      <c r="B266" s="196">
        <v>7.0</v>
      </c>
      <c r="C266" s="217" t="s">
        <v>591</v>
      </c>
      <c r="D266" s="218"/>
      <c r="E266" s="219"/>
      <c r="F266" s="219"/>
      <c r="G266" s="219"/>
      <c r="H266" s="141" t="s">
        <v>46</v>
      </c>
      <c r="I266" s="219"/>
      <c r="J266" s="219"/>
      <c r="K266" s="219"/>
      <c r="L266" s="220"/>
      <c r="M266" s="125"/>
      <c r="N266" s="125"/>
      <c r="O266" s="125"/>
      <c r="P266" s="127"/>
      <c r="Q266" s="127"/>
      <c r="R266" s="127"/>
      <c r="S266" s="127"/>
      <c r="T266" s="127"/>
      <c r="U266" s="127"/>
      <c r="V266" s="127"/>
      <c r="W266" s="127"/>
      <c r="X266" s="127"/>
      <c r="Y266" s="127"/>
      <c r="Z266" s="127"/>
    </row>
    <row r="267">
      <c r="A267" s="206">
        <v>7.0</v>
      </c>
      <c r="B267" s="206">
        <v>2.0</v>
      </c>
      <c r="C267" s="221" t="s">
        <v>592</v>
      </c>
      <c r="D267" s="222"/>
      <c r="E267" s="223"/>
      <c r="F267" s="223"/>
      <c r="G267" s="223"/>
      <c r="H267" s="162" t="s">
        <v>37</v>
      </c>
      <c r="I267" s="223"/>
      <c r="J267" s="223"/>
      <c r="K267" s="223"/>
      <c r="L267" s="224" t="s">
        <v>593</v>
      </c>
      <c r="M267" s="125"/>
      <c r="N267" s="125"/>
      <c r="O267" s="125"/>
      <c r="P267" s="127"/>
      <c r="Q267" s="127"/>
      <c r="R267" s="127"/>
      <c r="S267" s="127"/>
      <c r="T267" s="127"/>
      <c r="U267" s="127"/>
      <c r="V267" s="127"/>
      <c r="W267" s="127"/>
      <c r="X267" s="127"/>
      <c r="Y267" s="127"/>
      <c r="Z267" s="127"/>
    </row>
    <row r="268">
      <c r="A268" s="206">
        <v>7.0</v>
      </c>
      <c r="B268" s="206">
        <v>2.0</v>
      </c>
      <c r="C268" s="207" t="s">
        <v>594</v>
      </c>
      <c r="D268" s="208"/>
      <c r="E268" s="209"/>
      <c r="F268" s="209"/>
      <c r="G268" s="209"/>
      <c r="H268" s="147" t="s">
        <v>34</v>
      </c>
      <c r="I268" s="160" t="s">
        <v>336</v>
      </c>
      <c r="J268" s="209"/>
      <c r="K268" s="209"/>
      <c r="L268" s="210" t="s">
        <v>526</v>
      </c>
      <c r="M268" s="125"/>
      <c r="N268" s="125"/>
      <c r="O268" s="125"/>
      <c r="P268" s="127"/>
      <c r="Q268" s="127"/>
      <c r="R268" s="127"/>
      <c r="S268" s="127"/>
      <c r="T268" s="127"/>
      <c r="U268" s="127"/>
      <c r="V268" s="127"/>
      <c r="W268" s="127"/>
      <c r="X268" s="127"/>
      <c r="Y268" s="127"/>
      <c r="Z268" s="127"/>
    </row>
    <row r="269">
      <c r="A269" s="185">
        <v>6.0</v>
      </c>
      <c r="B269" s="185">
        <v>2.0</v>
      </c>
      <c r="C269" s="236" t="s">
        <v>595</v>
      </c>
      <c r="D269" s="237" t="s">
        <v>219</v>
      </c>
      <c r="E269" s="238"/>
      <c r="F269" s="212">
        <v>1.4</v>
      </c>
      <c r="G269" s="238"/>
      <c r="H269" s="150" t="s">
        <v>38</v>
      </c>
      <c r="I269" s="238"/>
      <c r="J269" s="253" t="s">
        <v>596</v>
      </c>
      <c r="K269" s="238"/>
      <c r="L269" s="240" t="s">
        <v>597</v>
      </c>
      <c r="M269" s="125"/>
      <c r="N269" s="125"/>
      <c r="O269" s="125"/>
      <c r="P269" s="127"/>
      <c r="Q269" s="127"/>
      <c r="R269" s="127"/>
      <c r="S269" s="127"/>
      <c r="T269" s="127"/>
      <c r="U269" s="127"/>
      <c r="V269" s="127"/>
      <c r="W269" s="127"/>
      <c r="X269" s="127"/>
      <c r="Y269" s="127"/>
      <c r="Z269" s="127"/>
    </row>
    <row r="270">
      <c r="A270" s="185">
        <v>6.0</v>
      </c>
      <c r="B270" s="185">
        <v>3.0</v>
      </c>
      <c r="C270" s="236" t="s">
        <v>595</v>
      </c>
      <c r="D270" s="237" t="s">
        <v>219</v>
      </c>
      <c r="E270" s="238"/>
      <c r="F270" s="212">
        <v>1.4</v>
      </c>
      <c r="G270" s="238"/>
      <c r="H270" s="150" t="s">
        <v>38</v>
      </c>
      <c r="I270" s="238"/>
      <c r="J270" s="253" t="s">
        <v>596</v>
      </c>
      <c r="K270" s="253" t="s">
        <v>598</v>
      </c>
      <c r="L270" s="240" t="s">
        <v>599</v>
      </c>
      <c r="M270" s="125"/>
      <c r="N270" s="125"/>
      <c r="O270" s="125"/>
      <c r="P270" s="127"/>
      <c r="Q270" s="127"/>
      <c r="R270" s="127"/>
      <c r="S270" s="127"/>
      <c r="T270" s="127"/>
      <c r="U270" s="127"/>
      <c r="V270" s="127"/>
      <c r="W270" s="127"/>
      <c r="X270" s="127"/>
      <c r="Y270" s="127"/>
      <c r="Z270" s="127"/>
    </row>
    <row r="271">
      <c r="A271" s="185">
        <v>6.0</v>
      </c>
      <c r="B271" s="185">
        <v>4.0</v>
      </c>
      <c r="C271" s="236" t="s">
        <v>595</v>
      </c>
      <c r="D271" s="237" t="s">
        <v>219</v>
      </c>
      <c r="E271" s="238"/>
      <c r="F271" s="212">
        <v>1.4</v>
      </c>
      <c r="G271" s="238"/>
      <c r="H271" s="150" t="s">
        <v>38</v>
      </c>
      <c r="I271" s="238"/>
      <c r="J271" s="253" t="s">
        <v>596</v>
      </c>
      <c r="K271" s="253" t="s">
        <v>598</v>
      </c>
      <c r="L271" s="240" t="s">
        <v>599</v>
      </c>
      <c r="M271" s="125"/>
      <c r="N271" s="125"/>
      <c r="O271" s="125"/>
      <c r="P271" s="127"/>
      <c r="Q271" s="127"/>
      <c r="R271" s="127"/>
      <c r="S271" s="127"/>
      <c r="T271" s="127"/>
      <c r="U271" s="127"/>
      <c r="V271" s="127"/>
      <c r="W271" s="127"/>
      <c r="X271" s="127"/>
      <c r="Y271" s="127"/>
      <c r="Z271" s="127"/>
    </row>
    <row r="272">
      <c r="A272" s="185">
        <v>6.0</v>
      </c>
      <c r="B272" s="185">
        <v>5.0</v>
      </c>
      <c r="C272" s="236" t="s">
        <v>595</v>
      </c>
      <c r="D272" s="237" t="s">
        <v>219</v>
      </c>
      <c r="E272" s="238"/>
      <c r="F272" s="212">
        <v>1.4</v>
      </c>
      <c r="G272" s="238"/>
      <c r="H272" s="150" t="s">
        <v>38</v>
      </c>
      <c r="I272" s="238"/>
      <c r="J272" s="253" t="s">
        <v>596</v>
      </c>
      <c r="K272" s="238"/>
      <c r="L272" s="240" t="s">
        <v>597</v>
      </c>
      <c r="M272" s="125"/>
      <c r="N272" s="125"/>
      <c r="O272" s="125"/>
      <c r="P272" s="127"/>
      <c r="Q272" s="127"/>
      <c r="R272" s="127"/>
      <c r="S272" s="127"/>
      <c r="T272" s="127"/>
      <c r="U272" s="127"/>
      <c r="V272" s="127"/>
      <c r="W272" s="127"/>
      <c r="X272" s="127"/>
      <c r="Y272" s="127"/>
      <c r="Z272" s="127"/>
    </row>
    <row r="273">
      <c r="A273" s="185">
        <v>6.0</v>
      </c>
      <c r="B273" s="185">
        <v>6.0</v>
      </c>
      <c r="C273" s="236" t="s">
        <v>595</v>
      </c>
      <c r="D273" s="237" t="s">
        <v>219</v>
      </c>
      <c r="E273" s="238"/>
      <c r="F273" s="212">
        <v>1.4</v>
      </c>
      <c r="G273" s="238"/>
      <c r="H273" s="150" t="s">
        <v>38</v>
      </c>
      <c r="I273" s="238"/>
      <c r="J273" s="253" t="s">
        <v>596</v>
      </c>
      <c r="K273" s="253" t="s">
        <v>598</v>
      </c>
      <c r="L273" s="240" t="s">
        <v>599</v>
      </c>
      <c r="M273" s="125"/>
      <c r="N273" s="125"/>
      <c r="O273" s="125"/>
      <c r="P273" s="127"/>
      <c r="Q273" s="127"/>
      <c r="R273" s="127"/>
      <c r="S273" s="127"/>
      <c r="T273" s="127"/>
      <c r="U273" s="127"/>
      <c r="V273" s="127"/>
      <c r="W273" s="127"/>
      <c r="X273" s="127"/>
      <c r="Y273" s="127"/>
      <c r="Z273" s="127"/>
    </row>
    <row r="274">
      <c r="A274" s="185">
        <v>6.0</v>
      </c>
      <c r="B274" s="185">
        <v>7.0</v>
      </c>
      <c r="C274" s="236" t="s">
        <v>595</v>
      </c>
      <c r="D274" s="237" t="s">
        <v>219</v>
      </c>
      <c r="E274" s="238"/>
      <c r="F274" s="212">
        <v>1.4</v>
      </c>
      <c r="G274" s="238"/>
      <c r="H274" s="150" t="s">
        <v>38</v>
      </c>
      <c r="I274" s="238"/>
      <c r="J274" s="253" t="s">
        <v>596</v>
      </c>
      <c r="K274" s="253" t="s">
        <v>598</v>
      </c>
      <c r="L274" s="240" t="s">
        <v>599</v>
      </c>
      <c r="M274" s="125"/>
      <c r="N274" s="125"/>
      <c r="O274" s="125"/>
      <c r="P274" s="127"/>
      <c r="Q274" s="127"/>
      <c r="R274" s="127"/>
      <c r="S274" s="127"/>
      <c r="T274" s="127"/>
      <c r="U274" s="127"/>
      <c r="V274" s="127"/>
      <c r="W274" s="127"/>
      <c r="X274" s="127"/>
      <c r="Y274" s="127"/>
      <c r="Z274" s="127"/>
    </row>
    <row r="275">
      <c r="A275" s="185">
        <v>6.0</v>
      </c>
      <c r="B275" s="185">
        <v>1.0</v>
      </c>
      <c r="C275" s="236" t="s">
        <v>595</v>
      </c>
      <c r="D275" s="237" t="s">
        <v>219</v>
      </c>
      <c r="E275" s="238"/>
      <c r="F275" s="212">
        <v>1.4</v>
      </c>
      <c r="G275" s="238"/>
      <c r="H275" s="150" t="s">
        <v>38</v>
      </c>
      <c r="I275" s="238"/>
      <c r="J275" s="253" t="s">
        <v>596</v>
      </c>
      <c r="K275" s="253" t="s">
        <v>598</v>
      </c>
      <c r="L275" s="240" t="s">
        <v>599</v>
      </c>
      <c r="M275" s="125"/>
      <c r="N275" s="125"/>
      <c r="O275" s="125"/>
      <c r="P275" s="127"/>
      <c r="Q275" s="127"/>
      <c r="R275" s="127"/>
      <c r="S275" s="127"/>
      <c r="T275" s="127"/>
      <c r="U275" s="127"/>
      <c r="V275" s="127"/>
      <c r="W275" s="127"/>
      <c r="X275" s="127"/>
      <c r="Y275" s="127"/>
      <c r="Z275" s="127"/>
    </row>
    <row r="276">
      <c r="A276" s="211">
        <v>6.0</v>
      </c>
      <c r="B276" s="211">
        <v>0.0</v>
      </c>
      <c r="C276" s="137" t="s">
        <v>600</v>
      </c>
      <c r="D276" s="138"/>
      <c r="E276" s="139"/>
      <c r="F276" s="139"/>
      <c r="G276" s="139"/>
      <c r="H276" s="155" t="s">
        <v>236</v>
      </c>
      <c r="I276" s="139"/>
      <c r="J276" s="139"/>
      <c r="K276" s="139"/>
      <c r="L276" s="151" t="s">
        <v>601</v>
      </c>
      <c r="M276" s="125"/>
      <c r="N276" s="125"/>
      <c r="O276" s="125"/>
      <c r="P276" s="127"/>
      <c r="Q276" s="127"/>
      <c r="R276" s="127"/>
      <c r="S276" s="127"/>
      <c r="T276" s="127"/>
      <c r="U276" s="127"/>
      <c r="V276" s="127"/>
      <c r="W276" s="127"/>
      <c r="X276" s="127"/>
      <c r="Y276" s="127"/>
      <c r="Z276" s="127"/>
    </row>
    <row r="277">
      <c r="A277" s="196">
        <v>6.0</v>
      </c>
      <c r="B277" s="196">
        <v>3.0</v>
      </c>
      <c r="C277" s="217" t="s">
        <v>602</v>
      </c>
      <c r="D277" s="218"/>
      <c r="E277" s="219"/>
      <c r="F277" s="219"/>
      <c r="G277" s="219"/>
      <c r="H277" s="141" t="s">
        <v>46</v>
      </c>
      <c r="I277" s="219"/>
      <c r="J277" s="219"/>
      <c r="K277" s="219"/>
      <c r="L277" s="220" t="s">
        <v>603</v>
      </c>
      <c r="M277" s="125"/>
      <c r="N277" s="125"/>
      <c r="O277" s="125"/>
      <c r="P277" s="127"/>
      <c r="Q277" s="127"/>
      <c r="R277" s="127"/>
      <c r="S277" s="127"/>
      <c r="T277" s="127"/>
      <c r="U277" s="127"/>
      <c r="V277" s="127"/>
      <c r="W277" s="127"/>
      <c r="X277" s="127"/>
      <c r="Y277" s="127"/>
      <c r="Z277" s="127"/>
    </row>
    <row r="278">
      <c r="A278" s="196">
        <v>6.0</v>
      </c>
      <c r="B278" s="196">
        <v>7.0</v>
      </c>
      <c r="C278" s="217" t="s">
        <v>602</v>
      </c>
      <c r="D278" s="218"/>
      <c r="E278" s="219"/>
      <c r="F278" s="219"/>
      <c r="G278" s="219"/>
      <c r="H278" s="141" t="s">
        <v>46</v>
      </c>
      <c r="I278" s="219"/>
      <c r="J278" s="219"/>
      <c r="K278" s="219"/>
      <c r="L278" s="220" t="s">
        <v>603</v>
      </c>
      <c r="M278" s="125"/>
      <c r="N278" s="125"/>
      <c r="O278" s="125"/>
      <c r="P278" s="127"/>
      <c r="Q278" s="127"/>
      <c r="R278" s="127"/>
      <c r="S278" s="127"/>
      <c r="T278" s="127"/>
      <c r="U278" s="127"/>
      <c r="V278" s="127"/>
      <c r="W278" s="127"/>
      <c r="X278" s="127"/>
      <c r="Y278" s="127"/>
      <c r="Z278" s="127"/>
    </row>
    <row r="279">
      <c r="A279" s="225">
        <v>6.0</v>
      </c>
      <c r="B279" s="225">
        <v>6.0</v>
      </c>
      <c r="C279" s="226" t="s">
        <v>604</v>
      </c>
      <c r="D279" s="227"/>
      <c r="E279" s="228"/>
      <c r="F279" s="228"/>
      <c r="G279" s="212" t="s">
        <v>223</v>
      </c>
      <c r="H279" s="147" t="s">
        <v>34</v>
      </c>
      <c r="I279" s="228"/>
      <c r="J279" s="228"/>
      <c r="K279" s="228"/>
      <c r="L279" s="229" t="s">
        <v>605</v>
      </c>
      <c r="M279" s="125"/>
      <c r="N279" s="125"/>
      <c r="O279" s="125"/>
      <c r="P279" s="127"/>
      <c r="Q279" s="127"/>
      <c r="R279" s="127"/>
      <c r="S279" s="127"/>
      <c r="T279" s="127"/>
      <c r="U279" s="127"/>
      <c r="V279" s="127"/>
      <c r="W279" s="127"/>
      <c r="X279" s="127"/>
      <c r="Y279" s="127"/>
      <c r="Z279" s="127"/>
    </row>
    <row r="280">
      <c r="A280" s="235">
        <v>5.0</v>
      </c>
      <c r="B280" s="235">
        <v>0.0</v>
      </c>
      <c r="C280" s="236" t="s">
        <v>606</v>
      </c>
      <c r="D280" s="237" t="s">
        <v>219</v>
      </c>
      <c r="E280" s="238"/>
      <c r="F280" s="212">
        <v>1.3</v>
      </c>
      <c r="G280" s="212" t="s">
        <v>223</v>
      </c>
      <c r="H280" s="147" t="s">
        <v>34</v>
      </c>
      <c r="I280" s="238"/>
      <c r="J280" s="238"/>
      <c r="K280" s="238"/>
      <c r="L280" s="240" t="s">
        <v>607</v>
      </c>
      <c r="M280" s="125"/>
      <c r="N280" s="125"/>
      <c r="O280" s="125"/>
      <c r="P280" s="127"/>
      <c r="Q280" s="127"/>
      <c r="R280" s="127"/>
      <c r="S280" s="127"/>
      <c r="T280" s="127"/>
      <c r="U280" s="127"/>
      <c r="V280" s="127"/>
      <c r="W280" s="127"/>
      <c r="X280" s="127"/>
      <c r="Y280" s="127"/>
      <c r="Z280" s="127"/>
    </row>
    <row r="281">
      <c r="A281" s="211">
        <v>5.0</v>
      </c>
      <c r="B281" s="211">
        <v>0.0</v>
      </c>
      <c r="C281" s="137" t="s">
        <v>608</v>
      </c>
      <c r="D281" s="138"/>
      <c r="E281" s="139"/>
      <c r="F281" s="139"/>
      <c r="G281" s="139"/>
      <c r="H281" s="162" t="s">
        <v>37</v>
      </c>
      <c r="I281" s="139"/>
      <c r="J281" s="139"/>
      <c r="K281" s="139"/>
      <c r="L281" s="151"/>
      <c r="M281" s="125"/>
      <c r="N281" s="125"/>
      <c r="O281" s="125"/>
      <c r="P281" s="127"/>
      <c r="Q281" s="127"/>
      <c r="R281" s="127"/>
      <c r="S281" s="127"/>
      <c r="T281" s="127"/>
      <c r="U281" s="127"/>
      <c r="V281" s="127"/>
      <c r="W281" s="127"/>
      <c r="X281" s="127"/>
      <c r="Y281" s="127"/>
      <c r="Z281" s="127"/>
    </row>
    <row r="282">
      <c r="A282" s="201">
        <v>5.0</v>
      </c>
      <c r="B282" s="201">
        <v>5.0</v>
      </c>
      <c r="C282" s="213" t="s">
        <v>609</v>
      </c>
      <c r="D282" s="214"/>
      <c r="E282" s="215"/>
      <c r="F282" s="215"/>
      <c r="G282" s="215"/>
      <c r="H282" s="155" t="s">
        <v>236</v>
      </c>
      <c r="I282" s="215"/>
      <c r="J282" s="215"/>
      <c r="K282" s="215"/>
      <c r="L282" s="216" t="s">
        <v>610</v>
      </c>
      <c r="M282" s="125"/>
      <c r="N282" s="125"/>
      <c r="O282" s="125"/>
      <c r="P282" s="127"/>
      <c r="Q282" s="127"/>
      <c r="R282" s="127"/>
      <c r="S282" s="127"/>
      <c r="T282" s="127"/>
      <c r="U282" s="127"/>
      <c r="V282" s="127"/>
      <c r="W282" s="127"/>
      <c r="X282" s="127"/>
      <c r="Y282" s="127"/>
      <c r="Z282" s="127"/>
    </row>
    <row r="283">
      <c r="A283" s="201">
        <v>5.0</v>
      </c>
      <c r="B283" s="201">
        <v>5.0</v>
      </c>
      <c r="C283" s="213" t="s">
        <v>611</v>
      </c>
      <c r="D283" s="214"/>
      <c r="E283" s="215"/>
      <c r="F283" s="215"/>
      <c r="G283" s="215"/>
      <c r="H283" s="147" t="s">
        <v>34</v>
      </c>
      <c r="I283" s="156" t="s">
        <v>336</v>
      </c>
      <c r="J283" s="215"/>
      <c r="K283" s="215"/>
      <c r="L283" s="216" t="s">
        <v>612</v>
      </c>
      <c r="M283" s="125"/>
      <c r="N283" s="125"/>
      <c r="O283" s="125"/>
      <c r="P283" s="127"/>
      <c r="Q283" s="127"/>
      <c r="R283" s="127"/>
      <c r="S283" s="127"/>
      <c r="T283" s="127"/>
      <c r="U283" s="127"/>
      <c r="V283" s="127"/>
      <c r="W283" s="127"/>
      <c r="X283" s="127"/>
      <c r="Y283" s="127"/>
      <c r="Z283" s="127"/>
    </row>
    <row r="284">
      <c r="A284" s="196">
        <v>5.0</v>
      </c>
      <c r="B284" s="196">
        <v>3.0</v>
      </c>
      <c r="C284" s="217" t="s">
        <v>611</v>
      </c>
      <c r="D284" s="218"/>
      <c r="E284" s="219"/>
      <c r="F284" s="219"/>
      <c r="G284" s="219"/>
      <c r="H284" s="147" t="s">
        <v>34</v>
      </c>
      <c r="I284" s="156" t="s">
        <v>336</v>
      </c>
      <c r="J284" s="219"/>
      <c r="K284" s="219"/>
      <c r="L284" s="220" t="s">
        <v>612</v>
      </c>
      <c r="M284" s="127"/>
      <c r="N284" s="127"/>
      <c r="O284" s="127"/>
      <c r="P284" s="127"/>
      <c r="Q284" s="127"/>
      <c r="R284" s="127"/>
      <c r="S284" s="127"/>
      <c r="T284" s="127"/>
      <c r="U284" s="127"/>
      <c r="V284" s="127"/>
      <c r="W284" s="127"/>
      <c r="X284" s="127"/>
      <c r="Y284" s="127"/>
      <c r="Z284" s="127"/>
    </row>
    <row r="285">
      <c r="A285" s="196">
        <v>5.0</v>
      </c>
      <c r="B285" s="196">
        <v>7.0</v>
      </c>
      <c r="C285" s="217" t="s">
        <v>611</v>
      </c>
      <c r="D285" s="218"/>
      <c r="E285" s="219"/>
      <c r="F285" s="219"/>
      <c r="G285" s="219"/>
      <c r="H285" s="147" t="s">
        <v>34</v>
      </c>
      <c r="I285" s="156" t="s">
        <v>336</v>
      </c>
      <c r="J285" s="219"/>
      <c r="K285" s="219"/>
      <c r="L285" s="220" t="s">
        <v>612</v>
      </c>
      <c r="M285" s="127"/>
      <c r="N285" s="127"/>
      <c r="O285" s="127"/>
      <c r="P285" s="127"/>
      <c r="Q285" s="127"/>
      <c r="R285" s="127"/>
      <c r="S285" s="127"/>
      <c r="T285" s="127"/>
      <c r="U285" s="127"/>
      <c r="V285" s="127"/>
      <c r="W285" s="127"/>
      <c r="X285" s="127"/>
      <c r="Y285" s="127"/>
      <c r="Z285" s="127"/>
    </row>
    <row r="286">
      <c r="A286" s="196">
        <v>5.0</v>
      </c>
      <c r="B286" s="196">
        <v>3.0</v>
      </c>
      <c r="C286" s="217" t="s">
        <v>613</v>
      </c>
      <c r="D286" s="218"/>
      <c r="E286" s="219"/>
      <c r="F286" s="219"/>
      <c r="G286" s="219"/>
      <c r="H286" s="141" t="s">
        <v>46</v>
      </c>
      <c r="I286" s="219"/>
      <c r="J286" s="219"/>
      <c r="K286" s="219"/>
      <c r="L286" s="220"/>
      <c r="M286" s="127"/>
      <c r="N286" s="127"/>
      <c r="O286" s="127"/>
      <c r="P286" s="127"/>
      <c r="Q286" s="127"/>
      <c r="R286" s="127"/>
      <c r="S286" s="127"/>
      <c r="T286" s="127"/>
      <c r="U286" s="127"/>
      <c r="V286" s="127"/>
      <c r="W286" s="127"/>
      <c r="X286" s="127"/>
      <c r="Y286" s="127"/>
      <c r="Z286" s="127"/>
    </row>
    <row r="287">
      <c r="A287" s="196">
        <v>5.0</v>
      </c>
      <c r="B287" s="196">
        <v>7.0</v>
      </c>
      <c r="C287" s="217" t="s">
        <v>613</v>
      </c>
      <c r="D287" s="218"/>
      <c r="E287" s="219"/>
      <c r="F287" s="219"/>
      <c r="G287" s="219"/>
      <c r="H287" s="141" t="s">
        <v>46</v>
      </c>
      <c r="I287" s="219"/>
      <c r="J287" s="219"/>
      <c r="K287" s="219"/>
      <c r="L287" s="220"/>
      <c r="M287" s="127"/>
      <c r="N287" s="127"/>
      <c r="O287" s="127"/>
      <c r="P287" s="127"/>
      <c r="Q287" s="127"/>
      <c r="R287" s="127"/>
      <c r="S287" s="127"/>
      <c r="T287" s="127"/>
      <c r="U287" s="127"/>
      <c r="V287" s="127"/>
      <c r="W287" s="127"/>
      <c r="X287" s="127"/>
      <c r="Y287" s="127"/>
      <c r="Z287" s="127"/>
    </row>
    <row r="288">
      <c r="A288" s="225">
        <v>5.0</v>
      </c>
      <c r="B288" s="225">
        <v>4.0</v>
      </c>
      <c r="C288" s="226" t="s">
        <v>614</v>
      </c>
      <c r="D288" s="227"/>
      <c r="E288" s="228"/>
      <c r="F288" s="228"/>
      <c r="G288" s="228"/>
      <c r="H288" s="153" t="s">
        <v>45</v>
      </c>
      <c r="I288" s="228"/>
      <c r="J288" s="228"/>
      <c r="K288" s="228"/>
      <c r="L288" s="229"/>
      <c r="M288" s="127"/>
      <c r="N288" s="127"/>
      <c r="O288" s="127"/>
      <c r="P288" s="127"/>
      <c r="Q288" s="127"/>
      <c r="R288" s="127"/>
      <c r="S288" s="127"/>
      <c r="T288" s="127"/>
      <c r="U288" s="127"/>
      <c r="V288" s="127"/>
      <c r="W288" s="127"/>
      <c r="X288" s="127"/>
      <c r="Y288" s="127"/>
      <c r="Z288" s="127"/>
    </row>
    <row r="289">
      <c r="A289" s="225">
        <v>5.0</v>
      </c>
      <c r="B289" s="225">
        <v>6.0</v>
      </c>
      <c r="C289" s="226" t="s">
        <v>614</v>
      </c>
      <c r="D289" s="227"/>
      <c r="E289" s="228"/>
      <c r="F289" s="228"/>
      <c r="G289" s="228"/>
      <c r="H289" s="153" t="s">
        <v>45</v>
      </c>
      <c r="I289" s="228"/>
      <c r="J289" s="228"/>
      <c r="K289" s="228"/>
      <c r="L289" s="229"/>
      <c r="M289" s="127"/>
      <c r="N289" s="127"/>
      <c r="O289" s="127"/>
      <c r="P289" s="127"/>
      <c r="Q289" s="127"/>
      <c r="R289" s="127"/>
      <c r="S289" s="127"/>
      <c r="T289" s="127"/>
      <c r="U289" s="127"/>
      <c r="V289" s="127"/>
      <c r="W289" s="127"/>
      <c r="X289" s="127"/>
      <c r="Y289" s="127"/>
      <c r="Z289" s="127"/>
    </row>
    <row r="290">
      <c r="A290" s="225">
        <v>5.0</v>
      </c>
      <c r="B290" s="225">
        <v>1.0</v>
      </c>
      <c r="C290" s="226" t="s">
        <v>614</v>
      </c>
      <c r="D290" s="227"/>
      <c r="E290" s="228"/>
      <c r="F290" s="228"/>
      <c r="G290" s="228"/>
      <c r="H290" s="153" t="s">
        <v>45</v>
      </c>
      <c r="I290" s="228"/>
      <c r="J290" s="228"/>
      <c r="K290" s="228"/>
      <c r="L290" s="229"/>
      <c r="M290" s="127"/>
      <c r="N290" s="127"/>
      <c r="O290" s="127"/>
      <c r="P290" s="127"/>
      <c r="Q290" s="127"/>
      <c r="R290" s="127"/>
      <c r="S290" s="127"/>
      <c r="T290" s="127"/>
      <c r="U290" s="127"/>
      <c r="V290" s="127"/>
      <c r="W290" s="127"/>
      <c r="X290" s="127"/>
      <c r="Y290" s="127"/>
      <c r="Z290" s="127"/>
    </row>
    <row r="291">
      <c r="A291" s="230">
        <v>5.0</v>
      </c>
      <c r="B291" s="230">
        <v>4.0</v>
      </c>
      <c r="C291" s="231" t="s">
        <v>615</v>
      </c>
      <c r="D291" s="160" t="s">
        <v>358</v>
      </c>
      <c r="E291" s="232"/>
      <c r="F291" s="232"/>
      <c r="G291" s="232"/>
      <c r="H291" s="189" t="s">
        <v>220</v>
      </c>
      <c r="I291" s="232"/>
      <c r="J291" s="232"/>
      <c r="K291" s="232"/>
      <c r="L291" s="255" t="s">
        <v>616</v>
      </c>
      <c r="M291" s="127"/>
      <c r="N291" s="127"/>
      <c r="O291" s="127"/>
      <c r="P291" s="127"/>
      <c r="Q291" s="127"/>
      <c r="R291" s="127"/>
      <c r="S291" s="127"/>
      <c r="T291" s="127"/>
      <c r="U291" s="127"/>
      <c r="V291" s="127"/>
      <c r="W291" s="127"/>
      <c r="X291" s="127"/>
      <c r="Y291" s="127"/>
      <c r="Z291" s="127"/>
    </row>
    <row r="292">
      <c r="A292" s="230">
        <v>5.0</v>
      </c>
      <c r="B292" s="230">
        <v>1.0</v>
      </c>
      <c r="C292" s="231" t="s">
        <v>615</v>
      </c>
      <c r="D292" s="160" t="s">
        <v>358</v>
      </c>
      <c r="E292" s="232"/>
      <c r="F292" s="232"/>
      <c r="G292" s="232"/>
      <c r="H292" s="189" t="s">
        <v>220</v>
      </c>
      <c r="I292" s="232"/>
      <c r="J292" s="232"/>
      <c r="K292" s="232"/>
      <c r="L292" s="255" t="s">
        <v>616</v>
      </c>
      <c r="M292" s="127"/>
      <c r="N292" s="127"/>
      <c r="O292" s="127"/>
      <c r="P292" s="127"/>
      <c r="Q292" s="127"/>
      <c r="R292" s="127"/>
      <c r="S292" s="127"/>
      <c r="T292" s="127"/>
      <c r="U292" s="127"/>
      <c r="V292" s="127"/>
      <c r="W292" s="127"/>
      <c r="X292" s="127"/>
      <c r="Y292" s="127"/>
      <c r="Z292" s="127"/>
    </row>
    <row r="293">
      <c r="A293" s="235">
        <v>4.0</v>
      </c>
      <c r="B293" s="235">
        <v>0.0</v>
      </c>
      <c r="C293" s="236" t="s">
        <v>617</v>
      </c>
      <c r="D293" s="237" t="s">
        <v>219</v>
      </c>
      <c r="E293" s="238"/>
      <c r="F293" s="238"/>
      <c r="G293" s="212" t="s">
        <v>223</v>
      </c>
      <c r="H293" s="150" t="s">
        <v>38</v>
      </c>
      <c r="I293" s="238"/>
      <c r="J293" s="238"/>
      <c r="K293" s="238"/>
      <c r="L293" s="240"/>
      <c r="M293" s="127"/>
      <c r="N293" s="127"/>
      <c r="O293" s="127"/>
      <c r="P293" s="127"/>
      <c r="Q293" s="127"/>
      <c r="R293" s="127"/>
      <c r="S293" s="127"/>
      <c r="T293" s="127"/>
      <c r="U293" s="127"/>
      <c r="V293" s="127"/>
      <c r="W293" s="127"/>
      <c r="X293" s="127"/>
      <c r="Y293" s="127"/>
      <c r="Z293" s="127"/>
    </row>
    <row r="294">
      <c r="A294" s="201">
        <v>4.0</v>
      </c>
      <c r="B294" s="201">
        <v>5.0</v>
      </c>
      <c r="C294" s="213" t="s">
        <v>618</v>
      </c>
      <c r="D294" s="214"/>
      <c r="E294" s="215"/>
      <c r="F294" s="215"/>
      <c r="G294" s="215"/>
      <c r="H294" s="150" t="s">
        <v>38</v>
      </c>
      <c r="I294" s="215"/>
      <c r="J294" s="215"/>
      <c r="K294" s="215"/>
      <c r="L294" s="216" t="s">
        <v>619</v>
      </c>
      <c r="M294" s="127"/>
      <c r="N294" s="127"/>
      <c r="O294" s="127"/>
      <c r="P294" s="127"/>
      <c r="Q294" s="127"/>
      <c r="R294" s="127"/>
      <c r="S294" s="127"/>
      <c r="T294" s="127"/>
      <c r="U294" s="127"/>
      <c r="V294" s="127"/>
      <c r="W294" s="127"/>
      <c r="X294" s="127"/>
      <c r="Y294" s="127"/>
      <c r="Z294" s="127"/>
    </row>
    <row r="295">
      <c r="A295" s="196">
        <v>4.0</v>
      </c>
      <c r="B295" s="196">
        <v>3.0</v>
      </c>
      <c r="C295" s="217" t="s">
        <v>620</v>
      </c>
      <c r="D295" s="218"/>
      <c r="E295" s="219"/>
      <c r="F295" s="219"/>
      <c r="G295" s="219"/>
      <c r="H295" s="162" t="s">
        <v>37</v>
      </c>
      <c r="I295" s="219"/>
      <c r="J295" s="219"/>
      <c r="K295" s="219"/>
      <c r="L295" s="220"/>
      <c r="M295" s="127"/>
      <c r="N295" s="127"/>
      <c r="O295" s="127"/>
      <c r="P295" s="127"/>
      <c r="Q295" s="127"/>
      <c r="R295" s="127"/>
      <c r="S295" s="127"/>
      <c r="T295" s="127"/>
      <c r="U295" s="127"/>
      <c r="V295" s="127"/>
      <c r="W295" s="127"/>
      <c r="X295" s="127"/>
      <c r="Y295" s="127"/>
      <c r="Z295" s="127"/>
    </row>
    <row r="296">
      <c r="A296" s="196">
        <v>4.0</v>
      </c>
      <c r="B296" s="196">
        <v>7.0</v>
      </c>
      <c r="C296" s="217" t="s">
        <v>620</v>
      </c>
      <c r="D296" s="218"/>
      <c r="E296" s="219"/>
      <c r="F296" s="219"/>
      <c r="G296" s="219"/>
      <c r="H296" s="162" t="s">
        <v>37</v>
      </c>
      <c r="I296" s="219"/>
      <c r="J296" s="219"/>
      <c r="K296" s="219"/>
      <c r="L296" s="220"/>
      <c r="M296" s="127"/>
      <c r="N296" s="127"/>
      <c r="O296" s="127"/>
      <c r="P296" s="127"/>
      <c r="Q296" s="127"/>
      <c r="R296" s="127"/>
      <c r="S296" s="127"/>
      <c r="T296" s="127"/>
      <c r="U296" s="127"/>
      <c r="V296" s="127"/>
      <c r="W296" s="127"/>
      <c r="X296" s="127"/>
      <c r="Y296" s="127"/>
      <c r="Z296" s="127"/>
    </row>
    <row r="297">
      <c r="A297" s="196">
        <v>4.0</v>
      </c>
      <c r="B297" s="196">
        <v>3.0</v>
      </c>
      <c r="C297" s="217" t="s">
        <v>621</v>
      </c>
      <c r="D297" s="218"/>
      <c r="E297" s="219"/>
      <c r="F297" s="219"/>
      <c r="G297" s="219"/>
      <c r="H297" s="153" t="s">
        <v>45</v>
      </c>
      <c r="I297" s="219"/>
      <c r="J297" s="219"/>
      <c r="K297" s="219"/>
      <c r="L297" s="220" t="s">
        <v>622</v>
      </c>
      <c r="M297" s="127"/>
      <c r="N297" s="127"/>
      <c r="O297" s="127"/>
      <c r="P297" s="127"/>
      <c r="Q297" s="127"/>
      <c r="R297" s="127"/>
      <c r="S297" s="127"/>
      <c r="T297" s="127"/>
      <c r="U297" s="127"/>
      <c r="V297" s="127"/>
      <c r="W297" s="127"/>
      <c r="X297" s="127"/>
      <c r="Y297" s="127"/>
      <c r="Z297" s="127"/>
    </row>
    <row r="298">
      <c r="A298" s="196">
        <v>4.0</v>
      </c>
      <c r="B298" s="196">
        <v>7.0</v>
      </c>
      <c r="C298" s="217" t="s">
        <v>621</v>
      </c>
      <c r="D298" s="218"/>
      <c r="E298" s="219"/>
      <c r="F298" s="219"/>
      <c r="G298" s="219"/>
      <c r="H298" s="153" t="s">
        <v>45</v>
      </c>
      <c r="I298" s="219"/>
      <c r="J298" s="219"/>
      <c r="K298" s="219"/>
      <c r="L298" s="220" t="s">
        <v>622</v>
      </c>
      <c r="M298" s="127"/>
      <c r="N298" s="127"/>
      <c r="O298" s="127"/>
      <c r="P298" s="127"/>
      <c r="Q298" s="127"/>
      <c r="R298" s="127"/>
      <c r="S298" s="127"/>
      <c r="T298" s="127"/>
      <c r="U298" s="127"/>
      <c r="V298" s="127"/>
      <c r="W298" s="127"/>
      <c r="X298" s="127"/>
      <c r="Y298" s="127"/>
      <c r="Z298" s="127"/>
    </row>
    <row r="299">
      <c r="A299" s="206">
        <v>4.0</v>
      </c>
      <c r="B299" s="206">
        <v>2.0</v>
      </c>
      <c r="C299" s="221" t="s">
        <v>623</v>
      </c>
      <c r="D299" s="222"/>
      <c r="E299" s="223"/>
      <c r="F299" s="223"/>
      <c r="G299" s="223"/>
      <c r="H299" s="153" t="s">
        <v>45</v>
      </c>
      <c r="I299" s="223"/>
      <c r="J299" s="223"/>
      <c r="K299" s="223"/>
      <c r="L299" s="256" t="s">
        <v>624</v>
      </c>
      <c r="M299" s="127"/>
      <c r="N299" s="127"/>
      <c r="O299" s="127"/>
      <c r="P299" s="127"/>
      <c r="Q299" s="127"/>
      <c r="R299" s="127"/>
      <c r="S299" s="127"/>
      <c r="T299" s="127"/>
      <c r="U299" s="127"/>
      <c r="V299" s="127"/>
      <c r="W299" s="127"/>
      <c r="X299" s="127"/>
      <c r="Y299" s="127"/>
      <c r="Z299" s="127"/>
    </row>
    <row r="300">
      <c r="A300" s="225">
        <v>4.0</v>
      </c>
      <c r="B300" s="225">
        <v>6.0</v>
      </c>
      <c r="C300" s="226" t="s">
        <v>625</v>
      </c>
      <c r="D300" s="227"/>
      <c r="E300" s="228"/>
      <c r="F300" s="228"/>
      <c r="G300" s="228"/>
      <c r="H300" s="189" t="s">
        <v>220</v>
      </c>
      <c r="I300" s="228"/>
      <c r="J300" s="228"/>
      <c r="K300" s="228"/>
      <c r="L300" s="229" t="s">
        <v>626</v>
      </c>
      <c r="M300" s="127"/>
      <c r="N300" s="127"/>
      <c r="O300" s="127"/>
      <c r="P300" s="127"/>
      <c r="Q300" s="127"/>
      <c r="R300" s="127"/>
      <c r="S300" s="127"/>
      <c r="T300" s="127"/>
      <c r="U300" s="127"/>
      <c r="V300" s="127"/>
      <c r="W300" s="127"/>
      <c r="X300" s="127"/>
      <c r="Y300" s="127"/>
      <c r="Z300" s="127"/>
    </row>
    <row r="301">
      <c r="A301" s="230">
        <v>4.0</v>
      </c>
      <c r="B301" s="230">
        <v>4.0</v>
      </c>
      <c r="C301" s="231" t="s">
        <v>627</v>
      </c>
      <c r="D301" s="160" t="s">
        <v>358</v>
      </c>
      <c r="E301" s="232"/>
      <c r="F301" s="232"/>
      <c r="G301" s="232"/>
      <c r="H301" s="189" t="s">
        <v>220</v>
      </c>
      <c r="I301" s="232"/>
      <c r="J301" s="232"/>
      <c r="K301" s="232"/>
      <c r="L301" s="255" t="s">
        <v>628</v>
      </c>
      <c r="M301" s="127"/>
      <c r="N301" s="127"/>
      <c r="O301" s="127"/>
      <c r="P301" s="127"/>
      <c r="Q301" s="127"/>
      <c r="R301" s="127"/>
      <c r="S301" s="127"/>
      <c r="T301" s="127"/>
      <c r="U301" s="127"/>
      <c r="V301" s="127"/>
      <c r="W301" s="127"/>
      <c r="X301" s="127"/>
      <c r="Y301" s="127"/>
      <c r="Z301" s="127"/>
    </row>
    <row r="302">
      <c r="A302" s="230">
        <v>4.0</v>
      </c>
      <c r="B302" s="230">
        <v>1.0</v>
      </c>
      <c r="C302" s="231" t="s">
        <v>627</v>
      </c>
      <c r="D302" s="160" t="s">
        <v>358</v>
      </c>
      <c r="E302" s="232"/>
      <c r="F302" s="232"/>
      <c r="G302" s="232"/>
      <c r="H302" s="189" t="s">
        <v>220</v>
      </c>
      <c r="I302" s="232"/>
      <c r="J302" s="232"/>
      <c r="K302" s="232"/>
      <c r="L302" s="255" t="s">
        <v>628</v>
      </c>
      <c r="M302" s="127"/>
      <c r="N302" s="127"/>
      <c r="O302" s="127"/>
      <c r="P302" s="127"/>
      <c r="Q302" s="127"/>
      <c r="R302" s="127"/>
      <c r="S302" s="127"/>
      <c r="T302" s="127"/>
      <c r="U302" s="127"/>
      <c r="V302" s="127"/>
      <c r="W302" s="127"/>
      <c r="X302" s="127"/>
      <c r="Y302" s="127"/>
      <c r="Z302" s="127"/>
    </row>
    <row r="303">
      <c r="A303" s="235">
        <v>3.0</v>
      </c>
      <c r="B303" s="235">
        <v>0.0</v>
      </c>
      <c r="C303" s="236" t="s">
        <v>629</v>
      </c>
      <c r="D303" s="237" t="s">
        <v>219</v>
      </c>
      <c r="E303" s="238"/>
      <c r="F303" s="212">
        <v>1.2</v>
      </c>
      <c r="G303" s="238"/>
      <c r="H303" s="147" t="s">
        <v>34</v>
      </c>
      <c r="I303" s="238"/>
      <c r="J303" s="253" t="s">
        <v>567</v>
      </c>
      <c r="K303" s="253" t="s">
        <v>598</v>
      </c>
      <c r="L303" s="240" t="s">
        <v>630</v>
      </c>
      <c r="M303" s="127"/>
      <c r="N303" s="127"/>
      <c r="O303" s="127"/>
      <c r="P303" s="127"/>
      <c r="Q303" s="127"/>
      <c r="R303" s="127"/>
      <c r="S303" s="127"/>
      <c r="T303" s="127"/>
      <c r="U303" s="127"/>
      <c r="V303" s="127"/>
      <c r="W303" s="127"/>
      <c r="X303" s="127"/>
      <c r="Y303" s="127"/>
      <c r="Z303" s="127"/>
    </row>
    <row r="304">
      <c r="A304" s="211">
        <v>3.0</v>
      </c>
      <c r="B304" s="211">
        <v>0.0</v>
      </c>
      <c r="C304" s="137" t="s">
        <v>631</v>
      </c>
      <c r="D304" s="138"/>
      <c r="E304" s="139"/>
      <c r="F304" s="139"/>
      <c r="G304" s="212" t="s">
        <v>223</v>
      </c>
      <c r="H304" s="155" t="s">
        <v>236</v>
      </c>
      <c r="I304" s="139"/>
      <c r="J304" s="139"/>
      <c r="K304" s="253" t="s">
        <v>598</v>
      </c>
      <c r="L304" s="151" t="s">
        <v>632</v>
      </c>
      <c r="M304" s="127"/>
      <c r="N304" s="127"/>
      <c r="O304" s="127"/>
      <c r="P304" s="127"/>
      <c r="Q304" s="127"/>
      <c r="R304" s="127"/>
      <c r="S304" s="127"/>
      <c r="T304" s="127"/>
      <c r="U304" s="127"/>
      <c r="V304" s="127"/>
      <c r="W304" s="127"/>
      <c r="X304" s="127"/>
      <c r="Y304" s="127"/>
      <c r="Z304" s="127"/>
    </row>
    <row r="305">
      <c r="A305" s="201">
        <v>3.0</v>
      </c>
      <c r="B305" s="201">
        <v>5.0</v>
      </c>
      <c r="C305" s="213" t="s">
        <v>633</v>
      </c>
      <c r="D305" s="214"/>
      <c r="E305" s="215"/>
      <c r="F305" s="215"/>
      <c r="G305" s="215"/>
      <c r="H305" s="150" t="s">
        <v>38</v>
      </c>
      <c r="I305" s="215"/>
      <c r="J305" s="215"/>
      <c r="K305" s="215"/>
      <c r="L305" s="250" t="s">
        <v>634</v>
      </c>
      <c r="M305" s="127"/>
      <c r="N305" s="127"/>
      <c r="O305" s="127"/>
      <c r="P305" s="127"/>
      <c r="Q305" s="127"/>
      <c r="R305" s="127"/>
      <c r="S305" s="127"/>
      <c r="T305" s="127"/>
      <c r="U305" s="127"/>
      <c r="V305" s="127"/>
      <c r="W305" s="127"/>
      <c r="X305" s="127"/>
      <c r="Y305" s="127"/>
      <c r="Z305" s="127"/>
    </row>
    <row r="306">
      <c r="A306" s="201">
        <v>3.0</v>
      </c>
      <c r="B306" s="201">
        <v>5.0</v>
      </c>
      <c r="C306" s="213" t="s">
        <v>635</v>
      </c>
      <c r="D306" s="214"/>
      <c r="E306" s="215"/>
      <c r="F306" s="215"/>
      <c r="G306" s="215"/>
      <c r="H306" s="150" t="s">
        <v>38</v>
      </c>
      <c r="I306" s="215"/>
      <c r="J306" s="215"/>
      <c r="K306" s="215"/>
      <c r="L306" s="216" t="s">
        <v>636</v>
      </c>
      <c r="M306" s="127"/>
      <c r="N306" s="127"/>
      <c r="O306" s="127"/>
      <c r="P306" s="127"/>
      <c r="Q306" s="127"/>
      <c r="R306" s="127"/>
      <c r="S306" s="127"/>
      <c r="T306" s="127"/>
      <c r="U306" s="127"/>
      <c r="V306" s="127"/>
      <c r="W306" s="127"/>
      <c r="X306" s="127"/>
      <c r="Y306" s="127"/>
      <c r="Z306" s="127"/>
    </row>
    <row r="307">
      <c r="A307" s="196">
        <v>3.0</v>
      </c>
      <c r="B307" s="196">
        <v>3.0</v>
      </c>
      <c r="C307" s="217" t="s">
        <v>637</v>
      </c>
      <c r="D307" s="218"/>
      <c r="E307" s="219"/>
      <c r="F307" s="219"/>
      <c r="G307" s="219"/>
      <c r="H307" s="154" t="s">
        <v>43</v>
      </c>
      <c r="I307" s="219"/>
      <c r="J307" s="219"/>
      <c r="K307" s="219"/>
      <c r="L307" s="254" t="s">
        <v>638</v>
      </c>
      <c r="M307" s="127"/>
      <c r="N307" s="127"/>
      <c r="O307" s="127"/>
      <c r="P307" s="127"/>
      <c r="Q307" s="127"/>
      <c r="R307" s="127"/>
      <c r="S307" s="127"/>
      <c r="T307" s="127"/>
      <c r="U307" s="127"/>
      <c r="V307" s="127"/>
      <c r="W307" s="127"/>
      <c r="X307" s="127"/>
      <c r="Y307" s="127"/>
      <c r="Z307" s="127"/>
    </row>
    <row r="308">
      <c r="A308" s="196">
        <v>3.0</v>
      </c>
      <c r="B308" s="196">
        <v>7.0</v>
      </c>
      <c r="C308" s="217" t="s">
        <v>637</v>
      </c>
      <c r="D308" s="218"/>
      <c r="E308" s="219"/>
      <c r="F308" s="219"/>
      <c r="G308" s="219"/>
      <c r="H308" s="154" t="s">
        <v>43</v>
      </c>
      <c r="I308" s="219"/>
      <c r="J308" s="219"/>
      <c r="K308" s="219"/>
      <c r="L308" s="254" t="s">
        <v>638</v>
      </c>
      <c r="M308" s="127"/>
      <c r="N308" s="127"/>
      <c r="O308" s="127"/>
      <c r="P308" s="127"/>
      <c r="Q308" s="127"/>
      <c r="R308" s="127"/>
      <c r="S308" s="127"/>
      <c r="T308" s="127"/>
      <c r="U308" s="127"/>
      <c r="V308" s="127"/>
      <c r="W308" s="127"/>
      <c r="X308" s="127"/>
      <c r="Y308" s="127"/>
      <c r="Z308" s="127"/>
    </row>
    <row r="309">
      <c r="A309" s="206">
        <v>3.0</v>
      </c>
      <c r="B309" s="206">
        <v>2.0</v>
      </c>
      <c r="C309" s="221" t="s">
        <v>639</v>
      </c>
      <c r="D309" s="222"/>
      <c r="E309" s="223"/>
      <c r="F309" s="223"/>
      <c r="G309" s="223"/>
      <c r="H309" s="154" t="s">
        <v>43</v>
      </c>
      <c r="I309" s="223"/>
      <c r="J309" s="223"/>
      <c r="K309" s="223"/>
      <c r="L309" s="224" t="s">
        <v>640</v>
      </c>
      <c r="M309" s="127"/>
      <c r="N309" s="127"/>
      <c r="O309" s="127"/>
      <c r="P309" s="127"/>
      <c r="Q309" s="127"/>
      <c r="R309" s="127"/>
      <c r="S309" s="127"/>
      <c r="T309" s="127"/>
      <c r="U309" s="127"/>
      <c r="V309" s="127"/>
      <c r="W309" s="127"/>
      <c r="X309" s="127"/>
      <c r="Y309" s="127"/>
      <c r="Z309" s="127"/>
    </row>
    <row r="310">
      <c r="A310" s="225">
        <v>3.0</v>
      </c>
      <c r="B310" s="225">
        <v>4.0</v>
      </c>
      <c r="C310" s="226" t="s">
        <v>641</v>
      </c>
      <c r="D310" s="227"/>
      <c r="E310" s="228"/>
      <c r="F310" s="228"/>
      <c r="G310" s="228"/>
      <c r="H310" s="147" t="s">
        <v>34</v>
      </c>
      <c r="I310" s="156" t="s">
        <v>445</v>
      </c>
      <c r="J310" s="228"/>
      <c r="K310" s="228"/>
      <c r="L310" s="229" t="s">
        <v>642</v>
      </c>
      <c r="M310" s="127"/>
      <c r="N310" s="127"/>
      <c r="O310" s="127"/>
      <c r="P310" s="127"/>
      <c r="Q310" s="127"/>
      <c r="R310" s="127"/>
      <c r="S310" s="127"/>
      <c r="T310" s="127"/>
      <c r="U310" s="127"/>
      <c r="V310" s="127"/>
      <c r="W310" s="127"/>
      <c r="X310" s="127"/>
      <c r="Y310" s="127"/>
      <c r="Z310" s="127"/>
    </row>
    <row r="311">
      <c r="A311" s="225">
        <v>3.0</v>
      </c>
      <c r="B311" s="225">
        <v>6.0</v>
      </c>
      <c r="C311" s="226" t="s">
        <v>641</v>
      </c>
      <c r="D311" s="227"/>
      <c r="E311" s="228"/>
      <c r="F311" s="228"/>
      <c r="G311" s="228"/>
      <c r="H311" s="147" t="s">
        <v>34</v>
      </c>
      <c r="I311" s="156" t="s">
        <v>445</v>
      </c>
      <c r="J311" s="228"/>
      <c r="K311" s="228"/>
      <c r="L311" s="229" t="s">
        <v>642</v>
      </c>
      <c r="M311" s="127"/>
      <c r="N311" s="127"/>
      <c r="O311" s="127"/>
      <c r="P311" s="127"/>
      <c r="Q311" s="127"/>
      <c r="R311" s="127"/>
      <c r="S311" s="127"/>
      <c r="T311" s="127"/>
      <c r="U311" s="127"/>
      <c r="V311" s="127"/>
      <c r="W311" s="127"/>
      <c r="X311" s="127"/>
      <c r="Y311" s="127"/>
      <c r="Z311" s="127"/>
    </row>
    <row r="312">
      <c r="A312" s="225">
        <v>3.0</v>
      </c>
      <c r="B312" s="225">
        <v>1.0</v>
      </c>
      <c r="C312" s="226" t="s">
        <v>641</v>
      </c>
      <c r="D312" s="227"/>
      <c r="E312" s="228"/>
      <c r="F312" s="228"/>
      <c r="G312" s="228"/>
      <c r="H312" s="147" t="s">
        <v>34</v>
      </c>
      <c r="I312" s="156" t="s">
        <v>445</v>
      </c>
      <c r="J312" s="228"/>
      <c r="K312" s="228"/>
      <c r="L312" s="229" t="s">
        <v>642</v>
      </c>
      <c r="M312" s="127"/>
      <c r="N312" s="127"/>
      <c r="O312" s="127"/>
      <c r="P312" s="127"/>
      <c r="Q312" s="127"/>
      <c r="R312" s="127"/>
      <c r="S312" s="127"/>
      <c r="T312" s="127"/>
      <c r="U312" s="127"/>
      <c r="V312" s="127"/>
      <c r="W312" s="127"/>
      <c r="X312" s="127"/>
      <c r="Y312" s="127"/>
      <c r="Z312" s="127"/>
    </row>
    <row r="313">
      <c r="A313" s="211">
        <v>2.0</v>
      </c>
      <c r="B313" s="211">
        <v>0.0</v>
      </c>
      <c r="C313" s="137" t="s">
        <v>643</v>
      </c>
      <c r="D313" s="138"/>
      <c r="E313" s="139"/>
      <c r="F313" s="257">
        <v>1.1</v>
      </c>
      <c r="G313" s="212" t="s">
        <v>223</v>
      </c>
      <c r="H313" s="155" t="s">
        <v>236</v>
      </c>
      <c r="I313" s="139"/>
      <c r="J313" s="139"/>
      <c r="K313" s="139"/>
      <c r="L313" s="151"/>
      <c r="M313" s="127"/>
      <c r="N313" s="127"/>
      <c r="O313" s="127"/>
      <c r="P313" s="127"/>
      <c r="Q313" s="127"/>
      <c r="R313" s="127"/>
      <c r="S313" s="127"/>
      <c r="T313" s="127"/>
      <c r="U313" s="127"/>
      <c r="V313" s="127"/>
      <c r="W313" s="127"/>
      <c r="X313" s="127"/>
      <c r="Y313" s="127"/>
      <c r="Z313" s="127"/>
    </row>
    <row r="314">
      <c r="A314" s="211">
        <v>2.0</v>
      </c>
      <c r="B314" s="211">
        <v>0.0</v>
      </c>
      <c r="C314" s="137" t="s">
        <v>644</v>
      </c>
      <c r="D314" s="138"/>
      <c r="E314" s="139"/>
      <c r="F314" s="139"/>
      <c r="G314" s="139"/>
      <c r="H314" s="154" t="s">
        <v>43</v>
      </c>
      <c r="I314" s="139"/>
      <c r="J314" s="139"/>
      <c r="K314" s="139"/>
      <c r="L314" s="151" t="s">
        <v>645</v>
      </c>
      <c r="M314" s="127"/>
      <c r="N314" s="127"/>
      <c r="O314" s="127"/>
      <c r="P314" s="127"/>
      <c r="Q314" s="127"/>
      <c r="R314" s="127"/>
      <c r="S314" s="127"/>
      <c r="T314" s="127"/>
      <c r="U314" s="127"/>
      <c r="V314" s="127"/>
      <c r="W314" s="127"/>
      <c r="X314" s="127"/>
      <c r="Y314" s="127"/>
      <c r="Z314" s="127"/>
    </row>
    <row r="315">
      <c r="A315" s="235">
        <v>1.0</v>
      </c>
      <c r="B315" s="235">
        <v>0.0</v>
      </c>
      <c r="C315" s="236" t="s">
        <v>646</v>
      </c>
      <c r="D315" s="237" t="s">
        <v>219</v>
      </c>
      <c r="E315" s="238"/>
      <c r="F315" s="238"/>
      <c r="G315" s="212" t="s">
        <v>223</v>
      </c>
      <c r="H315" s="189" t="s">
        <v>220</v>
      </c>
      <c r="I315" s="238"/>
      <c r="J315" s="238"/>
      <c r="K315" s="238"/>
      <c r="L315" s="240"/>
      <c r="M315" s="127"/>
      <c r="N315" s="127"/>
      <c r="O315" s="127"/>
      <c r="P315" s="127"/>
      <c r="Q315" s="127"/>
      <c r="R315" s="127"/>
      <c r="S315" s="127"/>
      <c r="T315" s="127"/>
      <c r="U315" s="127"/>
      <c r="V315" s="127"/>
      <c r="W315" s="127"/>
      <c r="X315" s="127"/>
      <c r="Y315" s="127"/>
      <c r="Z315" s="127"/>
    </row>
    <row r="316">
      <c r="A316" s="126"/>
      <c r="B316" s="258"/>
      <c r="C316" s="258"/>
      <c r="D316" s="259"/>
      <c r="E316" s="259"/>
      <c r="F316" s="259"/>
      <c r="G316" s="259"/>
      <c r="H316" s="259"/>
      <c r="I316" s="259"/>
      <c r="J316" s="259"/>
      <c r="K316" s="259"/>
      <c r="L316" s="260"/>
      <c r="M316" s="127"/>
      <c r="N316" s="127"/>
      <c r="O316" s="127"/>
      <c r="P316" s="127"/>
      <c r="Q316" s="127"/>
      <c r="R316" s="127"/>
      <c r="S316" s="127"/>
      <c r="T316" s="127"/>
      <c r="U316" s="127"/>
      <c r="V316" s="127"/>
      <c r="W316" s="127"/>
      <c r="X316" s="127"/>
      <c r="Y316" s="127"/>
      <c r="Z316" s="127"/>
    </row>
  </sheetData>
  <hyperlinks>
    <hyperlink r:id="rId1" ref="Q11"/>
    <hyperlink r:id="rId2" ref="Q12"/>
    <hyperlink r:id="rId3" ref="Q13"/>
    <hyperlink r:id="rId4" ref="Q14"/>
    <hyperlink r:id="rId5" ref="Q15"/>
    <hyperlink r:id="rId6" ref="Q16"/>
    <hyperlink r:id="rId7" ref="Q17"/>
    <hyperlink r:id="rId8" ref="Q29"/>
    <hyperlink r:id="rId9" ref="S29"/>
    <hyperlink r:id="rId10" ref="Q30"/>
    <hyperlink r:id="rId11" ref="S30"/>
    <hyperlink r:id="rId12" ref="Q31"/>
    <hyperlink r:id="rId13" ref="S31"/>
    <hyperlink r:id="rId14" ref="Q32"/>
    <hyperlink r:id="rId15" ref="S32"/>
    <hyperlink r:id="rId16" ref="Q33"/>
    <hyperlink r:id="rId17" ref="S33"/>
    <hyperlink r:id="rId18" ref="Q34"/>
    <hyperlink r:id="rId19" ref="S34"/>
  </hyperlinks>
  <drawing r:id="rId20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74EA7"/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29.14"/>
    <col customWidth="1" min="3" max="3" width="15.29"/>
    <col customWidth="1" min="4" max="4" width="19.57"/>
    <col customWidth="1" min="5" max="26" width="14.43"/>
  </cols>
  <sheetData>
    <row r="1">
      <c r="A1" s="261" t="s">
        <v>647</v>
      </c>
      <c r="B1" s="262"/>
      <c r="C1" s="262"/>
      <c r="D1" s="263"/>
    </row>
    <row r="2">
      <c r="A2" s="264" t="s">
        <v>648</v>
      </c>
      <c r="B2" s="263"/>
      <c r="C2" s="265" t="s">
        <v>649</v>
      </c>
      <c r="D2" s="263"/>
      <c r="F2" s="193"/>
      <c r="G2" s="193"/>
      <c r="H2" s="193"/>
      <c r="I2" s="193"/>
    </row>
    <row r="3">
      <c r="A3" s="266" t="s">
        <v>650</v>
      </c>
      <c r="B3" s="267"/>
      <c r="C3" s="268" t="str">
        <f>HYPERLINK("https://www.twitch.tv/oberlinx", "twitch.tv/oberlinx")</f>
        <v>twitch.tv/oberlinx</v>
      </c>
      <c r="D3" s="269" t="str">
        <f>HYPERLINK("https://streamlabs.com/oberlinx/merch", "Streamlabs Merch")</f>
        <v>Streamlabs Merch</v>
      </c>
      <c r="F3" s="193"/>
      <c r="G3" s="193"/>
      <c r="H3" s="193"/>
      <c r="I3" s="193"/>
      <c r="L3" s="7"/>
    </row>
    <row r="4">
      <c r="A4" s="266" t="s">
        <v>651</v>
      </c>
      <c r="B4" s="267"/>
      <c r="C4" s="268" t="str">
        <f>HYPERLINK("https://discord.gg/TZq8Eh3", "Oberlinx Discord Server")</f>
        <v>Oberlinx Discord Server</v>
      </c>
      <c r="D4" s="267"/>
      <c r="F4" s="193"/>
      <c r="G4" s="193"/>
    </row>
    <row r="5">
      <c r="A5" s="270" t="s">
        <v>652</v>
      </c>
      <c r="B5" s="267"/>
      <c r="C5" s="271" t="s">
        <v>653</v>
      </c>
      <c r="D5" s="269" t="str">
        <f>HYPERLINK("https://www.youtube.com/user/oberlinx", "Oberlinx YT")</f>
        <v>Oberlinx YT</v>
      </c>
      <c r="F5" s="193"/>
      <c r="G5" s="193"/>
    </row>
    <row r="6">
      <c r="B6" s="267"/>
      <c r="C6" s="272" t="str">
        <f>HYPERLINK("https://www.reddit.com/user/oberlinx","u/oberlinx")</f>
        <v>u/oberlinx</v>
      </c>
      <c r="D6" s="273" t="str">
        <f>HYPERLINK("https://twitter.com/oberlinx", "@oberlinx")</f>
        <v>@oberlinx</v>
      </c>
      <c r="F6" s="193"/>
      <c r="G6" s="193"/>
    </row>
    <row r="7">
      <c r="A7" s="274" t="s">
        <v>654</v>
      </c>
      <c r="B7" s="275" t="str">
        <f>HYPERLINK("https://www.reddit.com/user/ZeroSplint","u/ZeroSplint")</f>
        <v>u/ZeroSplint</v>
      </c>
      <c r="C7" s="265" t="s">
        <v>655</v>
      </c>
      <c r="D7" s="263"/>
      <c r="F7" s="193"/>
      <c r="G7" s="193"/>
    </row>
    <row r="8">
      <c r="A8" s="276" t="str">
        <f>HYPERLINK("https://www.reddit.com/5mxlvz/","1")</f>
        <v>1</v>
      </c>
      <c r="B8" s="277" t="s">
        <v>656</v>
      </c>
      <c r="C8" s="268" t="str">
        <f>HYPERLINK("https://www.reddit.com/user/KAITO_9562","u/KAITO_9562")</f>
        <v>u/KAITO_9562</v>
      </c>
      <c r="D8" s="267"/>
    </row>
    <row r="9">
      <c r="A9" s="278" t="str">
        <f>HYPERLINK("https://www.reddit.com/5mcmqo/","2")</f>
        <v>2</v>
      </c>
      <c r="B9" s="279" t="s">
        <v>657</v>
      </c>
      <c r="C9" s="280" t="str">
        <f>HYPERLINK("https://twitter.com/LID_Kaito", "@LID_Kaito")</f>
        <v>@LID_Kaito</v>
      </c>
      <c r="D9" s="267"/>
    </row>
    <row r="10">
      <c r="A10" s="281" t="str">
        <f>HYPERLINK("https://www.reddit.com/5mlay8/","3")</f>
        <v>3</v>
      </c>
      <c r="B10" s="282" t="s">
        <v>658</v>
      </c>
      <c r="C10" s="271" t="s">
        <v>659</v>
      </c>
      <c r="D10" s="267"/>
    </row>
    <row r="11">
      <c r="A11" s="283" t="str">
        <f>HYPERLINK("https://www.reddit.com/5mq53q/","4")</f>
        <v>4</v>
      </c>
      <c r="B11" s="284" t="s">
        <v>660</v>
      </c>
      <c r="C11" s="285"/>
      <c r="D11" s="286"/>
    </row>
    <row r="12">
      <c r="A12" s="287" t="s">
        <v>661</v>
      </c>
      <c r="D12" s="267"/>
    </row>
    <row r="13">
      <c r="A13" s="288" t="s">
        <v>662</v>
      </c>
      <c r="B13" s="289" t="str">
        <f>HYPERLINK("https://www.reddit.com/r/LetItDie/", "r/LetItDie")</f>
        <v>r/LetItDie</v>
      </c>
      <c r="C13" s="288" t="s">
        <v>663</v>
      </c>
      <c r="D13" s="290" t="str">
        <f>HYPERLINK("https://www.facebook.com/LETITDIETheGame", "LETITDIETheGame")</f>
        <v>LETITDIETheGame</v>
      </c>
    </row>
    <row r="14">
      <c r="A14" s="288" t="s">
        <v>664</v>
      </c>
      <c r="B14" s="291" t="str">
        <f>HYPERLINK("https://discordapp.com/invite/gdMZBbK", "r/LetItDie Discord Server")</f>
        <v>r/LetItDie Discord Server</v>
      </c>
      <c r="C14" s="288" t="s">
        <v>665</v>
      </c>
      <c r="D14" s="290" t="str">
        <f>HYPERLINK("https://www.letitdiethegame.com/news.html", "Official Site")</f>
        <v>Official Site</v>
      </c>
      <c r="F14" s="193"/>
    </row>
    <row r="15">
      <c r="A15" s="288" t="s">
        <v>666</v>
      </c>
      <c r="B15" s="291" t="str">
        <f>HYPERLINK("https://letitdie.gamepedia.com/Let_It_Die_Wiki", "Let It Die Gamepedia")</f>
        <v>Let It Die Gamepedia</v>
      </c>
      <c r="C15" s="288" t="s">
        <v>667</v>
      </c>
      <c r="D15" s="290" t="str">
        <f>HYPERLINK("https://letitdie.jp/member/", "Official Japanese Site")</f>
        <v>Official Japanese Site</v>
      </c>
    </row>
    <row r="16">
      <c r="A16" s="288" t="s">
        <v>668</v>
      </c>
      <c r="B16" s="292" t="str">
        <f>HYPERLINK("https://twitter.com/LETITDIETheGame", "@LETITDIETheGame")</f>
        <v>@LETITDIETheGame</v>
      </c>
      <c r="C16" s="293" t="s">
        <v>669</v>
      </c>
      <c r="D16" s="290" t="str">
        <f>HYPERLINK("https://lid-na.gungho-support.com/hc/en-us/requests/new", "Submit a request")</f>
        <v>Submit a request</v>
      </c>
    </row>
    <row r="17">
      <c r="A17" s="287" t="s">
        <v>670</v>
      </c>
      <c r="D17" s="267"/>
      <c r="E17" s="193"/>
      <c r="F17" s="193"/>
      <c r="G17" s="193"/>
    </row>
    <row r="18">
      <c r="A18" s="291" t="str">
        <f>HYPERLINK("https://www.youtube.com/channel/UClR3-fdqAT3qbd-x2kXTCRQ","Khuron's YouTube Channel")</f>
        <v>Khuron's YouTube Channel</v>
      </c>
      <c r="C18" s="294" t="s">
        <v>671</v>
      </c>
      <c r="D18" s="267"/>
      <c r="F18" s="193"/>
      <c r="G18" s="193"/>
    </row>
    <row r="19">
      <c r="A19" s="291" t="str">
        <f>HYPERLINK("https://www.youtube.com/channel/UCAPIZvTQKn3UpmnKcILYlcg","TrustyworthyAndy's YouTube Channel")</f>
        <v>TrustyworthyAndy's YouTube Channel</v>
      </c>
      <c r="C19" s="295" t="s">
        <v>672</v>
      </c>
      <c r="D19" s="267"/>
      <c r="F19" s="193"/>
      <c r="G19" s="193"/>
    </row>
    <row r="20">
      <c r="A20" s="291" t="str">
        <f>HYPERLINK("https://www.reddit.com/r/LetItDie/comments/ky5aus/tower_climbing_tips_equipment_guide_part_1/","Tower climbing tips &amp; equipment guide (Part 1)")</f>
        <v>Tower climbing tips &amp; equipment guide (Part 1)</v>
      </c>
      <c r="C20" s="296" t="str">
        <f>HYPERLINK("https://www.reddit.com/user/AziSlays","u/AziSlays")</f>
        <v>u/AziSlays</v>
      </c>
      <c r="D20" s="267"/>
      <c r="F20" s="193"/>
      <c r="G20" s="193"/>
    </row>
    <row r="21">
      <c r="A21" s="291" t="str">
        <f>HYPERLINK("https://www.reddit.com/r/LetItDie/comments/ky5d63/tower_climbing_tips_equipment_guide_part_2/","Tower climbing tips &amp; equipment guide (Part 2)")</f>
        <v>Tower climbing tips &amp; equipment guide (Part 2)</v>
      </c>
      <c r="D21" s="267"/>
      <c r="F21" s="193"/>
      <c r="G21" s="193"/>
    </row>
    <row r="22">
      <c r="A22" s="291" t="str">
        <f>HYPERLINK("https://www.reddit.com/r/LetItDie/comments/k0y0m7/are_you_ready_for_the_forcemen/","Are you ready for the Forcemen?")</f>
        <v>Are you ready for the Forcemen?</v>
      </c>
      <c r="D22" s="267"/>
      <c r="F22" s="193"/>
      <c r="G22" s="193"/>
    </row>
    <row r="23">
      <c r="A23" s="291" t="str">
        <f>HYPERLINK("https://www.youtube.com/playlist?list=PLmSQEVkubOrS33JPOf0zFLFtJAmP5qpU0","Let It Die: How to dodge (YT Playlist)")</f>
        <v>Let It Die: How to dodge (YT Playlist)</v>
      </c>
      <c r="D23" s="267"/>
      <c r="F23" s="193"/>
      <c r="G23" s="193"/>
    </row>
    <row r="24">
      <c r="A24" s="287" t="s">
        <v>673</v>
      </c>
      <c r="C24" s="297" t="s">
        <v>674</v>
      </c>
      <c r="D24" s="267"/>
      <c r="F24" s="193"/>
      <c r="G24" s="193"/>
    </row>
    <row r="25">
      <c r="A25" s="288" t="s">
        <v>675</v>
      </c>
      <c r="B25" s="298" t="str">
        <f>HYPERLINK("http://letitdiewiki.jp/", "letitdiewiki.jp")</f>
        <v>letitdiewiki.jp</v>
      </c>
      <c r="C25" s="299">
        <v>43898.0</v>
      </c>
      <c r="D25" s="267"/>
    </row>
    <row r="26">
      <c r="A26" s="288" t="s">
        <v>676</v>
      </c>
      <c r="B26" s="300" t="str">
        <f>HYPERLINK("https://www.letitdiethegame.com/support.html","Let It Die Support")</f>
        <v>Let It Die Support</v>
      </c>
      <c r="C26" s="299">
        <v>43006.0</v>
      </c>
      <c r="D26" s="267"/>
    </row>
    <row r="27">
      <c r="A27" s="301" t="str">
        <f>HYPERLINK("https://www.reddit.com/user/AirWreckChan","u/AirWreckChan")</f>
        <v>u/AirWreckChan</v>
      </c>
      <c r="B27" s="292" t="str">
        <f>HYPERLINK("https://docs.google.com/document/d/1yk9wKttQNzbN725sAzdWZDJXj3wBUrBNkSNryBD5kZU/edit","Let It Die “Protip” Google Doc")</f>
        <v>Let It Die “Protip” Google Doc</v>
      </c>
      <c r="C27" s="299">
        <v>42739.0</v>
      </c>
      <c r="D27" s="267"/>
    </row>
    <row r="28">
      <c r="A28" s="293" t="s">
        <v>677</v>
      </c>
      <c r="B28" s="292" t="str">
        <f>HYPERLINK("http://pastebin.com/kk1y8VHR","Let It Die - FAQ pastebin")</f>
        <v>Let It Die - FAQ pastebin</v>
      </c>
      <c r="C28" s="299">
        <v>42728.0</v>
      </c>
      <c r="D28" s="267"/>
    </row>
    <row r="29">
      <c r="A29" s="302" t="str">
        <f>HYPERLINK("https://www.reddit.com/user/letitdie-excel","u/letitdie-excel")</f>
        <v>u/letitdie-excel</v>
      </c>
      <c r="B29" s="303" t="str">
        <f>HYPERLINK("https://docs.google.com/spreadsheets/d/15TK7mzbxeZ-lAZMvwt-TTdKedgAMVe4c2CEva3Yv2kE/", "Let It Die Resources Google Sheet")</f>
        <v>Let It Die Resources Google Sheet</v>
      </c>
      <c r="C29" s="304" t="s">
        <v>678</v>
      </c>
      <c r="D29" s="286"/>
    </row>
    <row r="30">
      <c r="G30" s="193"/>
    </row>
    <row r="32">
      <c r="E32" s="305"/>
    </row>
    <row r="33">
      <c r="E33" s="7"/>
      <c r="F33" s="7"/>
    </row>
    <row r="34">
      <c r="E34" s="306"/>
    </row>
  </sheetData>
  <mergeCells count="30">
    <mergeCell ref="A1:D1"/>
    <mergeCell ref="A2:B2"/>
    <mergeCell ref="C2:D2"/>
    <mergeCell ref="A3:B3"/>
    <mergeCell ref="A4:B4"/>
    <mergeCell ref="C4:D4"/>
    <mergeCell ref="A5:B6"/>
    <mergeCell ref="C7:D7"/>
    <mergeCell ref="C8:D8"/>
    <mergeCell ref="C9:D9"/>
    <mergeCell ref="C10:D10"/>
    <mergeCell ref="C11:D11"/>
    <mergeCell ref="A12:D12"/>
    <mergeCell ref="A17:D17"/>
    <mergeCell ref="A22:B22"/>
    <mergeCell ref="A23:B23"/>
    <mergeCell ref="A24:B24"/>
    <mergeCell ref="C24:D24"/>
    <mergeCell ref="C25:D25"/>
    <mergeCell ref="C26:D26"/>
    <mergeCell ref="C27:D27"/>
    <mergeCell ref="C28:D28"/>
    <mergeCell ref="C29:D29"/>
    <mergeCell ref="A18:B18"/>
    <mergeCell ref="C18:D18"/>
    <mergeCell ref="A19:B19"/>
    <mergeCell ref="C19:D19"/>
    <mergeCell ref="A20:B20"/>
    <mergeCell ref="C20:D23"/>
    <mergeCell ref="A21:B21"/>
  </mergeCells>
  <hyperlinks>
    <hyperlink r:id="rId1" ref="B8"/>
    <hyperlink r:id="rId2" ref="B9"/>
    <hyperlink r:id="rId3" ref="B10"/>
    <hyperlink r:id="rId4" ref="B11"/>
  </hyperlinks>
  <drawing r:id="rId5"/>
</worksheet>
</file>