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git\aris-integration-sdk\documents\"/>
    </mc:Choice>
  </mc:AlternateContent>
  <bookViews>
    <workbookView xWindow="0" yWindow="0" windowWidth="21600" windowHeight="8970"/>
  </bookViews>
  <sheets>
    <sheet name="Deriving settings from window" sheetId="1" r:id="rId1"/>
  </sheets>
  <definedNames>
    <definedName name="Aris2MaxFrameRate">'Deriving settings from window'!$G$35</definedName>
    <definedName name="BeamsLookup">'Deriving settings from window'!$G$16:$I$18</definedName>
    <definedName name="BeamSpacing">'Deriving settings from window'!$C$46</definedName>
    <definedName name="CrossRangeResolution">'Deriving settings from window'!$C$47</definedName>
    <definedName name="Depth">'Deriving settings from window'!$C$8</definedName>
    <definedName name="DownRangeResolution">'Deriving settings from window'!$C$49</definedName>
    <definedName name="EffectiveWindowLength">'Deriving settings from window'!$C$53</definedName>
    <definedName name="EffectiveWindowStart">'Deriving settings from window'!$C$44</definedName>
    <definedName name="FocusRangeRecommended">'Deriving settings from window'!$C$65</definedName>
    <definedName name="FrameRateCalculated">'Deriving settings from window'!$C$56</definedName>
    <definedName name="FreqString">'Deriving settings from window'!$C$59</definedName>
    <definedName name="Frequency">'Deriving settings from window'!$C$18</definedName>
    <definedName name="FrequencyCrossoverLookup">'Deriving settings from window'!$G$39:$I$41</definedName>
    <definedName name="FrequencyLookup">'Deriving settings from window'!$J$11:$K$12</definedName>
    <definedName name="FrequencyRecommended">'Deriving settings from window'!$C$58</definedName>
    <definedName name="MinCyclePeriod">'Deriving settings from window'!$C$55</definedName>
    <definedName name="NFactor">'Deriving settings from window'!$C$48</definedName>
    <definedName name="NumberOfBeams">'Deriving settings from window'!$C$17</definedName>
    <definedName name="PingMode">'Deriving settings from window'!$C$41</definedName>
    <definedName name="PingModeLookup">'Deriving settings from window'!$G$21:$J$24</definedName>
    <definedName name="PingsPerFrame">'Deriving settings from window'!$C$42</definedName>
    <definedName name="PulseWidthCalculated">'Deriving settings from window'!$C$61</definedName>
    <definedName name="PulseWidthModifier">'Deriving settings from window'!$C$60</definedName>
    <definedName name="ReceiverGain">'Deriving settings from window'!$C$62</definedName>
    <definedName name="Salinity">'Deriving settings from window'!$C$6</definedName>
    <definedName name="SalinityLookup">'Deriving settings from window'!$G$11:$H$13</definedName>
    <definedName name="SalinityPPT">'Deriving settings from window'!$C$40</definedName>
    <definedName name="SamplePeriod">'Deriving settings from window'!$C$50</definedName>
    <definedName name="SamplesPerBeamCalculated">'Deriving settings from window'!$C$52</definedName>
    <definedName name="SampleStartDelay">'Deriving settings from window'!$C$43</definedName>
    <definedName name="SoundSpeed">'Deriving settings from window'!$C$9</definedName>
    <definedName name="SystemType">'Deriving settings from window'!$C$3</definedName>
    <definedName name="SystemTypeFreqLookup">'Deriving settings from window'!$G$27:$I$32</definedName>
    <definedName name="SystemTypeLookup">'Deriving settings from window'!$G$6:$I$8</definedName>
    <definedName name="Temperature">'Deriving settings from window'!$C$7</definedName>
    <definedName name="WindowEnd">'Deriving settings from window'!$C$14</definedName>
    <definedName name="WindowLength">'Deriving settings from window'!$C$13</definedName>
    <definedName name="WindowStart">'Deriving settings from window'!$C$12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7" i="1" l="1"/>
  <c r="C62" i="1"/>
  <c r="C32" i="1" s="1"/>
  <c r="C41" i="1"/>
  <c r="C48" i="1" s="1"/>
  <c r="C65" i="1"/>
  <c r="C35" i="1" s="1"/>
  <c r="C14" i="1"/>
  <c r="C58" i="1" s="1"/>
  <c r="C59" i="1" s="1"/>
  <c r="C60" i="1" s="1"/>
  <c r="C40" i="1"/>
  <c r="C9" i="1" s="1"/>
  <c r="C43" i="1" s="1"/>
  <c r="C26" i="1" s="1"/>
  <c r="C24" i="1" l="1"/>
  <c r="C61" i="1"/>
  <c r="C29" i="1" s="1"/>
  <c r="C23" i="1"/>
  <c r="C44" i="1"/>
  <c r="C42" i="1"/>
  <c r="C46" i="1"/>
  <c r="C47" i="1" s="1"/>
  <c r="C49" i="1" s="1"/>
  <c r="C50" i="1" s="1"/>
  <c r="C52" i="1" l="1"/>
  <c r="C55" i="1" s="1"/>
  <c r="C28" i="1"/>
  <c r="C56" i="1" l="1"/>
  <c r="C22" i="1" s="1"/>
  <c r="C27" i="1"/>
  <c r="C53" i="1"/>
  <c r="C54" i="1" s="1"/>
  <c r="C25" i="1"/>
</calcChain>
</file>

<file path=xl/sharedStrings.xml><?xml version="1.0" encoding="utf-8"?>
<sst xmlns="http://schemas.openxmlformats.org/spreadsheetml/2006/main" count="103" uniqueCount="86">
  <si>
    <t>Window Start (m)</t>
  </si>
  <si>
    <t>Window Length (m)</t>
  </si>
  <si>
    <t>Ping Mode</t>
  </si>
  <si>
    <t>Beams</t>
  </si>
  <si>
    <t>Frequency</t>
  </si>
  <si>
    <t>Sample Start Delay (microseconds)</t>
  </si>
  <si>
    <t>Effective Window Start (m)</t>
  </si>
  <si>
    <t>Beam Spacing (deg)</t>
  </si>
  <si>
    <t>Down Range Resolution (m)</t>
  </si>
  <si>
    <t>Effective Window Length (m)</t>
  </si>
  <si>
    <t>Effective Window End (m)</t>
  </si>
  <si>
    <t>System Type</t>
  </si>
  <si>
    <t>ARIS 1200</t>
  </si>
  <si>
    <t>ARIS 1800</t>
  </si>
  <si>
    <t>ARIS 3000</t>
  </si>
  <si>
    <t>Pulse Width Modifier</t>
  </si>
  <si>
    <t>Enable 150V</t>
  </si>
  <si>
    <t>Salinity</t>
  </si>
  <si>
    <t>(due to rounding to integral values)</t>
  </si>
  <si>
    <t>Constants</t>
  </si>
  <si>
    <t>Environmental conditions</t>
  </si>
  <si>
    <t>(calculated)</t>
  </si>
  <si>
    <t>Deriving acoustic settings from the imaging window</t>
  </si>
  <si>
    <t>System Types</t>
  </si>
  <si>
    <t>Fresh water</t>
  </si>
  <si>
    <t>Brackish water</t>
  </si>
  <si>
    <t>Sea water</t>
  </si>
  <si>
    <t>(ppt)</t>
  </si>
  <si>
    <t>(Salinity ppt)</t>
  </si>
  <si>
    <t>(Window End (m))</t>
  </si>
  <si>
    <t>Number of Beams</t>
  </si>
  <si>
    <t>Pings per frame</t>
  </si>
  <si>
    <t>Ping mode</t>
  </si>
  <si>
    <t>Low</t>
  </si>
  <si>
    <t>High</t>
  </si>
  <si>
    <t>Temperature (degrees C)</t>
  </si>
  <si>
    <t>Depth (meters)</t>
  </si>
  <si>
    <t>Beam spacing</t>
  </si>
  <si>
    <t>Cross range resolution (m)</t>
  </si>
  <si>
    <t>N factor</t>
  </si>
  <si>
    <t>System Type-Freq</t>
  </si>
  <si>
    <t>ARIS 1200-Low</t>
  </si>
  <si>
    <t>ARIS 1200-High</t>
  </si>
  <si>
    <t>ARIS 1800-Low</t>
  </si>
  <si>
    <t>ARIS 1800-High</t>
  </si>
  <si>
    <t>ARIS 3000-Low</t>
  </si>
  <si>
    <t>ARIS 3000-High</t>
  </si>
  <si>
    <t>Sample period (microseconds)</t>
  </si>
  <si>
    <t>Samples per beam</t>
  </si>
  <si>
    <t>**** and if they adjust?</t>
  </si>
  <si>
    <t>Minimum cycle period (microseconds)</t>
  </si>
  <si>
    <t>Maximum frame rate</t>
  </si>
  <si>
    <t>Id</t>
  </si>
  <si>
    <t>Default gain</t>
  </si>
  <si>
    <t>Reciever gain</t>
  </si>
  <si>
    <t>Enable transmit</t>
  </si>
  <si>
    <t>Recommended focus range (m)</t>
  </si>
  <si>
    <t>Approx sound speed:</t>
  </si>
  <si>
    <t>ARIS 2 max frame rate</t>
  </si>
  <si>
    <t>Imaging Window</t>
  </si>
  <si>
    <t>cookie</t>
  </si>
  <si>
    <t>frameRate</t>
  </si>
  <si>
    <t>pingMode</t>
  </si>
  <si>
    <t>frequency</t>
  </si>
  <si>
    <t>samplesPerBeam</t>
  </si>
  <si>
    <t>sampleStartDelay</t>
  </si>
  <si>
    <t>cyclePeriod</t>
  </si>
  <si>
    <t>samplePeriod</t>
  </si>
  <si>
    <t>pulseWidth</t>
  </si>
  <si>
    <t>enableTransmit</t>
  </si>
  <si>
    <t>enable150Volts</t>
  </si>
  <si>
    <t>receiverGain</t>
  </si>
  <si>
    <t>Pulse Width</t>
  </si>
  <si>
    <t>focusRange</t>
  </si>
  <si>
    <t>(recommended)</t>
  </si>
  <si>
    <t>Frequency Crossover</t>
  </si>
  <si>
    <t>End Range Crossover (m)</t>
  </si>
  <si>
    <t>Recommended frequency</t>
  </si>
  <si>
    <t>Frequency crossover</t>
  </si>
  <si>
    <t>Freq string</t>
  </si>
  <si>
    <t>Calculated acoustic settings field values</t>
  </si>
  <si>
    <t>Calculated focus position field</t>
  </si>
  <si>
    <t>← Re-select when System Type changes.</t>
  </si>
  <si>
    <r>
      <rPr>
        <sz val="11"/>
        <rFont val="Calibri"/>
        <family val="2"/>
      </rPr>
      <t>→</t>
    </r>
    <r>
      <rPr>
        <sz val="11"/>
        <rFont val="Calibri"/>
        <family val="2"/>
        <scheme val="minor"/>
      </rPr>
      <t>NOTE: When you modify the System Type you must re-select Number of Beams below.</t>
    </r>
  </si>
  <si>
    <t>Intermediate values - don't change these.</t>
  </si>
  <si>
    <t>[you must increment this each time]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</si>
</sst>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0000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4"/>
      <name val="Consolas"/>
      <family val="3"/>
    </font>
    <font>
      <sz val="11"/>
      <color theme="4"/>
      <name val="Calibri"/>
      <family val="2"/>
      <scheme val="minor"/>
    </font>
    <font>
      <sz val="11"/>
      <name val="Calibri"/>
      <family val="2"/>
    </font>
    <font>
      <sz val="11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4" borderId="0" xfId="0" applyFill="1"/>
    <xf numFmtId="0" fontId="0" fillId="4" borderId="1" xfId="0" applyFill="1" applyBorder="1" applyAlignment="1">
      <alignment horizontal="center"/>
    </xf>
    <xf numFmtId="0" fontId="0" fillId="5" borderId="0" xfId="0" applyFill="1"/>
    <xf numFmtId="0" fontId="4" fillId="2" borderId="0" xfId="0" applyFont="1" applyFill="1"/>
    <xf numFmtId="0" fontId="3" fillId="2" borderId="0" xfId="0" applyFont="1" applyFill="1"/>
    <xf numFmtId="0" fontId="3" fillId="0" borderId="0" xfId="0" applyFont="1" applyFill="1"/>
    <xf numFmtId="0" fontId="5" fillId="0" borderId="0" xfId="0" applyFont="1" applyFill="1"/>
    <xf numFmtId="0" fontId="5" fillId="0" borderId="0" xfId="0" applyFont="1"/>
    <xf numFmtId="0" fontId="6" fillId="4" borderId="1" xfId="0" applyFont="1" applyFill="1" applyBorder="1"/>
    <xf numFmtId="0" fontId="5" fillId="4" borderId="1" xfId="0" applyFont="1" applyFill="1" applyBorder="1"/>
    <xf numFmtId="0" fontId="5" fillId="4" borderId="0" xfId="0" applyFont="1" applyFill="1"/>
    <xf numFmtId="0" fontId="6" fillId="5" borderId="1" xfId="0" applyFont="1" applyFill="1" applyBorder="1"/>
    <xf numFmtId="0" fontId="5" fillId="5" borderId="0" xfId="0" applyFont="1" applyFill="1"/>
    <xf numFmtId="2" fontId="5" fillId="3" borderId="0" xfId="0" applyNumberFormat="1" applyFont="1" applyFill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5" fillId="5" borderId="1" xfId="0" applyFont="1" applyFill="1" applyBorder="1"/>
    <xf numFmtId="0" fontId="3" fillId="4" borderId="0" xfId="0" applyFont="1" applyFill="1"/>
    <xf numFmtId="0" fontId="6" fillId="4" borderId="1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7" fillId="0" borderId="1" xfId="0" applyFont="1" applyFill="1" applyBorder="1"/>
    <xf numFmtId="0" fontId="8" fillId="0" borderId="1" xfId="0" applyFont="1" applyFill="1" applyBorder="1"/>
    <xf numFmtId="0" fontId="8" fillId="0" borderId="0" xfId="0" applyFont="1" applyFill="1"/>
    <xf numFmtId="2" fontId="5" fillId="5" borderId="0" xfId="0" applyNumberFormat="1" applyFont="1" applyFill="1"/>
    <xf numFmtId="2" fontId="5" fillId="5" borderId="0" xfId="0" applyNumberFormat="1" applyFont="1" applyFill="1" applyAlignment="1">
      <alignment horizontal="center"/>
    </xf>
    <xf numFmtId="0" fontId="8" fillId="5" borderId="0" xfId="0" applyFont="1" applyFill="1"/>
    <xf numFmtId="2" fontId="8" fillId="5" borderId="0" xfId="0" applyNumberFormat="1" applyFont="1" applyFill="1"/>
    <xf numFmtId="2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64" fontId="5" fillId="3" borderId="0" xfId="0" applyNumberFormat="1" applyFont="1" applyFill="1"/>
    <xf numFmtId="1" fontId="5" fillId="3" borderId="0" xfId="0" applyNumberFormat="1" applyFont="1" applyFill="1"/>
    <xf numFmtId="164" fontId="5" fillId="4" borderId="0" xfId="0" applyNumberFormat="1" applyFont="1" applyFill="1"/>
    <xf numFmtId="0" fontId="6" fillId="4" borderId="0" xfId="0" applyFont="1" applyFill="1"/>
    <xf numFmtId="0" fontId="9" fillId="5" borderId="5" xfId="0" applyFont="1" applyFill="1" applyBorder="1"/>
    <xf numFmtId="0" fontId="10" fillId="5" borderId="0" xfId="0" applyFont="1" applyFill="1" applyBorder="1"/>
    <xf numFmtId="0" fontId="10" fillId="5" borderId="6" xfId="0" applyFont="1" applyFill="1" applyBorder="1"/>
    <xf numFmtId="0" fontId="9" fillId="5" borderId="0" xfId="0" applyFont="1" applyFill="1" applyBorder="1"/>
    <xf numFmtId="0" fontId="5" fillId="5" borderId="5" xfId="0" applyFont="1" applyFill="1" applyBorder="1"/>
    <xf numFmtId="0" fontId="5" fillId="5" borderId="0" xfId="0" applyFont="1" applyFill="1" applyBorder="1"/>
    <xf numFmtId="0" fontId="5" fillId="5" borderId="6" xfId="0" applyFont="1" applyFill="1" applyBorder="1"/>
    <xf numFmtId="0" fontId="9" fillId="5" borderId="7" xfId="0" applyFont="1" applyFill="1" applyBorder="1"/>
    <xf numFmtId="0" fontId="9" fillId="5" borderId="1" xfId="0" applyFont="1" applyFill="1" applyBorder="1"/>
    <xf numFmtId="0" fontId="10" fillId="5" borderId="8" xfId="0" applyFont="1" applyFill="1" applyBorder="1"/>
    <xf numFmtId="0" fontId="1" fillId="2" borderId="3" xfId="0" applyFont="1" applyFill="1" applyBorder="1"/>
    <xf numFmtId="2" fontId="3" fillId="2" borderId="2" xfId="0" applyNumberFormat="1" applyFont="1" applyFill="1" applyBorder="1"/>
    <xf numFmtId="0" fontId="3" fillId="2" borderId="4" xfId="0" applyFont="1" applyFill="1" applyBorder="1"/>
    <xf numFmtId="0" fontId="1" fillId="2" borderId="7" xfId="0" applyFont="1" applyFill="1" applyBorder="1"/>
    <xf numFmtId="0" fontId="3" fillId="2" borderId="1" xfId="0" applyFont="1" applyFill="1" applyBorder="1"/>
    <xf numFmtId="0" fontId="3" fillId="2" borderId="8" xfId="0" applyFont="1" applyFill="1" applyBorder="1"/>
    <xf numFmtId="0" fontId="5" fillId="5" borderId="0" xfId="0" quotePrefix="1" applyFont="1" applyFill="1"/>
    <xf numFmtId="0" fontId="12" fillId="0" borderId="0" xfId="0" applyFont="1" applyFill="1"/>
    <xf numFmtId="1" fontId="12" fillId="0" borderId="0" xfId="0" applyNumberFormat="1" applyFont="1" applyFill="1"/>
    <xf numFmtId="0" fontId="12" fillId="0" borderId="0" xfId="0" applyFont="1"/>
    <xf numFmtId="0" fontId="12" fillId="0" borderId="0" xfId="0" applyNumberFormat="1" applyFont="1"/>
    <xf numFmtId="165" fontId="12" fillId="0" borderId="0" xfId="0" applyNumberFormat="1" applyFont="1" applyFill="1"/>
    <xf numFmtId="0" fontId="12" fillId="0" borderId="0" xfId="0" applyFont="1" applyAlignment="1">
      <alignment horizontal="right"/>
    </xf>
    <xf numFmtId="0" fontId="0" fillId="0" borderId="0" xfId="0" applyFill="1"/>
    <xf numFmtId="49" fontId="5" fillId="5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65"/>
  <sheetViews>
    <sheetView tabSelected="1" topLeftCell="A4" workbookViewId="0">
      <selection activeCell="D12" sqref="D12"/>
    </sheetView>
  </sheetViews>
  <sheetFormatPr defaultRowHeight="15" x14ac:dyDescent="0.25"/>
  <cols>
    <col min="1" max="1" width="4.140625" customWidth="1"/>
    <col min="2" max="2" width="34.42578125" customWidth="1"/>
    <col min="3" max="4" width="20.28515625" customWidth="1"/>
    <col min="5" max="5" width="20.28515625" style="61" customWidth="1"/>
    <col min="7" max="7" width="16.5703125" style="1" customWidth="1"/>
    <col min="8" max="8" width="15" style="1" customWidth="1"/>
    <col min="9" max="9" width="17.28515625" style="1" customWidth="1"/>
    <col min="10" max="10" width="17.85546875" style="1" customWidth="1"/>
    <col min="11" max="11" width="18.5703125" style="1" bestFit="1" customWidth="1"/>
  </cols>
  <sheetData>
    <row r="1" spans="2:11" s="6" customFormat="1" ht="18.75" x14ac:dyDescent="0.3">
      <c r="B1" s="4" t="s">
        <v>22</v>
      </c>
      <c r="C1" s="5"/>
      <c r="D1" s="5"/>
      <c r="E1" s="5"/>
      <c r="G1" s="18"/>
      <c r="H1" s="18"/>
      <c r="I1" s="18"/>
      <c r="J1" s="18"/>
      <c r="K1" s="18"/>
    </row>
    <row r="2" spans="2:11" s="7" customFormat="1" x14ac:dyDescent="0.25">
      <c r="B2" s="13"/>
      <c r="C2" s="28"/>
      <c r="D2" s="13"/>
      <c r="E2" s="13"/>
      <c r="G2" s="11"/>
      <c r="H2" s="11"/>
      <c r="I2" s="11"/>
      <c r="J2" s="11"/>
      <c r="K2" s="11"/>
    </row>
    <row r="3" spans="2:11" s="7" customFormat="1" ht="34.5" customHeight="1" x14ac:dyDescent="0.25">
      <c r="B3" s="13" t="s">
        <v>11</v>
      </c>
      <c r="C3" s="32" t="s">
        <v>12</v>
      </c>
      <c r="D3" s="62" t="s">
        <v>83</v>
      </c>
      <c r="E3" s="62"/>
      <c r="G3" s="9" t="s">
        <v>19</v>
      </c>
      <c r="H3" s="10"/>
      <c r="I3" s="10"/>
      <c r="J3" s="10"/>
      <c r="K3" s="10"/>
    </row>
    <row r="4" spans="2:11" s="7" customFormat="1" x14ac:dyDescent="0.25">
      <c r="B4" s="13"/>
      <c r="C4" s="28"/>
      <c r="D4" s="13"/>
      <c r="E4" s="13"/>
      <c r="G4" s="11"/>
      <c r="H4" s="11"/>
      <c r="I4" s="11"/>
      <c r="J4" s="11"/>
      <c r="K4" s="11"/>
    </row>
    <row r="5" spans="2:11" s="7" customFormat="1" x14ac:dyDescent="0.25">
      <c r="B5" s="12" t="s">
        <v>20</v>
      </c>
      <c r="C5" s="12"/>
      <c r="D5" s="12"/>
      <c r="E5" s="13"/>
      <c r="G5" s="9" t="s">
        <v>23</v>
      </c>
      <c r="H5" s="19" t="s">
        <v>52</v>
      </c>
      <c r="I5" s="19" t="s">
        <v>53</v>
      </c>
      <c r="J5" s="11"/>
      <c r="K5" s="11"/>
    </row>
    <row r="6" spans="2:11" s="7" customFormat="1" x14ac:dyDescent="0.25">
      <c r="B6" s="13" t="s">
        <v>17</v>
      </c>
      <c r="C6" s="33" t="s">
        <v>24</v>
      </c>
      <c r="D6" s="13"/>
      <c r="E6" s="13"/>
      <c r="G6" s="11" t="s">
        <v>12</v>
      </c>
      <c r="H6" s="20">
        <v>2</v>
      </c>
      <c r="I6" s="20">
        <v>20</v>
      </c>
      <c r="J6" s="11"/>
      <c r="K6" s="11"/>
    </row>
    <row r="7" spans="2:11" s="7" customFormat="1" x14ac:dyDescent="0.25">
      <c r="B7" s="13" t="s">
        <v>35</v>
      </c>
      <c r="C7" s="34">
        <v>19</v>
      </c>
      <c r="D7" s="13"/>
      <c r="E7" s="13"/>
      <c r="G7" s="11" t="s">
        <v>13</v>
      </c>
      <c r="H7" s="20">
        <v>0</v>
      </c>
      <c r="I7" s="20">
        <v>18</v>
      </c>
      <c r="J7" s="11"/>
      <c r="K7" s="11"/>
    </row>
    <row r="8" spans="2:11" s="7" customFormat="1" x14ac:dyDescent="0.25">
      <c r="B8" s="13" t="s">
        <v>36</v>
      </c>
      <c r="C8" s="34">
        <v>3</v>
      </c>
      <c r="D8" s="13"/>
      <c r="E8" s="13"/>
      <c r="G8" s="11" t="s">
        <v>14</v>
      </c>
      <c r="H8" s="20">
        <v>1</v>
      </c>
      <c r="I8" s="20">
        <v>12</v>
      </c>
      <c r="J8" s="11"/>
      <c r="K8" s="11"/>
    </row>
    <row r="9" spans="2:11" s="7" customFormat="1" x14ac:dyDescent="0.25">
      <c r="B9" s="30" t="s">
        <v>57</v>
      </c>
      <c r="C9" s="31">
        <f>1402.5 + (5*Temperature) - (0.0544 * Temperature*Temperature) + (0.00021 * Temperature*Temperature*Temperature) + 1.33*SalinityPPT - (0.0123 * SalinityPPT * Temperature) + (0.000087 * SalinityPPT * Temperature*Temperature) + (0.0156 * Depth)</f>
        <v>1479.34879</v>
      </c>
      <c r="D9" s="30" t="s">
        <v>21</v>
      </c>
      <c r="E9" s="13"/>
      <c r="G9" s="11"/>
      <c r="H9" s="11"/>
      <c r="I9" s="11"/>
      <c r="J9" s="11"/>
      <c r="K9" s="11"/>
    </row>
    <row r="10" spans="2:11" s="7" customFormat="1" x14ac:dyDescent="0.25">
      <c r="B10" s="13"/>
      <c r="C10" s="13"/>
      <c r="D10" s="13"/>
      <c r="E10" s="13"/>
      <c r="G10" s="9" t="s">
        <v>17</v>
      </c>
      <c r="H10" s="19" t="s">
        <v>27</v>
      </c>
      <c r="I10" s="11"/>
      <c r="J10" s="9" t="s">
        <v>4</v>
      </c>
      <c r="K10" s="21"/>
    </row>
    <row r="11" spans="2:11" s="7" customFormat="1" x14ac:dyDescent="0.25">
      <c r="B11" s="12" t="s">
        <v>59</v>
      </c>
      <c r="C11" s="17"/>
      <c r="D11" s="17"/>
      <c r="E11" s="13"/>
      <c r="G11" s="11" t="s">
        <v>24</v>
      </c>
      <c r="H11" s="20">
        <v>0</v>
      </c>
      <c r="I11" s="11"/>
      <c r="J11" s="11" t="s">
        <v>33</v>
      </c>
      <c r="K11" s="20">
        <v>0</v>
      </c>
    </row>
    <row r="12" spans="2:11" s="7" customFormat="1" x14ac:dyDescent="0.25">
      <c r="B12" s="3" t="s">
        <v>0</v>
      </c>
      <c r="C12" s="14">
        <v>4</v>
      </c>
      <c r="D12" s="13"/>
      <c r="E12" s="13"/>
      <c r="G12" s="11" t="s">
        <v>25</v>
      </c>
      <c r="H12" s="20">
        <v>15</v>
      </c>
      <c r="I12" s="11"/>
      <c r="J12" s="11" t="s">
        <v>34</v>
      </c>
      <c r="K12" s="20">
        <v>1</v>
      </c>
    </row>
    <row r="13" spans="2:11" s="7" customFormat="1" x14ac:dyDescent="0.25">
      <c r="B13" s="3" t="s">
        <v>1</v>
      </c>
      <c r="C13" s="14">
        <v>20</v>
      </c>
      <c r="D13" s="13"/>
      <c r="E13" s="13"/>
      <c r="G13" s="11" t="s">
        <v>26</v>
      </c>
      <c r="H13" s="20">
        <v>35</v>
      </c>
      <c r="I13" s="11"/>
      <c r="J13" s="11"/>
      <c r="K13" s="11"/>
    </row>
    <row r="14" spans="2:11" s="7" customFormat="1" x14ac:dyDescent="0.25">
      <c r="B14" s="30" t="s">
        <v>29</v>
      </c>
      <c r="C14" s="31">
        <f>WindowStart+WindowLength</f>
        <v>24</v>
      </c>
      <c r="D14" s="30" t="s">
        <v>21</v>
      </c>
      <c r="E14" s="13"/>
      <c r="G14" s="11"/>
      <c r="H14" s="11"/>
      <c r="I14" s="11"/>
      <c r="J14" s="11"/>
      <c r="K14" s="11"/>
    </row>
    <row r="15" spans="2:11" s="7" customFormat="1" x14ac:dyDescent="0.25">
      <c r="B15" s="13"/>
      <c r="C15" s="13"/>
      <c r="D15" s="13"/>
      <c r="E15" s="13"/>
      <c r="G15" s="9" t="s">
        <v>3</v>
      </c>
      <c r="H15" s="9"/>
      <c r="I15" s="9"/>
      <c r="J15" s="11"/>
      <c r="K15" s="11"/>
    </row>
    <row r="16" spans="2:11" s="7" customFormat="1" x14ac:dyDescent="0.25">
      <c r="B16" s="12" t="s">
        <v>3</v>
      </c>
      <c r="C16" s="17"/>
      <c r="D16" s="17"/>
      <c r="E16" s="13"/>
      <c r="G16" s="20" t="s">
        <v>12</v>
      </c>
      <c r="H16" s="20" t="s">
        <v>13</v>
      </c>
      <c r="I16" s="20" t="s">
        <v>14</v>
      </c>
      <c r="J16" s="11"/>
      <c r="K16" s="11"/>
    </row>
    <row r="17" spans="2:11" s="7" customFormat="1" x14ac:dyDescent="0.25">
      <c r="B17" s="13" t="s">
        <v>30</v>
      </c>
      <c r="C17" s="35">
        <v>48</v>
      </c>
      <c r="D17" s="54" t="s">
        <v>82</v>
      </c>
      <c r="E17" s="13"/>
      <c r="G17" s="20">
        <v>48</v>
      </c>
      <c r="H17" s="20">
        <v>48</v>
      </c>
      <c r="I17" s="20">
        <v>64</v>
      </c>
      <c r="J17" s="11"/>
      <c r="K17" s="11"/>
    </row>
    <row r="18" spans="2:11" s="7" customFormat="1" x14ac:dyDescent="0.25">
      <c r="B18" s="13"/>
      <c r="C18" s="29"/>
      <c r="D18" s="13"/>
      <c r="E18" s="13"/>
      <c r="G18" s="20">
        <v>48</v>
      </c>
      <c r="H18" s="20">
        <v>96</v>
      </c>
      <c r="I18" s="20">
        <v>128</v>
      </c>
      <c r="J18" s="11"/>
      <c r="K18" s="11"/>
    </row>
    <row r="19" spans="2:11" s="7" customFormat="1" x14ac:dyDescent="0.25">
      <c r="B19" s="13"/>
      <c r="C19" s="13"/>
      <c r="D19" s="13"/>
      <c r="E19" s="13"/>
      <c r="G19" s="11"/>
      <c r="H19" s="11"/>
      <c r="I19" s="11"/>
      <c r="J19" s="11"/>
      <c r="K19" s="11"/>
    </row>
    <row r="20" spans="2:11" s="7" customFormat="1" x14ac:dyDescent="0.25">
      <c r="B20" s="48" t="s">
        <v>80</v>
      </c>
      <c r="C20" s="49"/>
      <c r="D20" s="50"/>
      <c r="E20" s="13"/>
      <c r="G20" s="19" t="s">
        <v>32</v>
      </c>
      <c r="H20" s="19" t="s">
        <v>31</v>
      </c>
      <c r="I20" s="15" t="s">
        <v>7</v>
      </c>
      <c r="J20" s="2" t="s">
        <v>39</v>
      </c>
      <c r="K20" s="11"/>
    </row>
    <row r="21" spans="2:11" s="7" customFormat="1" x14ac:dyDescent="0.25">
      <c r="B21" s="38" t="s">
        <v>60</v>
      </c>
      <c r="C21" s="39" t="s">
        <v>85</v>
      </c>
      <c r="D21" s="40"/>
      <c r="E21" s="13"/>
      <c r="G21" s="20">
        <v>1</v>
      </c>
      <c r="H21" s="20">
        <v>3</v>
      </c>
      <c r="I21" s="22">
        <v>0.6</v>
      </c>
      <c r="J21" s="23">
        <v>8</v>
      </c>
      <c r="K21" s="11"/>
    </row>
    <row r="22" spans="2:11" s="7" customFormat="1" x14ac:dyDescent="0.25">
      <c r="B22" s="38" t="s">
        <v>61</v>
      </c>
      <c r="C22" s="41">
        <f>FrameRateCalculated</f>
        <v>10.157027647429256</v>
      </c>
      <c r="D22" s="40"/>
      <c r="E22" s="13"/>
      <c r="G22" s="20">
        <v>3</v>
      </c>
      <c r="H22" s="20">
        <v>6</v>
      </c>
      <c r="I22" s="22">
        <v>0.3</v>
      </c>
      <c r="J22" s="22">
        <v>4</v>
      </c>
      <c r="K22" s="11"/>
    </row>
    <row r="23" spans="2:11" s="7" customFormat="1" x14ac:dyDescent="0.25">
      <c r="B23" s="38" t="s">
        <v>62</v>
      </c>
      <c r="C23" s="41">
        <f>PingMode</f>
        <v>1</v>
      </c>
      <c r="D23" s="40"/>
      <c r="E23" s="13"/>
      <c r="G23" s="20">
        <v>6</v>
      </c>
      <c r="H23" s="20">
        <v>4</v>
      </c>
      <c r="I23" s="22">
        <v>0.5</v>
      </c>
      <c r="J23" s="22">
        <v>8</v>
      </c>
      <c r="K23" s="11"/>
    </row>
    <row r="24" spans="2:11" s="7" customFormat="1" x14ac:dyDescent="0.25">
      <c r="B24" s="38" t="s">
        <v>63</v>
      </c>
      <c r="C24" s="41">
        <f>FrequencyRecommended</f>
        <v>1</v>
      </c>
      <c r="D24" s="40"/>
      <c r="E24" s="13"/>
      <c r="G24" s="20">
        <v>9</v>
      </c>
      <c r="H24" s="20">
        <v>8</v>
      </c>
      <c r="I24" s="22">
        <v>0.25</v>
      </c>
      <c r="J24" s="22">
        <v>4</v>
      </c>
      <c r="K24" s="11"/>
    </row>
    <row r="25" spans="2:11" s="7" customFormat="1" x14ac:dyDescent="0.25">
      <c r="B25" s="38" t="s">
        <v>64</v>
      </c>
      <c r="C25" s="41">
        <f>SamplesPerBeamCalculated</f>
        <v>1082</v>
      </c>
      <c r="D25" s="40"/>
      <c r="E25" s="13"/>
      <c r="G25" s="11"/>
      <c r="H25" s="11"/>
      <c r="I25" s="11"/>
      <c r="J25" s="11"/>
      <c r="K25" s="11"/>
    </row>
    <row r="26" spans="2:11" s="7" customFormat="1" x14ac:dyDescent="0.25">
      <c r="B26" s="38" t="s">
        <v>65</v>
      </c>
      <c r="C26" s="41">
        <f>SampleStartDelay</f>
        <v>5408</v>
      </c>
      <c r="D26" s="40"/>
      <c r="E26" s="13"/>
      <c r="G26" s="15" t="s">
        <v>40</v>
      </c>
      <c r="H26" s="16" t="s">
        <v>15</v>
      </c>
      <c r="I26" s="10"/>
      <c r="J26" s="11"/>
      <c r="K26" s="11"/>
    </row>
    <row r="27" spans="2:11" s="7" customFormat="1" x14ac:dyDescent="0.25">
      <c r="B27" s="38" t="s">
        <v>66</v>
      </c>
      <c r="C27" s="41">
        <f>MinCyclePeriod</f>
        <v>32818</v>
      </c>
      <c r="D27" s="40"/>
      <c r="E27" s="13"/>
      <c r="G27" s="22" t="s">
        <v>41</v>
      </c>
      <c r="H27" s="24">
        <v>1</v>
      </c>
      <c r="I27" s="11"/>
      <c r="J27" s="11"/>
      <c r="K27" s="11"/>
    </row>
    <row r="28" spans="2:11" s="7" customFormat="1" x14ac:dyDescent="0.25">
      <c r="B28" s="38" t="s">
        <v>67</v>
      </c>
      <c r="C28" s="41">
        <f>SamplePeriod</f>
        <v>25</v>
      </c>
      <c r="D28" s="40"/>
      <c r="E28" s="13"/>
      <c r="G28" s="22" t="s">
        <v>42</v>
      </c>
      <c r="H28" s="24">
        <v>1</v>
      </c>
      <c r="I28" s="11"/>
      <c r="J28" s="11"/>
      <c r="K28" s="11"/>
    </row>
    <row r="29" spans="2:11" s="7" customFormat="1" x14ac:dyDescent="0.25">
      <c r="B29" s="38" t="s">
        <v>68</v>
      </c>
      <c r="C29" s="41">
        <f>PulseWidthCalculated</f>
        <v>24</v>
      </c>
      <c r="D29" s="40"/>
      <c r="E29" s="13"/>
      <c r="G29" s="22" t="s">
        <v>43</v>
      </c>
      <c r="H29" s="24">
        <v>1</v>
      </c>
      <c r="I29" s="11"/>
      <c r="J29" s="11"/>
      <c r="K29" s="11"/>
    </row>
    <row r="30" spans="2:11" s="7" customFormat="1" x14ac:dyDescent="0.25">
      <c r="B30" s="38" t="s">
        <v>69</v>
      </c>
      <c r="C30" s="41">
        <v>1</v>
      </c>
      <c r="D30" s="40"/>
      <c r="E30" s="13"/>
      <c r="G30" s="22" t="s">
        <v>44</v>
      </c>
      <c r="H30" s="24">
        <v>1.5</v>
      </c>
      <c r="I30" s="11"/>
      <c r="J30" s="11"/>
      <c r="K30" s="11"/>
    </row>
    <row r="31" spans="2:11" s="7" customFormat="1" x14ac:dyDescent="0.25">
      <c r="B31" s="38" t="s">
        <v>70</v>
      </c>
      <c r="C31" s="41">
        <v>1</v>
      </c>
      <c r="D31" s="40"/>
      <c r="E31" s="13"/>
      <c r="G31" s="22" t="s">
        <v>45</v>
      </c>
      <c r="H31" s="24">
        <v>1.5</v>
      </c>
      <c r="I31" s="11"/>
      <c r="J31" s="11"/>
      <c r="K31" s="11"/>
    </row>
    <row r="32" spans="2:11" s="7" customFormat="1" x14ac:dyDescent="0.25">
      <c r="B32" s="38" t="s">
        <v>71</v>
      </c>
      <c r="C32" s="41">
        <f>ReceiverGain</f>
        <v>20</v>
      </c>
      <c r="D32" s="40"/>
      <c r="E32" s="13"/>
      <c r="G32" s="22" t="s">
        <v>46</v>
      </c>
      <c r="H32" s="24">
        <v>2</v>
      </c>
      <c r="I32" s="11"/>
      <c r="J32" s="11"/>
      <c r="K32" s="11"/>
    </row>
    <row r="33" spans="2:11" s="7" customFormat="1" x14ac:dyDescent="0.25">
      <c r="B33" s="42"/>
      <c r="C33" s="43"/>
      <c r="D33" s="44"/>
      <c r="E33" s="13"/>
      <c r="G33" s="11"/>
      <c r="H33" s="11"/>
      <c r="I33" s="11"/>
      <c r="J33" s="11"/>
      <c r="K33" s="11"/>
    </row>
    <row r="34" spans="2:11" s="7" customFormat="1" x14ac:dyDescent="0.25">
      <c r="B34" s="51" t="s">
        <v>81</v>
      </c>
      <c r="C34" s="52"/>
      <c r="D34" s="53"/>
      <c r="E34" s="13"/>
      <c r="G34" s="9" t="s">
        <v>58</v>
      </c>
      <c r="H34" s="10"/>
      <c r="I34" s="11"/>
      <c r="J34" s="11"/>
      <c r="K34" s="11"/>
    </row>
    <row r="35" spans="2:11" s="7" customFormat="1" x14ac:dyDescent="0.25">
      <c r="B35" s="45" t="s">
        <v>73</v>
      </c>
      <c r="C35" s="46">
        <f>FocusRangeRecommended</f>
        <v>14</v>
      </c>
      <c r="D35" s="47" t="s">
        <v>74</v>
      </c>
      <c r="E35" s="13"/>
      <c r="G35" s="11">
        <v>15</v>
      </c>
      <c r="H35" s="11"/>
      <c r="I35" s="11"/>
      <c r="J35" s="11"/>
      <c r="K35" s="11"/>
    </row>
    <row r="36" spans="2:11" s="7" customFormat="1" x14ac:dyDescent="0.25">
      <c r="B36" s="13"/>
      <c r="C36" s="13"/>
      <c r="D36" s="13"/>
      <c r="E36" s="13"/>
      <c r="G36" s="11"/>
      <c r="H36" s="11"/>
      <c r="I36" s="11"/>
      <c r="J36" s="11"/>
      <c r="K36" s="11"/>
    </row>
    <row r="37" spans="2:11" s="7" customFormat="1" x14ac:dyDescent="0.25">
      <c r="G37" s="37" t="s">
        <v>75</v>
      </c>
      <c r="H37" s="11"/>
      <c r="I37" s="11"/>
      <c r="J37" s="11"/>
      <c r="K37" s="11"/>
    </row>
    <row r="38" spans="2:11" s="7" customFormat="1" x14ac:dyDescent="0.25">
      <c r="G38" s="10" t="s">
        <v>11</v>
      </c>
      <c r="H38" s="10" t="s">
        <v>76</v>
      </c>
      <c r="I38" s="10"/>
      <c r="J38" s="11"/>
      <c r="K38" s="11"/>
    </row>
    <row r="39" spans="2:11" s="7" customFormat="1" x14ac:dyDescent="0.25">
      <c r="B39" s="25" t="s">
        <v>84</v>
      </c>
      <c r="C39" s="26"/>
      <c r="D39" s="26"/>
      <c r="E39" s="26"/>
      <c r="G39" s="11" t="s">
        <v>12</v>
      </c>
      <c r="H39" s="36">
        <v>25</v>
      </c>
      <c r="I39" s="11"/>
      <c r="J39" s="11"/>
      <c r="K39" s="11"/>
    </row>
    <row r="40" spans="2:11" s="7" customFormat="1" x14ac:dyDescent="0.25">
      <c r="B40" s="55" t="s">
        <v>28</v>
      </c>
      <c r="C40" s="55">
        <f>VLOOKUP(Salinity,SalinityLookup,2,FALSE)</f>
        <v>0</v>
      </c>
      <c r="D40" s="55"/>
      <c r="E40" s="27"/>
      <c r="G40" s="11" t="s">
        <v>13</v>
      </c>
      <c r="H40" s="36">
        <v>15</v>
      </c>
      <c r="I40" s="11"/>
      <c r="J40" s="11"/>
      <c r="K40" s="11"/>
    </row>
    <row r="41" spans="2:11" s="8" customFormat="1" x14ac:dyDescent="0.25">
      <c r="B41" s="55" t="s">
        <v>2</v>
      </c>
      <c r="C41" s="56">
        <f>IF(NumberOfBeams=48,1,IF(NumberOfBeams=96,3,IF(NumberOfBeams=64,6,9)))</f>
        <v>1</v>
      </c>
      <c r="D41" s="57"/>
      <c r="E41" s="27"/>
      <c r="G41" s="11" t="s">
        <v>14</v>
      </c>
      <c r="H41" s="36">
        <v>5</v>
      </c>
      <c r="I41" s="11"/>
      <c r="J41" s="11"/>
      <c r="K41" s="11"/>
    </row>
    <row r="42" spans="2:11" s="8" customFormat="1" x14ac:dyDescent="0.25">
      <c r="B42" s="55" t="s">
        <v>31</v>
      </c>
      <c r="C42" s="56">
        <f>VLOOKUP(PingMode,PingModeLookup,2,FALSE)</f>
        <v>3</v>
      </c>
      <c r="D42" s="57"/>
      <c r="E42" s="27"/>
      <c r="G42" s="11"/>
      <c r="H42" s="11"/>
      <c r="I42" s="11"/>
      <c r="J42" s="11"/>
      <c r="K42" s="11"/>
    </row>
    <row r="43" spans="2:11" s="8" customFormat="1" x14ac:dyDescent="0.25">
      <c r="B43" s="55" t="s">
        <v>5</v>
      </c>
      <c r="C43" s="56">
        <f>ROUND(1000000*2*WindowStart/SoundSpeed,0)</f>
        <v>5408</v>
      </c>
      <c r="D43" s="55"/>
      <c r="E43" s="27"/>
      <c r="G43" s="11"/>
      <c r="H43" s="11"/>
      <c r="I43" s="11"/>
      <c r="J43" s="11"/>
      <c r="K43" s="11"/>
    </row>
    <row r="44" spans="2:11" s="8" customFormat="1" x14ac:dyDescent="0.25">
      <c r="B44" s="55" t="s">
        <v>6</v>
      </c>
      <c r="C44" s="58">
        <f>(SampleStartDelay/1000000)*SoundSpeed/2</f>
        <v>4.00015912816</v>
      </c>
      <c r="D44" s="57" t="s">
        <v>18</v>
      </c>
      <c r="E44" s="27"/>
      <c r="G44" s="11"/>
      <c r="H44" s="11"/>
      <c r="I44" s="11"/>
      <c r="J44" s="11"/>
      <c r="K44" s="11"/>
    </row>
    <row r="45" spans="2:11" x14ac:dyDescent="0.25">
      <c r="B45" s="55"/>
      <c r="C45" s="58"/>
      <c r="D45" s="57"/>
      <c r="E45" s="27"/>
    </row>
    <row r="46" spans="2:11" x14ac:dyDescent="0.25">
      <c r="B46" s="55" t="s">
        <v>37</v>
      </c>
      <c r="C46" s="58">
        <f>VLOOKUP(PingMode,PingModeLookup,3,FALSE)</f>
        <v>0.6</v>
      </c>
      <c r="D46" s="57"/>
      <c r="E46" s="27"/>
    </row>
    <row r="47" spans="2:11" x14ac:dyDescent="0.25">
      <c r="B47" s="55" t="s">
        <v>38</v>
      </c>
      <c r="C47" s="58">
        <f>(WindowStart+(WindowLength/2))*SIN(BeamSpacing*PI()/180)</f>
        <v>0.1466049776274411</v>
      </c>
      <c r="D47" s="57"/>
      <c r="E47" s="27"/>
    </row>
    <row r="48" spans="2:11" x14ac:dyDescent="0.25">
      <c r="B48" s="55" t="s">
        <v>39</v>
      </c>
      <c r="C48" s="58">
        <f>VLOOKUP(PingMode,PingModeLookup,4,FALSE)</f>
        <v>8</v>
      </c>
      <c r="D48" s="57"/>
      <c r="E48" s="27"/>
    </row>
    <row r="49" spans="2:5" x14ac:dyDescent="0.25">
      <c r="B49" s="57" t="s">
        <v>8</v>
      </c>
      <c r="C49" s="59">
        <f>CrossRangeResolution/NFactor</f>
        <v>1.8325622203430137E-2</v>
      </c>
      <c r="D49" s="55"/>
      <c r="E49" s="27"/>
    </row>
    <row r="50" spans="2:5" x14ac:dyDescent="0.25">
      <c r="B50" s="55" t="s">
        <v>47</v>
      </c>
      <c r="C50" s="56">
        <f>ROUND(1000000*2*DownRangeResolution/SoundSpeed, 0)</f>
        <v>25</v>
      </c>
      <c r="D50" s="55"/>
      <c r="E50" s="27"/>
    </row>
    <row r="51" spans="2:5" x14ac:dyDescent="0.25">
      <c r="B51" s="55"/>
      <c r="C51" s="56"/>
      <c r="D51" s="55"/>
      <c r="E51" s="27"/>
    </row>
    <row r="52" spans="2:5" x14ac:dyDescent="0.25">
      <c r="B52" s="55" t="s">
        <v>48</v>
      </c>
      <c r="C52" s="56">
        <f>ROUND(2*WindowLength/(SamplePeriod*SoundSpeed/1000000),0)</f>
        <v>1082</v>
      </c>
      <c r="D52" s="55" t="s">
        <v>49</v>
      </c>
      <c r="E52" s="27"/>
    </row>
    <row r="53" spans="2:5" x14ac:dyDescent="0.25">
      <c r="B53" s="57" t="s">
        <v>9</v>
      </c>
      <c r="C53" s="58">
        <f>SamplesPerBeamCalculated*(SamplePeriod/1000000)*SoundSpeed/2</f>
        <v>20.00819238475</v>
      </c>
      <c r="D53" s="57" t="s">
        <v>18</v>
      </c>
      <c r="E53" s="27"/>
    </row>
    <row r="54" spans="2:5" x14ac:dyDescent="0.25">
      <c r="B54" s="57" t="s">
        <v>10</v>
      </c>
      <c r="C54" s="58">
        <f>EffectiveWindowStart+EffectiveWindowLength</f>
        <v>24.00835151291</v>
      </c>
      <c r="D54" s="57" t="s">
        <v>18</v>
      </c>
      <c r="E54" s="27"/>
    </row>
    <row r="55" spans="2:5" x14ac:dyDescent="0.25">
      <c r="B55" s="55" t="s">
        <v>50</v>
      </c>
      <c r="C55" s="56">
        <f>SampleStartDelay+(SamplePeriod*SamplesPerBeamCalculated)+360</f>
        <v>32818</v>
      </c>
      <c r="D55" s="55"/>
      <c r="E55" s="27"/>
    </row>
    <row r="56" spans="2:5" x14ac:dyDescent="0.25">
      <c r="B56" s="55" t="s">
        <v>51</v>
      </c>
      <c r="C56" s="56">
        <f>MIN(Aris2MaxFrameRate,1/(PingsPerFrame*MinCyclePeriod/1000000))</f>
        <v>10.157027647429256</v>
      </c>
      <c r="D56" s="55"/>
      <c r="E56" s="27"/>
    </row>
    <row r="57" spans="2:5" x14ac:dyDescent="0.25">
      <c r="B57" s="57" t="s">
        <v>78</v>
      </c>
      <c r="C57" s="57">
        <f>VLOOKUP(SystemType, FrequencyCrossoverLookup, 2, FALSE)</f>
        <v>25</v>
      </c>
      <c r="D57" s="55"/>
      <c r="E57" s="27"/>
    </row>
    <row r="58" spans="2:5" x14ac:dyDescent="0.25">
      <c r="B58" s="57" t="s">
        <v>77</v>
      </c>
      <c r="C58" s="57">
        <f>IF(WindowEnd &lt;= VLOOKUP(SystemType, FrequencyCrossoverLookup, 2, FALSE), 1, 0)</f>
        <v>1</v>
      </c>
      <c r="D58" s="55"/>
      <c r="E58" s="27"/>
    </row>
    <row r="59" spans="2:5" x14ac:dyDescent="0.25">
      <c r="B59" s="55" t="s">
        <v>79</v>
      </c>
      <c r="C59" s="60" t="str">
        <f>IF(FrequencyRecommended = 0, "Low", "High")</f>
        <v>High</v>
      </c>
      <c r="D59" s="55"/>
      <c r="E59" s="27"/>
    </row>
    <row r="60" spans="2:5" x14ac:dyDescent="0.25">
      <c r="B60" s="57" t="s">
        <v>15</v>
      </c>
      <c r="C60" s="56">
        <f>VLOOKUP(CONCATENATE(SystemType,"-",FreqString),SystemTypeFreqLookup,2,FALSE)</f>
        <v>1</v>
      </c>
      <c r="D60" s="55"/>
      <c r="E60" s="27"/>
    </row>
    <row r="61" spans="2:5" x14ac:dyDescent="0.25">
      <c r="B61" s="57" t="s">
        <v>72</v>
      </c>
      <c r="C61" s="56">
        <f>ROUND(PulseWidthModifier*(WindowStart+WindowLength), 0)</f>
        <v>24</v>
      </c>
      <c r="D61" s="57"/>
      <c r="E61" s="27"/>
    </row>
    <row r="62" spans="2:5" x14ac:dyDescent="0.25">
      <c r="B62" s="57" t="s">
        <v>54</v>
      </c>
      <c r="C62" s="56">
        <f>VLOOKUP(SystemType,SystemTypeLookup,3,FALSE)</f>
        <v>20</v>
      </c>
      <c r="D62" s="57"/>
      <c r="E62" s="27"/>
    </row>
    <row r="63" spans="2:5" x14ac:dyDescent="0.25">
      <c r="B63" s="57" t="s">
        <v>16</v>
      </c>
      <c r="C63" s="56">
        <v>1</v>
      </c>
      <c r="D63" s="57"/>
    </row>
    <row r="64" spans="2:5" x14ac:dyDescent="0.25">
      <c r="B64" s="57" t="s">
        <v>55</v>
      </c>
      <c r="C64" s="57">
        <v>1</v>
      </c>
      <c r="D64" s="57"/>
    </row>
    <row r="65" spans="2:4" x14ac:dyDescent="0.25">
      <c r="B65" s="57" t="s">
        <v>56</v>
      </c>
      <c r="C65" s="57">
        <f>WindowStart+(WindowLength/2)</f>
        <v>14</v>
      </c>
      <c r="D65" s="57"/>
    </row>
  </sheetData>
  <mergeCells count="1">
    <mergeCell ref="D3:E3"/>
  </mergeCells>
  <dataValidations count="4">
    <dataValidation type="list" allowBlank="1" showInputMessage="1" showErrorMessage="1" sqref="C6">
      <formula1>$G$11:$G$13</formula1>
    </dataValidation>
    <dataValidation type="list" allowBlank="1" showInputMessage="1" showErrorMessage="1" sqref="C3">
      <formula1>$G$6:$G$8</formula1>
    </dataValidation>
    <dataValidation type="list" allowBlank="1" showInputMessage="1" showErrorMessage="1" sqref="C17">
      <formula1>IF(SystemType="ARIS 1200",$G$17:$G$18,IF(SystemType="ARIS 1800",$H$17:$H$18,$I$17:$I$18))</formula1>
    </dataValidation>
    <dataValidation type="list" allowBlank="1" showInputMessage="1" showErrorMessage="1" sqref="C18">
      <formula1>$J$11:$J$12</formula1>
    </dataValidation>
  </dataValidations>
  <pageMargins left="0.25" right="0.25" top="0.75" bottom="0.75" header="0.3" footer="0.3"/>
  <pageSetup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38</vt:i4>
      </vt:variant>
    </vt:vector>
  </HeadingPairs>
  <TitlesOfParts>
    <vt:vector size="39" baseType="lpstr">
      <vt:lpstr>Deriving settings from window</vt:lpstr>
      <vt:lpstr>Aris2MaxFrameRate</vt:lpstr>
      <vt:lpstr>BeamsLookup</vt:lpstr>
      <vt:lpstr>BeamSpacing</vt:lpstr>
      <vt:lpstr>CrossRangeResolution</vt:lpstr>
      <vt:lpstr>Depth</vt:lpstr>
      <vt:lpstr>DownRangeResolution</vt:lpstr>
      <vt:lpstr>EffectiveWindowLength</vt:lpstr>
      <vt:lpstr>EffectiveWindowStart</vt:lpstr>
      <vt:lpstr>FocusRangeRecommended</vt:lpstr>
      <vt:lpstr>FrameRateCalculated</vt:lpstr>
      <vt:lpstr>FreqString</vt:lpstr>
      <vt:lpstr>Frequency</vt:lpstr>
      <vt:lpstr>FrequencyCrossoverLookup</vt:lpstr>
      <vt:lpstr>FrequencyLookup</vt:lpstr>
      <vt:lpstr>FrequencyRecommended</vt:lpstr>
      <vt:lpstr>MinCyclePeriod</vt:lpstr>
      <vt:lpstr>NFactor</vt:lpstr>
      <vt:lpstr>NumberOfBeams</vt:lpstr>
      <vt:lpstr>PingMode</vt:lpstr>
      <vt:lpstr>PingModeLookup</vt:lpstr>
      <vt:lpstr>PingsPerFrame</vt:lpstr>
      <vt:lpstr>PulseWidthCalculated</vt:lpstr>
      <vt:lpstr>PulseWidthModifier</vt:lpstr>
      <vt:lpstr>ReceiverGain</vt:lpstr>
      <vt:lpstr>Salinity</vt:lpstr>
      <vt:lpstr>SalinityLookup</vt:lpstr>
      <vt:lpstr>SalinityPPT</vt:lpstr>
      <vt:lpstr>SamplePeriod</vt:lpstr>
      <vt:lpstr>SamplesPerBeamCalculated</vt:lpstr>
      <vt:lpstr>SampleStartDelay</vt:lpstr>
      <vt:lpstr>SoundSpeed</vt:lpstr>
      <vt:lpstr>SystemType</vt:lpstr>
      <vt:lpstr>SystemTypeFreqLookup</vt:lpstr>
      <vt:lpstr>SystemTypeLookup</vt:lpstr>
      <vt:lpstr>Temperature</vt:lpstr>
      <vt:lpstr>WindowEnd</vt:lpstr>
      <vt:lpstr>WindowLength</vt:lpstr>
      <vt:lpstr>WindowStart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Nichols</dc:creator>
  <cp:lastModifiedBy>Curt Nichols</cp:lastModifiedBy>
  <cp:lastPrinted>2017-02-09T19:00:17Z</cp:lastPrinted>
  <dcterms:created xsi:type="dcterms:W3CDTF">2017-01-24T16:53:28Z</dcterms:created>
  <dcterms:modified xsi:type="dcterms:W3CDTF">2017-02-28T22:52:55Z</dcterms:modified>
</cp:coreProperties>
</file>